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codeName="ThisWorkbook"/>
  <mc:AlternateContent xmlns:mc="http://schemas.openxmlformats.org/markup-compatibility/2006">
    <mc:Choice Requires="x15">
      <x15ac:absPath xmlns:x15ac="http://schemas.microsoft.com/office/spreadsheetml/2010/11/ac" url="/Users/wikanna/Library/CloudStorage/OneDrive-Chalmers/FromBox2024/6. Projekt/Övriga projekt/EPS/EPS 2025/Rapport och excelfil/Ny länk/"/>
    </mc:Choice>
  </mc:AlternateContent>
  <xr:revisionPtr revIDLastSave="0" documentId="13_ncr:1_{E371E494-4B2A-134F-BE9C-8D54F18230DC}" xr6:coauthVersionLast="47" xr6:coauthVersionMax="47" xr10:uidLastSave="{00000000-0000-0000-0000-000000000000}"/>
  <bookViews>
    <workbookView xWindow="0" yWindow="500" windowWidth="34620" windowHeight="19920" tabRatio="846" xr2:uid="{00000000-000D-0000-FFFF-FFFF00000000}"/>
  </bookViews>
  <sheets>
    <sheet name="Introduction" sheetId="43" r:id="rId1"/>
    <sheet name="Env. goods" sheetId="2" r:id="rId2"/>
    <sheet name="Abiotic resources" sheetId="14" r:id="rId3"/>
    <sheet name="Inorganic gases" sheetId="35" r:id="rId4"/>
    <sheet name="Pesticides" sheetId="9" r:id="rId5"/>
    <sheet name="Halo. org." sheetId="10" r:id="rId6"/>
    <sheet name="Particles" sheetId="29" r:id="rId7"/>
    <sheet name="VOC" sheetId="8" r:id="rId8"/>
    <sheet name="Noise" sheetId="30" r:id="rId9"/>
    <sheet name="Land use" sheetId="12" r:id="rId10"/>
    <sheet name="Radionuclids" sheetId="32" r:id="rId11"/>
    <sheet name="Waste" sheetId="31" r:id="rId12"/>
    <sheet name="Em to water" sheetId="34" r:id="rId13"/>
  </sheets>
  <definedNames>
    <definedName name="_xlnm._FilterDatabase" localSheetId="5" hidden="1">'Halo. org.'!$A$1:$T$342</definedName>
    <definedName name="_xlnm._FilterDatabase" localSheetId="3" hidden="1">'Inorganic gases'!$A$32:$L$52</definedName>
    <definedName name="_xlnm._FilterDatabase" localSheetId="4" hidden="1">Pesticides!$A$1:$V$304</definedName>
    <definedName name="_xlnm._FilterDatabase" localSheetId="7" hidden="1">VOC!$A$1:$AK$145</definedName>
    <definedName name="Ag_orevalue">'Abiotic resources'!$H$2</definedName>
    <definedName name="Ag_randomorevalue">'Abiotic resources'!$L$2</definedName>
    <definedName name="Al_orevalue">'Env. goods'!$D$32</definedName>
    <definedName name="Al_randomorevalue">'Env. goods'!#REF!</definedName>
    <definedName name="angina_pectoris_randomvalue">'Env. goods'!#REF!</definedName>
    <definedName name="angina_pectoris_value">'Env. goods'!$D$116</definedName>
    <definedName name="Ar_randomvalue">'Abiotic resources'!$L$78</definedName>
    <definedName name="Ar_value">'Abiotic resources'!$H$78</definedName>
    <definedName name="As_orevalue">'Abiotic resources'!$H$3</definedName>
    <definedName name="As_randomorevalue">'Abiotic resources'!$L$3</definedName>
    <definedName name="asthma_randomvalue">'Env. goods'!#REF!</definedName>
    <definedName name="asthmavalue">'Env. goods'!$D$120</definedName>
    <definedName name="Astoair_randomvalue">Particles!#REF!</definedName>
    <definedName name="Astoairvalue">Particles!$L$36</definedName>
    <definedName name="Astofreshwater_randomvalue">'Em to water'!#REF!</definedName>
    <definedName name="AstoFreshwater_value">'Em to water'!$M$29</definedName>
    <definedName name="Au_orevalue">'Abiotic resources'!$H$4</definedName>
    <definedName name="Au_randomorevalue">'Abiotic resources'!$L$4</definedName>
    <definedName name="averagepesticidepotency">Pesticides!$F$304</definedName>
    <definedName name="B_orevalue">'Abiotic resources'!$H$67</definedName>
    <definedName name="B_randomorevalue">'Abiotic resources'!$L$67</definedName>
    <definedName name="Ba_orevalue">'Abiotic resources'!$H$5</definedName>
    <definedName name="Ba_randomorevalue">'Abiotic resources'!$L$5</definedName>
    <definedName name="Be_orevalue">'Abiotic resources'!$H$6</definedName>
    <definedName name="Be_randomorevalue">'Abiotic resources'!$L$6</definedName>
    <definedName name="Bi_orevalue">'Abiotic resources'!$H$7</definedName>
    <definedName name="Bi_randomorevalue">'Abiotic resources'!$L$7</definedName>
    <definedName name="BODtofreshwater_randomvalue">'Em to water'!#REF!</definedName>
    <definedName name="BODtoFreshwater_value">'Em to water'!$M$5</definedName>
    <definedName name="BODtoseawater_randomvalue">'Em to water'!#REF!</definedName>
    <definedName name="BODtoSeawater_value">'Em to water'!#REF!</definedName>
    <definedName name="Br_orevalue">'Abiotic resources'!$H$68</definedName>
    <definedName name="Br_randomorevalue">'Abiotic resources'!$L$68</definedName>
    <definedName name="Ca_orevalue">'Abiotic resources'!$H$8</definedName>
    <definedName name="Ca_randomorevalue">'Abiotic resources'!$L$8</definedName>
    <definedName name="cancer_randomvalue">'Env. goods'!#REF!</definedName>
    <definedName name="cancervalue">'Em to water'!$M$9</definedName>
    <definedName name="Cd_orevalue">'Abiotic resources'!$H$9</definedName>
    <definedName name="Cd_randomorevalue">'Abiotic resources'!$L$9</definedName>
    <definedName name="Cdtoair_randomvalue">Particles!#REF!</definedName>
    <definedName name="Cdtoairvalue">Particles!$L$42</definedName>
    <definedName name="CdtoFreshwater_randomvalue">'Em to water'!#REF!</definedName>
    <definedName name="CdtoFreshwater_value">'Em to water'!$M$33</definedName>
    <definedName name="Ce_orevalue">'Abiotic resources'!$H$10</definedName>
    <definedName name="Ce_randomorevalue">'Abiotic resources'!$L$10</definedName>
    <definedName name="charnoxcrop">'Inorganic gases'!$J$39</definedName>
    <definedName name="charpm10yoll">Particles!#REF!</definedName>
    <definedName name="charso2yoll">'Inorganic gases'!$K$72</definedName>
    <definedName name="Cl_orevalue">'Abiotic resources'!$H$76</definedName>
    <definedName name="Cl_randomorevalue">'Abiotic resources'!$L$76</definedName>
    <definedName name="Co_orevalue">'Abiotic resources'!$H$11</definedName>
    <definedName name="Co_randomorevalue">'Abiotic resources'!$L$11</definedName>
    <definedName name="CO_randomvalue">'Inorganic gases'!#REF!</definedName>
    <definedName name="CO_value">'Inorganic gases'!$L$31</definedName>
    <definedName name="CO2_crop_charfact">'Inorganic gases'!$K$12</definedName>
    <definedName name="CO2_diarrhea_charfact">'Inorganic gases'!$J$10</definedName>
    <definedName name="CO2_drinkingwater_charfact">'Inorganic gases'!$J$16</definedName>
    <definedName name="CO2_fish_charfact">'Inorganic gases'!$J$14</definedName>
    <definedName name="CO2_meat_charfact">'Inorganic gases'!$J$13</definedName>
    <definedName name="CO2_NEX_charfact">'Inorganic gases'!$J$17</definedName>
    <definedName name="CO2_randomvalue">'Inorganic gases'!#REF!</definedName>
    <definedName name="CO2_severewasting_charfact">'Inorganic gases'!$J$8</definedName>
    <definedName name="CO2_wood_charfact">'Inorganic gases'!$J$15</definedName>
    <definedName name="CO2_workingcapacity_charfact">'Inorganic gases'!$J$9</definedName>
    <definedName name="CO2_YLL_charfact">'Inorganic gases'!$K$7</definedName>
    <definedName name="CO2value">'Inorganic gases'!$L$18</definedName>
    <definedName name="Coal_randomvalue">'Env. goods'!#REF!</definedName>
    <definedName name="coalvalue">'Env. goods'!$D$28</definedName>
    <definedName name="COPD_randomvalue">'Env. goods'!#REF!</definedName>
    <definedName name="COPDvalue">'Env. goods'!$D$121</definedName>
    <definedName name="Cr_orevalue">'Abiotic resources'!$H$12</definedName>
    <definedName name="Cr_tandomorevalue">'Abiotic resources'!$L$12</definedName>
    <definedName name="Cr6toFreshwater_randomvalue">'Em to water'!#REF!</definedName>
    <definedName name="Cr6toFreshwater_value">'Em to water'!$M$35</definedName>
    <definedName name="Crop_randomvalue">'Env. goods'!#REF!</definedName>
    <definedName name="cropvalue">'Env. goods'!$D$21</definedName>
    <definedName name="Crtoair_randomvalue">Particles!#REF!</definedName>
    <definedName name="Crtoairvalue">Particles!$L$47</definedName>
    <definedName name="Cs_orevalue">'Abiotic resources'!$H$13</definedName>
    <definedName name="Cs_randomorevalue">'Abiotic resources'!$L$13</definedName>
    <definedName name="Cu_orevalue">'Abiotic resources'!$H$14</definedName>
    <definedName name="Cu_randomorevalue">'Abiotic resources'!$L$14</definedName>
    <definedName name="Cutoair_randomvalue">Particles!#REF!</definedName>
    <definedName name="Cutoairvalue">Particles!$L$50</definedName>
    <definedName name="CVD_randomvalue">'Env. goods'!#REF!</definedName>
    <definedName name="CVD_value">'Env. goods'!$D$117</definedName>
    <definedName name="Diarrhea_randomvalue">'Env. goods'!#REF!</definedName>
    <definedName name="diarrhea_value">'Env. goods'!$D$114</definedName>
    <definedName name="Drinkingwater_randomvalue">'Env. goods'!#REF!</definedName>
    <definedName name="drinkingwatervalue">'Env. goods'!$D$25</definedName>
    <definedName name="Dy_orevalue">'Abiotic resources'!$H$15</definedName>
    <definedName name="Dy_randomorevalue">'Abiotic resources'!$L$15</definedName>
    <definedName name="energy_access">'Env. goods'!$D$131</definedName>
    <definedName name="Er_orevalue">'Abiotic resources'!$H$16</definedName>
    <definedName name="Er_randomorevalue">'Abiotic resources'!$L$16</definedName>
    <definedName name="Eu_orevalue">'Abiotic resources'!$H$17</definedName>
    <definedName name="Eu_randomorevalue">'Abiotic resources'!$L$17</definedName>
    <definedName name="F_orevalue">'Abiotic resources'!$H$18</definedName>
    <definedName name="F_randomorevalue">'Abiotic resources'!$L$18</definedName>
    <definedName name="Fe_orevalue">'Env. goods'!$D$53</definedName>
    <definedName name="Fe_randomorevalue">'Env. goods'!#REF!</definedName>
    <definedName name="Fish_randomvalue">'Env. goods'!#REF!</definedName>
    <definedName name="fishvalue">'Env. goods'!$D$24</definedName>
    <definedName name="Fruitandveg_value">'Env. goods'!#REF!</definedName>
    <definedName name="Ga_orevalue">'Abiotic resources'!$H$19</definedName>
    <definedName name="Ga_randomorevalue">'Abiotic resources'!$L$19</definedName>
    <definedName name="Gd_orevalue">'Abiotic resources'!$H$20</definedName>
    <definedName name="Gd_randomorevalue">'Abiotic resources'!$L$20</definedName>
    <definedName name="Ge_orevalue">'Abiotic resources'!$H$21</definedName>
    <definedName name="Ge_randomorevalue">'Abiotic resources'!$L$21</definedName>
    <definedName name="goodstransportvalue">'Env. goods'!$D$142</definedName>
    <definedName name="H_randomvalue">'Abiotic resources'!$L$69</definedName>
    <definedName name="H_value">'Abiotic resources'!$H$69</definedName>
    <definedName name="H2S_randomvalue">'Inorganic gases'!#REF!</definedName>
    <definedName name="H2Svalue">'Inorganic gases'!$L$88</definedName>
    <definedName name="HBr_randomvalue">'Inorganic gases'!#REF!</definedName>
    <definedName name="HBrvalue">'Inorganic gases'!$L$157</definedName>
    <definedName name="HCl_randomvalue">'Inorganic gases'!#REF!</definedName>
    <definedName name="HClvalue">'Inorganic gases'!$L$116</definedName>
    <definedName name="HCN_randomvalue">'Inorganic gases'!#REF!</definedName>
    <definedName name="HCNvalue">'Inorganic gases'!$L$171</definedName>
    <definedName name="He_randomvalue">'Abiotic resources'!$L$79</definedName>
    <definedName name="He_value">'Abiotic resources'!$H$79</definedName>
    <definedName name="Hf_orevalue">'Abiotic resources'!$H$22</definedName>
    <definedName name="Hf_randomorevalue">'Abiotic resources'!$L$22</definedName>
    <definedName name="HF_randomvalue">'Inorganic gases'!#REF!</definedName>
    <definedName name="HFC134avalue">'Halo. org.'!#REF!</definedName>
    <definedName name="HFvalue">'Inorganic gases'!$L$102</definedName>
    <definedName name="Hg_bulkelementvalue">'Inorganic gases'!$L$142</definedName>
    <definedName name="Hg_orevalue">'Abiotic resources'!$H$23</definedName>
    <definedName name="Hg_randomorevalue">'Abiotic resources'!$L$23</definedName>
    <definedName name="Hg_traceelementvalue">'Inorganic gases'!$L$138</definedName>
    <definedName name="Hgtoairastrace_randomvalue">'Inorganic gases'!#REF!</definedName>
    <definedName name="Hgtoairfrombulk_randomvalue">'Inorganic gases'!#REF!</definedName>
    <definedName name="HgtoWater_randomvalue">'Em to water'!#REF!</definedName>
    <definedName name="HgtoWater_value">'Em to water'!$M$39</definedName>
    <definedName name="HNO2value">'Inorganic gases'!$L$54</definedName>
    <definedName name="HNO3value">'Inorganic gases'!$L$55</definedName>
    <definedName name="Ho_orevalue">'Abiotic resources'!$H$24</definedName>
    <definedName name="Ho_randomorevalue">'Abiotic resources'!$L$24</definedName>
    <definedName name="housingvalue">'Env. goods'!$D$129</definedName>
    <definedName name="I_orevalue">'Abiotic resources'!$H$75</definedName>
    <definedName name="I_randomorevaue">'Abiotic resources'!$L$75</definedName>
    <definedName name="In_orevalue">'Abiotic resources'!$H$25</definedName>
    <definedName name="In_randomorevalue">'Abiotic resources'!$L$25</definedName>
    <definedName name="Industryuseofforestlandvalue">'Land use'!$O$17</definedName>
    <definedName name="infarct_randomvalue">'Env. goods'!#REF!</definedName>
    <definedName name="infarct_value">'Env. goods'!$D$118</definedName>
    <definedName name="intellectualdisability_randomvalue">'Env. goods'!#REF!</definedName>
    <definedName name="Intellectualdisability_value">'Env. goods'!$D$126</definedName>
    <definedName name="Ir_orevalue">'Abiotic resources'!$H$26</definedName>
    <definedName name="Ir_randomorevalue">'Abiotic resources'!$L$26</definedName>
    <definedName name="K_orevalue">'Abiotic resources'!$H$71</definedName>
    <definedName name="K_randomorevalue">'Abiotic resources'!$L$71</definedName>
    <definedName name="La_orevalue">'Abiotic resources'!$H$27</definedName>
    <definedName name="La_randomorevalue">'Abiotic resources'!$L$27</definedName>
    <definedName name="Li_orevalue">'Abiotic resources'!$H$28</definedName>
    <definedName name="Li_randomorevalue">'Abiotic resources'!$L$28</definedName>
    <definedName name="Lignit_randomvalue">'Env. goods'!#REF!</definedName>
    <definedName name="lignitevalue">'Env. goods'!$D$29</definedName>
    <definedName name="lowvision_randomvalue">'Env. goods'!#REF!</definedName>
    <definedName name="Lowvisionvalue">'Env. goods'!$D$124</definedName>
    <definedName name="Lu_orevalue">'Abiotic resources'!$H$29</definedName>
    <definedName name="Lu_randomorevalue">'Abiotic resources'!$L$29</definedName>
    <definedName name="malaria_episodes">'Env. goods'!$D$115</definedName>
    <definedName name="Malaria_episodes_randomvalue">'Env. goods'!#REF!</definedName>
    <definedName name="Meat_randomvalue">'Env. goods'!#REF!</definedName>
    <definedName name="meatvalue">'Env. goods'!$D$23</definedName>
    <definedName name="methanevalue">VOC!$Y$3</definedName>
    <definedName name="Mg_orevalue">'Abiotic resources'!$H$72</definedName>
    <definedName name="Mg_randomorevaue">'Abiotic resources'!$L$72</definedName>
    <definedName name="migrationvalue">'Env. goods'!#REF!</definedName>
    <definedName name="Mn_orevalue">'Abiotic resources'!$H$30</definedName>
    <definedName name="Mn_randomorevalue">'Abiotic resources'!$L$30</definedName>
    <definedName name="Mo_orevalue">'Abiotic resources'!$H$31</definedName>
    <definedName name="Mo_randomorevalue">'Abiotic resources'!$L$31</definedName>
    <definedName name="N_randomvalue">'Abiotic resources'!$L$81</definedName>
    <definedName name="N_value">'Abiotic resources'!$H$81</definedName>
    <definedName name="N2O_randomvalue">'Inorganic gases'!#REF!</definedName>
    <definedName name="N2Ovalue">'Inorganic gases'!$L$68</definedName>
    <definedName name="Na_orevalue">'Abiotic resources'!$H$70</definedName>
    <definedName name="Na_randomorevalue">'Abiotic resources'!$L$70</definedName>
    <definedName name="Naturalgas_randomvalue">'Env. goods'!#REF!</definedName>
    <definedName name="naturalgasvalue">'Env. goods'!$D$30</definedName>
    <definedName name="Nb_orevalue">'Abiotic resources'!$H$32</definedName>
    <definedName name="Nb_randomorevalue">'Abiotic resources'!$L$32</definedName>
    <definedName name="Nd_orevalue">'Abiotic resources'!$H$33</definedName>
    <definedName name="Nd_randomorevalue">'Abiotic resources'!$L$33</definedName>
    <definedName name="Ne_randomvalue">'Abiotic resources'!$L$80</definedName>
    <definedName name="Ne_value">'Abiotic resources'!$H$80</definedName>
    <definedName name="NH3_randomvalue">'Inorganic gases'!#REF!</definedName>
    <definedName name="NH3value">'Inorganic gases'!$L$134</definedName>
    <definedName name="Ni_orevalue">'Abiotic resources'!$H$34</definedName>
    <definedName name="Ni_randomorevalue">'Abiotic resources'!$L$34</definedName>
    <definedName name="Nitoair_randomvalue">Particles!#REF!</definedName>
    <definedName name="Nitoairvalue">Particles!$L$57</definedName>
    <definedName name="NMVOC_randomvalue">VOC!$AB$156</definedName>
    <definedName name="NMVOCvalue">VOC!$Y$156</definedName>
    <definedName name="NOx_crop_oxidantcharfact">'Inorganic gases'!$J$39</definedName>
    <definedName name="NOx_NEX_eutrofication_charfact">'Inorganic gases'!$J$51</definedName>
    <definedName name="NOx_nutrification_fish_charfact">'Inorganic gases'!$J$43</definedName>
    <definedName name="NOx_randomvalue">'Inorganic gases'!#REF!</definedName>
    <definedName name="NOx_wood_nutrification_charfact">'Inorganic gases'!$J$47</definedName>
    <definedName name="NOx_wood_oxidantcharfact">'Inorganic gases'!$J$46</definedName>
    <definedName name="NOx_YOLL_Oxidant_charfact">'Inorganic gases'!$J$35</definedName>
    <definedName name="NOxvalue">'Inorganic gases'!$L$52</definedName>
    <definedName name="Ntot_to_freshwater_randomvalue">'Em to water'!#REF!</definedName>
    <definedName name="Ntot_to_seawater_randomvalue">'Em to water'!#REF!</definedName>
    <definedName name="NtottoFreshwater_value">'Em to water'!$M$14</definedName>
    <definedName name="NtottoSeawater_value">'Em to water'!$M$19</definedName>
    <definedName name="O_randomvalue">'Abiotic resources'!$L$82</definedName>
    <definedName name="O_value">'Abiotic resources'!$H$82</definedName>
    <definedName name="O3_randomvalue">'Inorganic gases'!#REF!</definedName>
    <definedName name="O3value">'Inorganic gases'!$L$185</definedName>
    <definedName name="Oil_randomvalue">'Env. goods'!#REF!</definedName>
    <definedName name="oilvalue">'Env. goods'!$D$27</definedName>
    <definedName name="Os_orevalue">'Abiotic resources'!$H$35</definedName>
    <definedName name="Os_randomorevalue">'Abiotic resources'!$L$35</definedName>
    <definedName name="osteoporosis_randomvalue">'Env. goods'!#REF!</definedName>
    <definedName name="osteoporosisvalue">'Env. goods'!$D$127</definedName>
    <definedName name="P_orevalue">'Abiotic resources'!$H$36</definedName>
    <definedName name="P_randomorevalue">'Abiotic resources'!$L$36</definedName>
    <definedName name="PAHtoair_randomvalue">Particles!#REF!</definedName>
    <definedName name="PAHtoairvalue">Particles!$L$68</definedName>
    <definedName name="PAHvalue">Particles!$L$68</definedName>
    <definedName name="Pb_orevalue">'Abiotic resources'!$H$37</definedName>
    <definedName name="Pb_randomorevalue">'Abiotic resources'!$L$37</definedName>
    <definedName name="Pbtoair_randomvalue">Particles!#REF!</definedName>
    <definedName name="Pbtoairvalue">Particles!$L$63</definedName>
    <definedName name="PbtoFreshwater_randomvalue">'Em to water'!#REF!</definedName>
    <definedName name="PbtoFreshwater_value">'Em to water'!$M$37</definedName>
    <definedName name="Pd_orevalue">'Abiotic resources'!$H$38</definedName>
    <definedName name="Pd_randomorevalue">'Abiotic resources'!$L$38</definedName>
    <definedName name="persontransportvalue">'Env. goods'!$D$144</definedName>
    <definedName name="PM10value">Particles!#REF!</definedName>
    <definedName name="PM2.5_asthmacases_charfact">Particles!#REF!</definedName>
    <definedName name="PM2.5_climateYLL_charfact">Particles!$J$5</definedName>
    <definedName name="PM2.5_COPD_charfact">Particles!#REF!</definedName>
    <definedName name="PM2.5_crop_charfact">Particles!$J$9</definedName>
    <definedName name="PM2.5_diarrhea_charfact">Particles!$J$8</definedName>
    <definedName name="PM2.5_directexposure_YLL_charfact">Particles!$J$4</definedName>
    <definedName name="PM2.5_fish_climate_charfact">Particles!$J$11</definedName>
    <definedName name="PM2.5_meat_charfact">Particles!$J$10</definedName>
    <definedName name="PM2.5_randomvalue">Particles!#REF!</definedName>
    <definedName name="PM2.5_undernutrition_charfact">Particles!$J$6</definedName>
    <definedName name="PM2.5_wood_charfact">Particles!$J$12</definedName>
    <definedName name="PM2.5_workingcapacity_charfact">Particles!$J$7</definedName>
    <definedName name="PM2.5_YLL_charfact">Particles!$K$5</definedName>
    <definedName name="PM2.5value">Particles!$L$15</definedName>
    <definedName name="poisoning_randomvalue">'Env. goods'!#REF!</definedName>
    <definedName name="poisoningvalue">'Env. goods'!$D$125</definedName>
    <definedName name="Pr_orevalue">'Abiotic resources'!$H$39</definedName>
    <definedName name="Pr_randomorevalue">'Abiotic resources'!$L$39</definedName>
    <definedName name="Pt_orevalue">'Abiotic resources'!$H$40</definedName>
    <definedName name="Pt_randomorevalue">'Abiotic resources'!$L$40</definedName>
    <definedName name="PtottoFreshwater_randomvalue">'Em to water'!#REF!</definedName>
    <definedName name="PtottoFreshwater_value">'Em to water'!$M$24</definedName>
    <definedName name="Rb_orevalue">'Abiotic resources'!$H$41</definedName>
    <definedName name="Rb_randomorevalue">'Abiotic resources'!$L$41</definedName>
    <definedName name="Re_orevalue">'Abiotic resources'!$H$42</definedName>
    <definedName name="Re_randomorevalue">'Abiotic resources'!$L$42</definedName>
    <definedName name="renaldysfunction_randomvalue">'Env. goods'!#REF!</definedName>
    <definedName name="renaldysfunctionvalue">'Env. goods'!$D$128</definedName>
    <definedName name="Rh_orevalue">'Abiotic resources'!$H$43</definedName>
    <definedName name="Rh_randomorevalue">'Abiotic resources'!$L$43</definedName>
    <definedName name="Ru_orevalue">'Abiotic resources'!$H$44</definedName>
    <definedName name="Ru_randomorevalue">'Abiotic resources'!$L$44</definedName>
    <definedName name="S_orevalue">'Abiotic resources'!$H$73</definedName>
    <definedName name="S_randomorevalue">'Abiotic resources'!$L$73</definedName>
    <definedName name="Sb_orevalue">'Abiotic resources'!$H$45</definedName>
    <definedName name="Sb_randomorevalue">'Abiotic resources'!$L$45</definedName>
    <definedName name="Sc_orevalue">'Abiotic resources'!$H$46</definedName>
    <definedName name="Sc_randomorevalue">'Abiotic resources'!$L$46</definedName>
    <definedName name="Se_orevalue">'Abiotic resources'!$H$47</definedName>
    <definedName name="Se_randomorevalue">'Abiotic resources'!$L$47</definedName>
    <definedName name="Severe_Wasting_randomvalue">'Env. goods'!#REF!</definedName>
    <definedName name="severe_wasting_value">'Env. goods'!$D$113</definedName>
    <definedName name="Si_orevalue">'Abiotic resources'!$H$74</definedName>
    <definedName name="Si_randomorevalue">'Abiotic resources'!$L$74</definedName>
    <definedName name="skincancer_randomvalue">'Env. goods'!#REF!</definedName>
    <definedName name="skincancervalue">'Env. goods'!$D$123</definedName>
    <definedName name="Sm_orevalue">'Abiotic resources'!$H$48</definedName>
    <definedName name="Sm_randomorevalue">'Abiotic resources'!$L$48</definedName>
    <definedName name="Sn_orevalue">'Abiotic resources'!$H$49</definedName>
    <definedName name="Sn_randomorevalue">'Abiotic resources'!$L$49</definedName>
    <definedName name="SO2_climatechange_YLL_charfact">'Inorganic gases'!$J$71</definedName>
    <definedName name="SO2_crop_charfact">'Inorganic gases'!$J$77</definedName>
    <definedName name="SO2_diarrhoea_charfact">'Inorganic gases'!$J$76</definedName>
    <definedName name="SO2_drinkingwater_charfact">'Inorganic gases'!$J$82</definedName>
    <definedName name="SO2_fish_acidification_charfact">'Inorganic gases'!$J$78</definedName>
    <definedName name="SO2_fish_climate_charfact">'Inorganic gases'!$J$80</definedName>
    <definedName name="SO2_meat_charfact">'Inorganic gases'!$J$79</definedName>
    <definedName name="SO2_NEX_acidification_charfact">'Inorganic gases'!$J$84</definedName>
    <definedName name="SO2_NEX_climate_charfact">'Inorganic gases'!$J$83</definedName>
    <definedName name="SO2_randomvalue">'Inorganic gases'!#REF!</definedName>
    <definedName name="SO2_secaerosols_YLL_charfact">'Inorganic gases'!$J$72</definedName>
    <definedName name="SO2_undernutrition_charfact">'Inorganic gases'!$J$74</definedName>
    <definedName name="SO2_wood_charfact">'Inorganic gases'!$J$81</definedName>
    <definedName name="SO2_workingcapacity_charfact">'Inorganic gases'!$J$75</definedName>
    <definedName name="SO2value">'Inorganic gases'!$L$86</definedName>
    <definedName name="Species_randomvalue">'Env. goods'!#REF!</definedName>
    <definedName name="speciesvalue">'Env. goods'!$D$26</definedName>
    <definedName name="Sr_orevalue">'Abiotic resources'!$H$50</definedName>
    <definedName name="Sr_randomorevalue">'Abiotic resources'!$L$50</definedName>
    <definedName name="sumA_value">#REF!</definedName>
    <definedName name="sumB_value">#REF!</definedName>
    <definedName name="Ta_orevalue">'Abiotic resources'!$H$51</definedName>
    <definedName name="Ta_randomorevalue">'Abiotic resources'!$L$51</definedName>
    <definedName name="Tb_orevalue">'Abiotic resources'!$H$52</definedName>
    <definedName name="Tb_randomorevalue">'Abiotic resources'!$L$52</definedName>
    <definedName name="Te_orevalue">'Abiotic resources'!$H$53</definedName>
    <definedName name="Te_randomorevalue">'Abiotic resources'!$L$53</definedName>
    <definedName name="Th_orevalue">'Abiotic resources'!$H$54</definedName>
    <definedName name="Th_randomorevalue">'Abiotic resources'!$L$54</definedName>
    <definedName name="Ti_orevalue">'Abiotic resources'!$H$55</definedName>
    <definedName name="Ti_randomorevalue">'Abiotic resources'!$L$55</definedName>
    <definedName name="Tl_orevalue">'Abiotic resources'!$H$56</definedName>
    <definedName name="Tl_randomorevalue">'Abiotic resources'!$L$56</definedName>
    <definedName name="Tm_orevalue">'Abiotic resources'!$H$57</definedName>
    <definedName name="Tm_randomorevalue">'Abiotic resources'!$L$57</definedName>
    <definedName name="Total_added_value">#REF!</definedName>
    <definedName name="Total_value">#REF!</definedName>
    <definedName name="totalimpactvalue">#REF!</definedName>
    <definedName name="Totalvalue">#REF!</definedName>
    <definedName name="TSP_randomvalue">Particles!#REF!</definedName>
    <definedName name="TSP_value">Particles!$L$29</definedName>
    <definedName name="TSPvalue">Particles!#REF!</definedName>
    <definedName name="U235_orevalue">'Abiotic resources'!$H$58</definedName>
    <definedName name="U235_randomorevalue">'Abiotic resources'!$L$58</definedName>
    <definedName name="U238_orevalue">'Abiotic resources'!$H$59</definedName>
    <definedName name="U238_randomorevalue">'Abiotic resources'!$L$59</definedName>
    <definedName name="V_orevalue">'Abiotic resources'!$H$61</definedName>
    <definedName name="V_randommorevalue">'Abiotic resources'!$L$61</definedName>
    <definedName name="W_orevalue">'Abiotic resources'!$H$60</definedName>
    <definedName name="W_randomorevalue">'Abiotic resources'!$L$60</definedName>
    <definedName name="waterdeliveryvalue">'Env. goods'!$D$134</definedName>
    <definedName name="Wood_randomvalue">'Env. goods'!#REF!</definedName>
    <definedName name="woodvalue">'Env. goods'!$D$22</definedName>
    <definedName name="working_capacity">'Env. goods'!$D$119</definedName>
    <definedName name="working_capacity_randomvalue">'Env. goods'!#REF!</definedName>
    <definedName name="Y_orevalue">'Abiotic resources'!$H$62</definedName>
    <definedName name="Y_randomorevalue">'Abiotic resources'!$L$62</definedName>
    <definedName name="Yb_orevalue">'Abiotic resources'!$H$63</definedName>
    <definedName name="Yb_randomorevalue">'Abiotic resources'!$L$63</definedName>
    <definedName name="YLL_randomvalue">'Env. goods'!#REF!</definedName>
    <definedName name="YLLvalue">'Env. goods'!$D$112</definedName>
    <definedName name="Zn_orevalue">'Abiotic resources'!$H$64</definedName>
    <definedName name="Zn_randomorevalue">'Abiotic resources'!$L$64</definedName>
    <definedName name="Zr_orevalue">'Abiotic resources'!$H$65</definedName>
    <definedName name="Zr_randomorevalue">'Abiotic resources'!$L$65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 l="1"/>
  <c r="F16" i="35"/>
  <c r="F13" i="35"/>
  <c r="F12" i="35"/>
  <c r="F11" i="35"/>
  <c r="F9" i="35"/>
  <c r="F8" i="35"/>
  <c r="F7" i="35"/>
  <c r="F6" i="35"/>
  <c r="F5" i="35"/>
  <c r="H3" i="35"/>
  <c r="H18" i="29"/>
  <c r="H19" i="29" s="1"/>
  <c r="H20" i="29" s="1"/>
  <c r="H21" i="29" s="1"/>
  <c r="H22" i="29" s="1"/>
  <c r="H23" i="29" s="1"/>
  <c r="H24" i="29" s="1"/>
  <c r="H25" i="29" s="1"/>
  <c r="H26" i="29" s="1"/>
  <c r="H27" i="29" s="1"/>
  <c r="H28" i="29"/>
  <c r="F28" i="29"/>
  <c r="J28" i="29" l="1"/>
  <c r="H180" i="35"/>
  <c r="H178" i="35"/>
  <c r="H184" i="35" s="1"/>
  <c r="H177" i="35"/>
  <c r="H183" i="35" s="1"/>
  <c r="H176" i="35"/>
  <c r="H182" i="35" s="1"/>
  <c r="H175" i="35"/>
  <c r="H181" i="35" s="1"/>
  <c r="I50" i="35" l="1"/>
  <c r="I49" i="35"/>
  <c r="I48" i="35"/>
  <c r="I45" i="35"/>
  <c r="I41" i="35"/>
  <c r="I40" i="35"/>
  <c r="I38" i="35"/>
  <c r="I37" i="35"/>
  <c r="I36" i="35"/>
  <c r="I4" i="35" l="1"/>
  <c r="H4" i="35"/>
  <c r="J4" i="35" s="1"/>
  <c r="L4" i="35" s="1"/>
  <c r="E11" i="12" l="1"/>
  <c r="E10" i="12"/>
  <c r="E9" i="12"/>
  <c r="E8" i="12"/>
  <c r="E7" i="12"/>
  <c r="C11" i="12"/>
  <c r="C10" i="12"/>
  <c r="C9" i="12"/>
  <c r="C8" i="12"/>
  <c r="C7" i="12"/>
  <c r="C6" i="12"/>
  <c r="E6" i="12"/>
  <c r="I83" i="35" l="1"/>
  <c r="I82" i="35"/>
  <c r="I81" i="35"/>
  <c r="I80" i="35"/>
  <c r="I79" i="35"/>
  <c r="D128" i="2"/>
  <c r="K7" i="34" l="1"/>
  <c r="M7" i="34" s="1"/>
  <c r="I4" i="34"/>
  <c r="I3" i="34"/>
  <c r="G8" i="34" l="1"/>
  <c r="K8" i="34" s="1"/>
  <c r="M8" i="34" s="1"/>
  <c r="M9" i="34" s="1"/>
  <c r="G16" i="34"/>
  <c r="G11" i="34"/>
  <c r="H15" i="14"/>
  <c r="H65" i="14"/>
  <c r="H64" i="14"/>
  <c r="H63" i="14"/>
  <c r="H62" i="14"/>
  <c r="H61" i="14"/>
  <c r="H60" i="14"/>
  <c r="H58" i="14"/>
  <c r="H57" i="14"/>
  <c r="H56" i="14"/>
  <c r="H55" i="14"/>
  <c r="H54" i="14"/>
  <c r="H53" i="14"/>
  <c r="H52" i="14"/>
  <c r="H51" i="14"/>
  <c r="H49" i="14"/>
  <c r="H48" i="14"/>
  <c r="H46" i="14"/>
  <c r="H45" i="14"/>
  <c r="H42" i="14"/>
  <c r="H40" i="14"/>
  <c r="H39" i="14"/>
  <c r="H37" i="14"/>
  <c r="H36" i="14"/>
  <c r="H35" i="14"/>
  <c r="H34" i="14"/>
  <c r="H33" i="14"/>
  <c r="H32" i="14"/>
  <c r="H31" i="14"/>
  <c r="H30" i="14"/>
  <c r="H29" i="14"/>
  <c r="H27" i="14"/>
  <c r="H26" i="14"/>
  <c r="H25" i="14"/>
  <c r="H24" i="14"/>
  <c r="H23" i="14"/>
  <c r="H22" i="14"/>
  <c r="H20" i="14"/>
  <c r="H16" i="14"/>
  <c r="H17" i="14"/>
  <c r="H18" i="14"/>
  <c r="H14" i="14"/>
  <c r="H11" i="14"/>
  <c r="H12" i="14"/>
  <c r="H10" i="14"/>
  <c r="H9" i="14"/>
  <c r="H5" i="14"/>
  <c r="H6" i="14"/>
  <c r="H7" i="14"/>
  <c r="H3" i="14"/>
  <c r="H4" i="14"/>
  <c r="H2" i="14"/>
  <c r="H32" i="29" l="1"/>
  <c r="H33" i="29"/>
  <c r="H34" i="29"/>
  <c r="F39" i="29"/>
  <c r="F40" i="29"/>
  <c r="L41" i="29"/>
  <c r="F45" i="29"/>
  <c r="F46" i="29"/>
  <c r="M32" i="12"/>
  <c r="G29" i="12"/>
  <c r="M29" i="12"/>
  <c r="M27" i="12"/>
  <c r="M26" i="12"/>
  <c r="M25" i="12"/>
  <c r="M23" i="12"/>
  <c r="M22" i="12"/>
  <c r="M21" i="12"/>
  <c r="G16" i="12"/>
  <c r="G13" i="12"/>
  <c r="G9" i="12"/>
  <c r="M11" i="12"/>
  <c r="M10" i="12"/>
  <c r="M8" i="12"/>
  <c r="M7" i="12"/>
  <c r="M6" i="12"/>
  <c r="G6" i="12"/>
  <c r="J45" i="29" l="1"/>
  <c r="L45" i="29" s="1"/>
  <c r="J40" i="29"/>
  <c r="J39" i="29"/>
  <c r="L39" i="29" s="1"/>
  <c r="J46" i="29"/>
  <c r="J34" i="29"/>
  <c r="J33" i="29"/>
  <c r="L33" i="29" s="1"/>
  <c r="J32" i="29"/>
  <c r="L32" i="29" s="1"/>
  <c r="H4" i="30"/>
  <c r="F4" i="30"/>
  <c r="F172" i="9"/>
  <c r="N47" i="9"/>
  <c r="N65" i="9"/>
  <c r="N41" i="9"/>
  <c r="H97" i="35"/>
  <c r="H98" i="35" s="1"/>
  <c r="H99" i="35" s="1"/>
  <c r="H100" i="35" s="1"/>
  <c r="H91" i="35"/>
  <c r="H92" i="35" s="1"/>
  <c r="H93" i="35" s="1"/>
  <c r="H94" i="35" s="1"/>
  <c r="H95" i="35" s="1"/>
  <c r="F85" i="35"/>
  <c r="I75" i="35"/>
  <c r="I76" i="35"/>
  <c r="I74" i="35"/>
  <c r="I77" i="35" s="1"/>
  <c r="H74" i="35" l="1"/>
  <c r="H75" i="35" s="1"/>
  <c r="H76" i="35" s="1"/>
  <c r="I59" i="35"/>
  <c r="I60" i="35" s="1"/>
  <c r="I61" i="35" s="1"/>
  <c r="I62" i="35" s="1"/>
  <c r="I63" i="35" s="1"/>
  <c r="I64" i="35" s="1"/>
  <c r="I65" i="35" s="1"/>
  <c r="I66" i="35" s="1"/>
  <c r="I67" i="35" s="1"/>
  <c r="H59" i="35"/>
  <c r="H60" i="35" s="1"/>
  <c r="H61" i="35" s="1"/>
  <c r="H62" i="35" s="1"/>
  <c r="H63" i="35" s="1"/>
  <c r="H64" i="35" s="1"/>
  <c r="H65" i="35" s="1"/>
  <c r="H66" i="35" s="1"/>
  <c r="H67" i="35" s="1"/>
  <c r="I39" i="35"/>
  <c r="H39" i="35"/>
  <c r="H73" i="35"/>
  <c r="H70" i="35"/>
  <c r="G78" i="35"/>
  <c r="F78" i="35"/>
  <c r="F70" i="35"/>
  <c r="H22" i="35"/>
  <c r="H23" i="35" s="1"/>
  <c r="H24" i="35" s="1"/>
  <c r="H25" i="35" s="1"/>
  <c r="H26" i="35" s="1"/>
  <c r="H27" i="35" s="1"/>
  <c r="H28" i="35" s="1"/>
  <c r="H29" i="35" s="1"/>
  <c r="H30" i="35" s="1"/>
  <c r="F46" i="35"/>
  <c r="F44" i="35"/>
  <c r="H78" i="35" l="1"/>
  <c r="H77" i="35"/>
  <c r="H80" i="35" s="1"/>
  <c r="H81" i="35" s="1"/>
  <c r="H82" i="35" s="1"/>
  <c r="H83" i="35" s="1"/>
  <c r="H79" i="35"/>
  <c r="D23" i="2"/>
  <c r="H5" i="35"/>
  <c r="G380" i="10"/>
  <c r="E156" i="8"/>
  <c r="F156" i="8"/>
  <c r="G384" i="10"/>
  <c r="G401" i="10"/>
  <c r="I401" i="10"/>
  <c r="J401" i="10"/>
  <c r="G402" i="10"/>
  <c r="I402" i="10"/>
  <c r="J402" i="10"/>
  <c r="G403" i="10"/>
  <c r="I403" i="10"/>
  <c r="J403" i="10"/>
  <c r="G404" i="10"/>
  <c r="I404" i="10"/>
  <c r="J404" i="10"/>
  <c r="G405" i="10"/>
  <c r="I405" i="10"/>
  <c r="J405" i="10"/>
  <c r="G406" i="10"/>
  <c r="I406" i="10"/>
  <c r="J406" i="10"/>
  <c r="G407" i="10"/>
  <c r="I407" i="10"/>
  <c r="J407" i="10"/>
  <c r="G408" i="10"/>
  <c r="I408" i="10"/>
  <c r="J408" i="10"/>
  <c r="G409" i="10"/>
  <c r="I409" i="10"/>
  <c r="J409" i="10"/>
  <c r="G410" i="10"/>
  <c r="I410" i="10"/>
  <c r="J410" i="10"/>
  <c r="G411" i="10"/>
  <c r="I411" i="10"/>
  <c r="J411" i="10"/>
  <c r="G412" i="10"/>
  <c r="I412" i="10"/>
  <c r="J412" i="10"/>
  <c r="G413" i="10"/>
  <c r="I413" i="10"/>
  <c r="J413" i="10"/>
  <c r="G414" i="10"/>
  <c r="I414" i="10"/>
  <c r="J414" i="10"/>
  <c r="G415" i="10"/>
  <c r="I415" i="10"/>
  <c r="J415" i="10"/>
  <c r="G416" i="10"/>
  <c r="I416" i="10"/>
  <c r="J416" i="10"/>
  <c r="G417" i="10"/>
  <c r="I417" i="10"/>
  <c r="J417" i="10"/>
  <c r="G418" i="10"/>
  <c r="I418" i="10"/>
  <c r="J418" i="10"/>
  <c r="G419" i="10"/>
  <c r="I419" i="10"/>
  <c r="J419" i="10"/>
  <c r="G420" i="10"/>
  <c r="I420" i="10"/>
  <c r="J420" i="10"/>
  <c r="G421" i="10"/>
  <c r="I421" i="10"/>
  <c r="J421" i="10"/>
  <c r="G422" i="10"/>
  <c r="I422" i="10"/>
  <c r="J422" i="10"/>
  <c r="G423" i="10"/>
  <c r="I423" i="10"/>
  <c r="J423" i="10"/>
  <c r="G424" i="10"/>
  <c r="I424" i="10"/>
  <c r="J424" i="10"/>
  <c r="G425" i="10"/>
  <c r="I425" i="10"/>
  <c r="J425" i="10"/>
  <c r="G426" i="10"/>
  <c r="I426" i="10"/>
  <c r="J426" i="10"/>
  <c r="G427" i="10"/>
  <c r="I427" i="10"/>
  <c r="J427" i="10"/>
  <c r="G428" i="10"/>
  <c r="I428" i="10"/>
  <c r="J428" i="10"/>
  <c r="G429" i="10"/>
  <c r="G430" i="10"/>
  <c r="I430" i="10"/>
  <c r="J430" i="10"/>
  <c r="G431" i="10"/>
  <c r="I431" i="10"/>
  <c r="J431" i="10"/>
  <c r="G432" i="10"/>
  <c r="I432" i="10"/>
  <c r="J432" i="10"/>
  <c r="G433" i="10"/>
  <c r="I433" i="10"/>
  <c r="J433" i="10"/>
  <c r="G434" i="10"/>
  <c r="I434" i="10"/>
  <c r="J434" i="10"/>
  <c r="G435" i="10"/>
  <c r="I435" i="10"/>
  <c r="J435" i="10"/>
  <c r="G436" i="10"/>
  <c r="I436" i="10"/>
  <c r="J436" i="10"/>
  <c r="G437" i="10"/>
  <c r="I437" i="10"/>
  <c r="J437" i="10"/>
  <c r="G438" i="10"/>
  <c r="I438" i="10"/>
  <c r="J438" i="10"/>
  <c r="G439" i="10"/>
  <c r="I439" i="10"/>
  <c r="J439" i="10"/>
  <c r="G440" i="10"/>
  <c r="I440" i="10"/>
  <c r="J440" i="10"/>
  <c r="G441" i="10"/>
  <c r="I441" i="10"/>
  <c r="J441" i="10"/>
  <c r="G442" i="10"/>
  <c r="I442" i="10"/>
  <c r="J442" i="10"/>
  <c r="G443" i="10"/>
  <c r="I443" i="10"/>
  <c r="J443" i="10"/>
  <c r="G444" i="10"/>
  <c r="I444" i="10"/>
  <c r="J444" i="10"/>
  <c r="G445" i="10"/>
  <c r="I445" i="10"/>
  <c r="J445" i="10"/>
  <c r="G446" i="10"/>
  <c r="I446" i="10"/>
  <c r="J446" i="10"/>
  <c r="G447" i="10"/>
  <c r="I447" i="10"/>
  <c r="J447" i="10"/>
  <c r="G448" i="10"/>
  <c r="I448" i="10"/>
  <c r="J448" i="10"/>
  <c r="G449" i="10"/>
  <c r="I449" i="10"/>
  <c r="J449" i="10"/>
  <c r="G450" i="10"/>
  <c r="I450" i="10"/>
  <c r="J450" i="10"/>
  <c r="G451" i="10"/>
  <c r="I451" i="10"/>
  <c r="J451" i="10"/>
  <c r="G452" i="10"/>
  <c r="I452" i="10"/>
  <c r="J452" i="10"/>
  <c r="G453" i="10"/>
  <c r="I453" i="10"/>
  <c r="J453" i="10"/>
  <c r="G454" i="10"/>
  <c r="I454" i="10"/>
  <c r="J454" i="10"/>
  <c r="G455" i="10"/>
  <c r="I455" i="10"/>
  <c r="J455" i="10"/>
  <c r="G456" i="10"/>
  <c r="I456" i="10"/>
  <c r="J456" i="10"/>
  <c r="G457" i="10"/>
  <c r="I457" i="10"/>
  <c r="J457" i="10"/>
  <c r="G458" i="10"/>
  <c r="I458" i="10"/>
  <c r="J458" i="10"/>
  <c r="G459" i="10"/>
  <c r="I459" i="10"/>
  <c r="J459" i="10"/>
  <c r="G460" i="10"/>
  <c r="I460" i="10"/>
  <c r="J460" i="10"/>
  <c r="G461" i="10"/>
  <c r="I461" i="10"/>
  <c r="J461" i="10"/>
  <c r="G462" i="10"/>
  <c r="I462" i="10"/>
  <c r="J462" i="10"/>
  <c r="G463" i="10"/>
  <c r="I463" i="10"/>
  <c r="J463" i="10"/>
  <c r="G464" i="10"/>
  <c r="I464" i="10"/>
  <c r="J464" i="10"/>
  <c r="G465" i="10"/>
  <c r="I465" i="10"/>
  <c r="J465" i="10"/>
  <c r="G466" i="10"/>
  <c r="I466" i="10"/>
  <c r="J466" i="10"/>
  <c r="G467" i="10"/>
  <c r="I467" i="10"/>
  <c r="J467" i="10"/>
  <c r="G468" i="10"/>
  <c r="I468" i="10"/>
  <c r="J468" i="10"/>
  <c r="G469" i="10"/>
  <c r="I469" i="10"/>
  <c r="J469" i="10"/>
  <c r="G470" i="10"/>
  <c r="I470" i="10"/>
  <c r="J470" i="10"/>
  <c r="G471" i="10"/>
  <c r="I471" i="10"/>
  <c r="J471" i="10"/>
  <c r="G472" i="10"/>
  <c r="I472" i="10"/>
  <c r="J472" i="10"/>
  <c r="G473" i="10"/>
  <c r="I473" i="10"/>
  <c r="J473" i="10"/>
  <c r="G474" i="10"/>
  <c r="I474" i="10"/>
  <c r="J474" i="10"/>
  <c r="G475" i="10"/>
  <c r="I475" i="10"/>
  <c r="J475" i="10"/>
  <c r="G476" i="10"/>
  <c r="I476" i="10"/>
  <c r="J476" i="10"/>
  <c r="G477" i="10"/>
  <c r="I477" i="10"/>
  <c r="J477" i="10"/>
  <c r="G478" i="10"/>
  <c r="I478" i="10"/>
  <c r="J478" i="10"/>
  <c r="G479" i="10"/>
  <c r="I479" i="10"/>
  <c r="J479" i="10"/>
  <c r="G480" i="10"/>
  <c r="I480" i="10"/>
  <c r="J480" i="10"/>
  <c r="G481" i="10"/>
  <c r="I481" i="10"/>
  <c r="J481" i="10"/>
  <c r="G482" i="10"/>
  <c r="I482" i="10"/>
  <c r="J482" i="10"/>
  <c r="G483" i="10"/>
  <c r="I483" i="10"/>
  <c r="J483" i="10"/>
  <c r="G484" i="10"/>
  <c r="I484" i="10"/>
  <c r="J484" i="10"/>
  <c r="G485" i="10"/>
  <c r="I485" i="10"/>
  <c r="J485" i="10"/>
  <c r="G486" i="10"/>
  <c r="I486" i="10"/>
  <c r="J486" i="10"/>
  <c r="G487" i="10"/>
  <c r="I487" i="10"/>
  <c r="J487" i="10"/>
  <c r="G488" i="10"/>
  <c r="I488" i="10"/>
  <c r="J488" i="10"/>
  <c r="G489" i="10"/>
  <c r="I489" i="10"/>
  <c r="J489" i="10"/>
  <c r="G490" i="10"/>
  <c r="I490" i="10"/>
  <c r="J490" i="10"/>
  <c r="G491" i="10"/>
  <c r="I491" i="10"/>
  <c r="J491" i="10"/>
  <c r="G492" i="10"/>
  <c r="I492" i="10"/>
  <c r="J492" i="10"/>
  <c r="G493" i="10"/>
  <c r="I493" i="10"/>
  <c r="J493" i="10"/>
  <c r="G494" i="10"/>
  <c r="I494" i="10"/>
  <c r="J494" i="10"/>
  <c r="G495" i="10"/>
  <c r="I495" i="10"/>
  <c r="J495" i="10"/>
  <c r="G496" i="10"/>
  <c r="I496" i="10"/>
  <c r="J496" i="10"/>
  <c r="G497" i="10"/>
  <c r="I497" i="10"/>
  <c r="J497" i="10"/>
  <c r="G498" i="10"/>
  <c r="I498" i="10"/>
  <c r="J498" i="10"/>
  <c r="G499" i="10"/>
  <c r="I499" i="10"/>
  <c r="J499" i="10"/>
  <c r="G500" i="10"/>
  <c r="I500" i="10"/>
  <c r="J500" i="10"/>
  <c r="G501" i="10"/>
  <c r="I501" i="10"/>
  <c r="J501" i="10"/>
  <c r="G502" i="10"/>
  <c r="I502" i="10"/>
  <c r="J502" i="10"/>
  <c r="G503" i="10"/>
  <c r="I503" i="10"/>
  <c r="J503" i="10"/>
  <c r="G504" i="10"/>
  <c r="I504" i="10"/>
  <c r="J504" i="10"/>
  <c r="G505" i="10"/>
  <c r="I505" i="10"/>
  <c r="J505" i="10"/>
  <c r="G506" i="10"/>
  <c r="I506" i="10"/>
  <c r="J506" i="10"/>
  <c r="G507" i="10"/>
  <c r="I507" i="10"/>
  <c r="J507" i="10"/>
  <c r="G508" i="10"/>
  <c r="I508" i="10"/>
  <c r="J508" i="10"/>
  <c r="G509" i="10"/>
  <c r="I509" i="10"/>
  <c r="J509" i="10"/>
  <c r="G510" i="10"/>
  <c r="I510" i="10"/>
  <c r="J510" i="10"/>
  <c r="G511" i="10"/>
  <c r="I511" i="10"/>
  <c r="J511" i="10"/>
  <c r="G512" i="10"/>
  <c r="I512" i="10"/>
  <c r="J512" i="10"/>
  <c r="G513" i="10"/>
  <c r="I513" i="10"/>
  <c r="J513" i="10"/>
  <c r="G514" i="10"/>
  <c r="I514" i="10"/>
  <c r="J514" i="10"/>
  <c r="G386" i="10"/>
  <c r="I386" i="10"/>
  <c r="J386" i="10"/>
  <c r="G387" i="10"/>
  <c r="I387" i="10"/>
  <c r="J387" i="10"/>
  <c r="G388" i="10"/>
  <c r="I388" i="10"/>
  <c r="J388" i="10"/>
  <c r="G389" i="10"/>
  <c r="I389" i="10"/>
  <c r="J389" i="10"/>
  <c r="G390" i="10"/>
  <c r="I390" i="10"/>
  <c r="J390" i="10"/>
  <c r="G391" i="10"/>
  <c r="I391" i="10"/>
  <c r="J391" i="10"/>
  <c r="G392" i="10"/>
  <c r="I392" i="10"/>
  <c r="J392" i="10"/>
  <c r="G393" i="10"/>
  <c r="I393" i="10"/>
  <c r="J393" i="10"/>
  <c r="G394" i="10"/>
  <c r="I394" i="10"/>
  <c r="J394" i="10"/>
  <c r="G395" i="10"/>
  <c r="I395" i="10"/>
  <c r="J395" i="10"/>
  <c r="G396" i="10"/>
  <c r="I396" i="10"/>
  <c r="J396" i="10"/>
  <c r="G397" i="10"/>
  <c r="I397" i="10"/>
  <c r="J397" i="10"/>
  <c r="G398" i="10"/>
  <c r="I398" i="10"/>
  <c r="J398" i="10"/>
  <c r="G399" i="10"/>
  <c r="I399" i="10"/>
  <c r="J399" i="10"/>
  <c r="I384" i="10"/>
  <c r="J384" i="10"/>
  <c r="J383" i="10"/>
  <c r="I383" i="10"/>
  <c r="G383" i="10"/>
  <c r="G372" i="10"/>
  <c r="I372" i="10"/>
  <c r="J372" i="10"/>
  <c r="G373" i="10"/>
  <c r="I373" i="10"/>
  <c r="J373" i="10"/>
  <c r="G374" i="10"/>
  <c r="I374" i="10"/>
  <c r="J374" i="10"/>
  <c r="G375" i="10"/>
  <c r="I375" i="10"/>
  <c r="J375" i="10"/>
  <c r="G376" i="10"/>
  <c r="I376" i="10"/>
  <c r="J376" i="10"/>
  <c r="G377" i="10"/>
  <c r="I377" i="10"/>
  <c r="J377" i="10"/>
  <c r="G378" i="10"/>
  <c r="I378" i="10"/>
  <c r="J378" i="10"/>
  <c r="G379" i="10"/>
  <c r="I379" i="10"/>
  <c r="J379" i="10"/>
  <c r="G381" i="10"/>
  <c r="I381" i="10"/>
  <c r="J381" i="10"/>
  <c r="G371" i="10"/>
  <c r="J371" i="10"/>
  <c r="I371" i="10"/>
  <c r="G345" i="10"/>
  <c r="I345" i="10"/>
  <c r="J345" i="10"/>
  <c r="G346" i="10"/>
  <c r="I346" i="10"/>
  <c r="J346" i="10"/>
  <c r="G347" i="10"/>
  <c r="I347" i="10"/>
  <c r="J347" i="10"/>
  <c r="G348" i="10"/>
  <c r="I348" i="10"/>
  <c r="J348" i="10"/>
  <c r="G349" i="10"/>
  <c r="I349" i="10"/>
  <c r="J349" i="10"/>
  <c r="G350" i="10"/>
  <c r="I350" i="10"/>
  <c r="J350" i="10"/>
  <c r="G351" i="10"/>
  <c r="I351" i="10"/>
  <c r="J351" i="10"/>
  <c r="G352" i="10"/>
  <c r="I352" i="10"/>
  <c r="J352" i="10"/>
  <c r="G353" i="10"/>
  <c r="I353" i="10"/>
  <c r="J353" i="10"/>
  <c r="G354" i="10"/>
  <c r="I354" i="10"/>
  <c r="J354" i="10"/>
  <c r="G355" i="10"/>
  <c r="I355" i="10"/>
  <c r="J355" i="10"/>
  <c r="G356" i="10"/>
  <c r="I356" i="10"/>
  <c r="J356" i="10"/>
  <c r="G357" i="10"/>
  <c r="I357" i="10"/>
  <c r="J357" i="10"/>
  <c r="G358" i="10"/>
  <c r="I358" i="10"/>
  <c r="J358" i="10"/>
  <c r="G359" i="10"/>
  <c r="I359" i="10"/>
  <c r="J359" i="10"/>
  <c r="G360" i="10"/>
  <c r="I360" i="10"/>
  <c r="J360" i="10"/>
  <c r="G361" i="10"/>
  <c r="I361" i="10"/>
  <c r="J361" i="10"/>
  <c r="G362" i="10"/>
  <c r="I362" i="10"/>
  <c r="J362" i="10"/>
  <c r="G363" i="10"/>
  <c r="I363" i="10"/>
  <c r="J363" i="10"/>
  <c r="G364" i="10"/>
  <c r="I364" i="10"/>
  <c r="J364" i="10"/>
  <c r="G365" i="10"/>
  <c r="I365" i="10"/>
  <c r="J365" i="10"/>
  <c r="G366" i="10"/>
  <c r="I366" i="10"/>
  <c r="J366" i="10"/>
  <c r="G367" i="10"/>
  <c r="I367" i="10"/>
  <c r="J367" i="10"/>
  <c r="G368" i="10"/>
  <c r="I368" i="10"/>
  <c r="J368" i="10"/>
  <c r="G369" i="10"/>
  <c r="I369" i="10"/>
  <c r="J369" i="10"/>
  <c r="J344" i="10"/>
  <c r="I344" i="10"/>
  <c r="G344" i="10"/>
  <c r="J89" i="10"/>
  <c r="J7" i="10"/>
  <c r="G7" i="10"/>
  <c r="I341" i="10"/>
  <c r="J341" i="10"/>
  <c r="I342" i="10"/>
  <c r="J342" i="10"/>
  <c r="G4" i="10"/>
  <c r="G5" i="10"/>
  <c r="G6" i="10"/>
  <c r="G8" i="10"/>
  <c r="G9" i="10"/>
  <c r="G10" i="10"/>
  <c r="G11" i="10"/>
  <c r="G12" i="10"/>
  <c r="G13" i="10"/>
  <c r="G14" i="10"/>
  <c r="G15" i="10"/>
  <c r="G16"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G182" i="10"/>
  <c r="G183" i="10"/>
  <c r="G184" i="10"/>
  <c r="G185" i="10"/>
  <c r="G186" i="10"/>
  <c r="G187" i="10"/>
  <c r="G188" i="10"/>
  <c r="G189" i="10"/>
  <c r="G190" i="10"/>
  <c r="G191" i="10"/>
  <c r="G192" i="10"/>
  <c r="G193" i="10"/>
  <c r="G194" i="10"/>
  <c r="G195" i="10"/>
  <c r="G196" i="10"/>
  <c r="G197" i="10"/>
  <c r="G198" i="10"/>
  <c r="G199" i="10"/>
  <c r="G200" i="10"/>
  <c r="G201" i="10"/>
  <c r="G202" i="10"/>
  <c r="G203" i="10"/>
  <c r="G204" i="10"/>
  <c r="G205" i="10"/>
  <c r="G206" i="10"/>
  <c r="G207" i="10"/>
  <c r="G208" i="10"/>
  <c r="G209" i="10"/>
  <c r="G210" i="10"/>
  <c r="G211" i="10"/>
  <c r="G212" i="10"/>
  <c r="G213" i="10"/>
  <c r="G214" i="10"/>
  <c r="G215" i="10"/>
  <c r="G216" i="10"/>
  <c r="G217" i="10"/>
  <c r="G218" i="10"/>
  <c r="G219" i="10"/>
  <c r="G220" i="10"/>
  <c r="G221" i="10"/>
  <c r="G222" i="10"/>
  <c r="G223" i="10"/>
  <c r="G224" i="10"/>
  <c r="G225" i="10"/>
  <c r="G226" i="10"/>
  <c r="G227" i="10"/>
  <c r="G228" i="10"/>
  <c r="G229" i="10"/>
  <c r="G230" i="10"/>
  <c r="G231" i="10"/>
  <c r="G232" i="10"/>
  <c r="G233" i="10"/>
  <c r="G234" i="10"/>
  <c r="G235" i="10"/>
  <c r="G236" i="10"/>
  <c r="G237" i="10"/>
  <c r="G238" i="10"/>
  <c r="G239" i="10"/>
  <c r="G240" i="10"/>
  <c r="G241" i="10"/>
  <c r="G242" i="10"/>
  <c r="G243" i="10"/>
  <c r="G244" i="10"/>
  <c r="G245" i="10"/>
  <c r="G246" i="10"/>
  <c r="G247" i="10"/>
  <c r="G248" i="10"/>
  <c r="G249" i="10"/>
  <c r="G250" i="10"/>
  <c r="G251" i="10"/>
  <c r="G252" i="10"/>
  <c r="G253" i="10"/>
  <c r="G254" i="10"/>
  <c r="G255" i="10"/>
  <c r="G256" i="10"/>
  <c r="G257" i="10"/>
  <c r="G258" i="10"/>
  <c r="G259" i="10"/>
  <c r="G260" i="10"/>
  <c r="G261" i="10"/>
  <c r="G262" i="10"/>
  <c r="G263" i="10"/>
  <c r="G264" i="10"/>
  <c r="G265" i="10"/>
  <c r="G266" i="10"/>
  <c r="G267" i="10"/>
  <c r="G268" i="10"/>
  <c r="G269" i="10"/>
  <c r="G270" i="10"/>
  <c r="G271" i="10"/>
  <c r="G272" i="10"/>
  <c r="G273" i="10"/>
  <c r="G274" i="10"/>
  <c r="G275" i="10"/>
  <c r="G276" i="10"/>
  <c r="G277" i="10"/>
  <c r="G278" i="10"/>
  <c r="G279" i="10"/>
  <c r="G280" i="10"/>
  <c r="G281" i="10"/>
  <c r="G282" i="10"/>
  <c r="G283" i="10"/>
  <c r="G284" i="10"/>
  <c r="G285" i="10"/>
  <c r="G286" i="10"/>
  <c r="G287" i="10"/>
  <c r="G288" i="10"/>
  <c r="G289" i="10"/>
  <c r="G290" i="10"/>
  <c r="G291" i="10"/>
  <c r="G292" i="10"/>
  <c r="G293" i="10"/>
  <c r="G294" i="10"/>
  <c r="G295" i="10"/>
  <c r="G296" i="10"/>
  <c r="G297" i="10"/>
  <c r="G298" i="10"/>
  <c r="G299" i="10"/>
  <c r="G300" i="10"/>
  <c r="G301" i="10"/>
  <c r="G302" i="10"/>
  <c r="G303" i="10"/>
  <c r="G304" i="10"/>
  <c r="G305" i="10"/>
  <c r="G306" i="10"/>
  <c r="G307" i="10"/>
  <c r="G308" i="10"/>
  <c r="G309" i="10"/>
  <c r="G310" i="10"/>
  <c r="G311" i="10"/>
  <c r="G312" i="10"/>
  <c r="G313" i="10"/>
  <c r="G314" i="10"/>
  <c r="G315" i="10"/>
  <c r="G316" i="10"/>
  <c r="G317" i="10"/>
  <c r="G318" i="10"/>
  <c r="G319" i="10"/>
  <c r="G320" i="10"/>
  <c r="G321" i="10"/>
  <c r="G322" i="10"/>
  <c r="G323" i="10"/>
  <c r="G324" i="10"/>
  <c r="G325" i="10"/>
  <c r="G326" i="10"/>
  <c r="G327" i="10"/>
  <c r="G328" i="10"/>
  <c r="G329" i="10"/>
  <c r="G330" i="10"/>
  <c r="G331" i="10"/>
  <c r="G332" i="10"/>
  <c r="G333" i="10"/>
  <c r="G334" i="10"/>
  <c r="G335" i="10"/>
  <c r="G336" i="10"/>
  <c r="G337" i="10"/>
  <c r="G338" i="10"/>
  <c r="G339" i="10"/>
  <c r="G340" i="10"/>
  <c r="G341" i="10"/>
  <c r="G342" i="10"/>
  <c r="I340" i="10"/>
  <c r="J340" i="10"/>
  <c r="I339" i="10"/>
  <c r="J339" i="10"/>
  <c r="I338" i="10"/>
  <c r="J338" i="10"/>
  <c r="I337" i="10"/>
  <c r="J337" i="10"/>
  <c r="I336" i="10"/>
  <c r="J336" i="10"/>
  <c r="I335" i="10"/>
  <c r="J335" i="10"/>
  <c r="I334" i="10"/>
  <c r="J334" i="10"/>
  <c r="I333" i="10"/>
  <c r="J333" i="10"/>
  <c r="J380" i="10" l="1"/>
  <c r="I380" i="10"/>
  <c r="I332" i="10"/>
  <c r="J332" i="10"/>
  <c r="I331" i="10"/>
  <c r="J331" i="10"/>
  <c r="I330" i="10"/>
  <c r="J330" i="10"/>
  <c r="I329" i="10"/>
  <c r="J329" i="10"/>
  <c r="I328" i="10"/>
  <c r="J328" i="10"/>
  <c r="I327" i="10"/>
  <c r="J327" i="10"/>
  <c r="I326" i="10"/>
  <c r="J326" i="10"/>
  <c r="I325" i="10"/>
  <c r="J325" i="10"/>
  <c r="I324" i="10"/>
  <c r="J324" i="10"/>
  <c r="I323" i="10"/>
  <c r="J323" i="10"/>
  <c r="I322" i="10"/>
  <c r="J322" i="10"/>
  <c r="I321" i="10"/>
  <c r="J321" i="10"/>
  <c r="I320" i="10" l="1"/>
  <c r="J320" i="10"/>
  <c r="I77" i="10"/>
  <c r="J77" i="10"/>
  <c r="I78" i="10"/>
  <c r="J78" i="10"/>
  <c r="I79" i="10"/>
  <c r="J79" i="10"/>
  <c r="I80" i="10"/>
  <c r="J80" i="10"/>
  <c r="I81" i="10"/>
  <c r="J81" i="10"/>
  <c r="I82" i="10"/>
  <c r="J82" i="10"/>
  <c r="I83" i="10"/>
  <c r="J83" i="10"/>
  <c r="I84" i="10"/>
  <c r="J84" i="10"/>
  <c r="I85" i="10"/>
  <c r="J85" i="10"/>
  <c r="I86" i="10"/>
  <c r="J86" i="10"/>
  <c r="I87" i="10"/>
  <c r="J87" i="10"/>
  <c r="I88" i="10"/>
  <c r="J88" i="10"/>
  <c r="I89" i="10"/>
  <c r="I90" i="10"/>
  <c r="J90" i="10"/>
  <c r="I91" i="10"/>
  <c r="J91" i="10"/>
  <c r="I92" i="10"/>
  <c r="J92" i="10"/>
  <c r="I93" i="10"/>
  <c r="J93" i="10"/>
  <c r="I94" i="10"/>
  <c r="J94" i="10"/>
  <c r="I95" i="10"/>
  <c r="J95" i="10"/>
  <c r="I96" i="10"/>
  <c r="J96" i="10"/>
  <c r="I97" i="10"/>
  <c r="J97" i="10"/>
  <c r="I98" i="10"/>
  <c r="J98" i="10"/>
  <c r="I99" i="10"/>
  <c r="J99" i="10"/>
  <c r="I100" i="10"/>
  <c r="J100" i="10"/>
  <c r="I101" i="10"/>
  <c r="J101" i="10"/>
  <c r="I102" i="10"/>
  <c r="J102" i="10"/>
  <c r="I103" i="10"/>
  <c r="J103" i="10"/>
  <c r="I104" i="10"/>
  <c r="J104" i="10"/>
  <c r="I105" i="10"/>
  <c r="J105" i="10"/>
  <c r="I106" i="10"/>
  <c r="J106" i="10"/>
  <c r="I107" i="10"/>
  <c r="J107" i="10"/>
  <c r="I108" i="10"/>
  <c r="J108" i="10"/>
  <c r="I109" i="10"/>
  <c r="J109" i="10"/>
  <c r="I110" i="10"/>
  <c r="J110" i="10"/>
  <c r="I111" i="10"/>
  <c r="J111" i="10"/>
  <c r="I112" i="10"/>
  <c r="J112" i="10"/>
  <c r="I113" i="10"/>
  <c r="J113" i="10"/>
  <c r="I114" i="10"/>
  <c r="J114" i="10"/>
  <c r="I115" i="10"/>
  <c r="J115" i="10"/>
  <c r="I116" i="10"/>
  <c r="J116" i="10"/>
  <c r="I117" i="10"/>
  <c r="J117" i="10"/>
  <c r="I118" i="10"/>
  <c r="J118" i="10"/>
  <c r="I119" i="10"/>
  <c r="J119" i="10"/>
  <c r="I120" i="10"/>
  <c r="J120" i="10"/>
  <c r="I121" i="10"/>
  <c r="J121" i="10"/>
  <c r="I122" i="10"/>
  <c r="J122" i="10"/>
  <c r="I123" i="10"/>
  <c r="J123" i="10"/>
  <c r="I124" i="10"/>
  <c r="J124" i="10"/>
  <c r="I125" i="10"/>
  <c r="J125" i="10"/>
  <c r="I126" i="10"/>
  <c r="J126" i="10"/>
  <c r="I127" i="10"/>
  <c r="J127" i="10"/>
  <c r="I128" i="10"/>
  <c r="J128" i="10"/>
  <c r="I129" i="10"/>
  <c r="J129" i="10"/>
  <c r="I130" i="10"/>
  <c r="J130" i="10"/>
  <c r="I131" i="10"/>
  <c r="J131" i="10"/>
  <c r="I132" i="10"/>
  <c r="J132" i="10"/>
  <c r="I133" i="10"/>
  <c r="J133" i="10"/>
  <c r="I134" i="10"/>
  <c r="J134" i="10"/>
  <c r="I135" i="10"/>
  <c r="J135" i="10"/>
  <c r="I136" i="10"/>
  <c r="J136" i="10"/>
  <c r="I137" i="10"/>
  <c r="J137" i="10"/>
  <c r="I138" i="10"/>
  <c r="J138" i="10"/>
  <c r="I139" i="10"/>
  <c r="J139" i="10"/>
  <c r="I140" i="10"/>
  <c r="J140" i="10"/>
  <c r="I141" i="10"/>
  <c r="J141" i="10"/>
  <c r="I142" i="10"/>
  <c r="J142" i="10"/>
  <c r="I143" i="10"/>
  <c r="J143" i="10"/>
  <c r="I144" i="10"/>
  <c r="J144" i="10"/>
  <c r="I145" i="10"/>
  <c r="J145" i="10"/>
  <c r="I146" i="10"/>
  <c r="J146" i="10"/>
  <c r="I147" i="10"/>
  <c r="J147" i="10"/>
  <c r="I148" i="10"/>
  <c r="J148" i="10"/>
  <c r="I149" i="10"/>
  <c r="J149" i="10"/>
  <c r="I150" i="10"/>
  <c r="J150" i="10"/>
  <c r="I151" i="10"/>
  <c r="J151" i="10"/>
  <c r="I152" i="10"/>
  <c r="J152" i="10"/>
  <c r="I153" i="10"/>
  <c r="J153" i="10"/>
  <c r="I154" i="10"/>
  <c r="J154" i="10"/>
  <c r="I155" i="10"/>
  <c r="J155" i="10"/>
  <c r="I156" i="10"/>
  <c r="J156" i="10"/>
  <c r="I157" i="10"/>
  <c r="J157" i="10"/>
  <c r="I158" i="10"/>
  <c r="J158" i="10"/>
  <c r="I159" i="10"/>
  <c r="J159" i="10"/>
  <c r="I160" i="10"/>
  <c r="J160" i="10"/>
  <c r="I161" i="10"/>
  <c r="J161" i="10"/>
  <c r="I162" i="10"/>
  <c r="J162" i="10"/>
  <c r="I163" i="10"/>
  <c r="J163" i="10"/>
  <c r="I164" i="10"/>
  <c r="J164" i="10"/>
  <c r="I165" i="10"/>
  <c r="J165" i="10"/>
  <c r="I166" i="10"/>
  <c r="J166" i="10"/>
  <c r="I167" i="10"/>
  <c r="J167" i="10"/>
  <c r="I168" i="10"/>
  <c r="J168" i="10"/>
  <c r="I169" i="10"/>
  <c r="J169" i="10"/>
  <c r="I170" i="10"/>
  <c r="J170" i="10"/>
  <c r="I171" i="10"/>
  <c r="J171" i="10"/>
  <c r="I172" i="10"/>
  <c r="J172" i="10"/>
  <c r="I173" i="10"/>
  <c r="J173" i="10"/>
  <c r="I174" i="10"/>
  <c r="J174" i="10"/>
  <c r="I175" i="10"/>
  <c r="J175" i="10"/>
  <c r="I176" i="10"/>
  <c r="J176" i="10"/>
  <c r="I177" i="10"/>
  <c r="J177" i="10"/>
  <c r="I178" i="10"/>
  <c r="J178" i="10"/>
  <c r="I179" i="10"/>
  <c r="J179" i="10"/>
  <c r="I180" i="10"/>
  <c r="J180" i="10"/>
  <c r="I181" i="10"/>
  <c r="J181" i="10"/>
  <c r="I182" i="10"/>
  <c r="J182" i="10"/>
  <c r="I183" i="10"/>
  <c r="J183" i="10"/>
  <c r="I184" i="10"/>
  <c r="J184" i="10"/>
  <c r="I185" i="10"/>
  <c r="J185" i="10"/>
  <c r="I186" i="10"/>
  <c r="J186" i="10"/>
  <c r="I187" i="10"/>
  <c r="J187" i="10"/>
  <c r="I188" i="10"/>
  <c r="J188" i="10"/>
  <c r="I189" i="10"/>
  <c r="J189" i="10"/>
  <c r="I190" i="10"/>
  <c r="J190" i="10"/>
  <c r="I191" i="10"/>
  <c r="J191" i="10"/>
  <c r="I192" i="10"/>
  <c r="J192" i="10"/>
  <c r="I193" i="10"/>
  <c r="J193" i="10"/>
  <c r="I194" i="10"/>
  <c r="J194" i="10"/>
  <c r="I195" i="10"/>
  <c r="J195" i="10"/>
  <c r="I196" i="10"/>
  <c r="J196" i="10"/>
  <c r="I197" i="10"/>
  <c r="J197" i="10"/>
  <c r="I198" i="10"/>
  <c r="J198" i="10"/>
  <c r="I199" i="10"/>
  <c r="J199" i="10"/>
  <c r="I200" i="10"/>
  <c r="J200" i="10"/>
  <c r="I201" i="10"/>
  <c r="J201" i="10"/>
  <c r="I202" i="10"/>
  <c r="J202" i="10"/>
  <c r="I203" i="10"/>
  <c r="J203" i="10"/>
  <c r="I204" i="10"/>
  <c r="J204" i="10"/>
  <c r="I205" i="10"/>
  <c r="J205" i="10"/>
  <c r="I206" i="10"/>
  <c r="J206" i="10"/>
  <c r="I207" i="10"/>
  <c r="J207" i="10"/>
  <c r="I208" i="10"/>
  <c r="J208" i="10"/>
  <c r="I209" i="10"/>
  <c r="J209" i="10"/>
  <c r="I210" i="10"/>
  <c r="J210" i="10"/>
  <c r="I211" i="10"/>
  <c r="J211" i="10"/>
  <c r="I212" i="10"/>
  <c r="J212" i="10"/>
  <c r="I213" i="10"/>
  <c r="J213" i="10"/>
  <c r="I214" i="10"/>
  <c r="J214" i="10"/>
  <c r="I215" i="10"/>
  <c r="J215" i="10"/>
  <c r="I216" i="10"/>
  <c r="J216" i="10"/>
  <c r="I217" i="10"/>
  <c r="J217" i="10"/>
  <c r="I218" i="10"/>
  <c r="J218" i="10"/>
  <c r="I219" i="10"/>
  <c r="J219" i="10"/>
  <c r="I220" i="10"/>
  <c r="J220" i="10"/>
  <c r="I221" i="10"/>
  <c r="J221" i="10"/>
  <c r="I222" i="10"/>
  <c r="J222" i="10"/>
  <c r="I223" i="10"/>
  <c r="J223" i="10"/>
  <c r="I224" i="10"/>
  <c r="J224" i="10"/>
  <c r="I225" i="10"/>
  <c r="J225" i="10"/>
  <c r="I226" i="10"/>
  <c r="J226" i="10"/>
  <c r="I227" i="10"/>
  <c r="J227" i="10"/>
  <c r="I228" i="10"/>
  <c r="J228" i="10"/>
  <c r="I229" i="10"/>
  <c r="J229" i="10"/>
  <c r="I230" i="10"/>
  <c r="J230" i="10"/>
  <c r="I231" i="10"/>
  <c r="J231" i="10"/>
  <c r="I232" i="10"/>
  <c r="J232" i="10"/>
  <c r="I233" i="10"/>
  <c r="J233" i="10"/>
  <c r="I234" i="10"/>
  <c r="J234" i="10"/>
  <c r="I235" i="10"/>
  <c r="J235" i="10"/>
  <c r="I236" i="10"/>
  <c r="J236" i="10"/>
  <c r="I237" i="10"/>
  <c r="J237" i="10"/>
  <c r="I238" i="10"/>
  <c r="J238" i="10"/>
  <c r="I239" i="10"/>
  <c r="J239" i="10"/>
  <c r="I240" i="10"/>
  <c r="J240" i="10"/>
  <c r="I241" i="10"/>
  <c r="J241" i="10"/>
  <c r="I242" i="10"/>
  <c r="J242" i="10"/>
  <c r="I243" i="10"/>
  <c r="J243" i="10"/>
  <c r="I244" i="10"/>
  <c r="J244" i="10"/>
  <c r="I245" i="10"/>
  <c r="J245" i="10"/>
  <c r="I246" i="10"/>
  <c r="J246" i="10"/>
  <c r="I247" i="10"/>
  <c r="J247" i="10"/>
  <c r="I248" i="10"/>
  <c r="J248" i="10"/>
  <c r="I249" i="10"/>
  <c r="J249" i="10"/>
  <c r="I250" i="10"/>
  <c r="J250" i="10"/>
  <c r="I251" i="10"/>
  <c r="J251" i="10"/>
  <c r="I252" i="10"/>
  <c r="J252" i="10"/>
  <c r="I253" i="10"/>
  <c r="J253" i="10"/>
  <c r="I254" i="10"/>
  <c r="J254" i="10"/>
  <c r="I255" i="10"/>
  <c r="J255" i="10"/>
  <c r="I256" i="10"/>
  <c r="J256" i="10"/>
  <c r="I257" i="10"/>
  <c r="J257" i="10"/>
  <c r="I258" i="10"/>
  <c r="J258" i="10"/>
  <c r="I259" i="10"/>
  <c r="J259" i="10"/>
  <c r="I260" i="10"/>
  <c r="J260" i="10"/>
  <c r="I261" i="10"/>
  <c r="J261" i="10"/>
  <c r="I262" i="10"/>
  <c r="J262" i="10"/>
  <c r="I263" i="10"/>
  <c r="J263" i="10"/>
  <c r="I264" i="10"/>
  <c r="J264" i="10"/>
  <c r="I265" i="10"/>
  <c r="J265" i="10"/>
  <c r="I266" i="10"/>
  <c r="J266" i="10"/>
  <c r="I267" i="10"/>
  <c r="J267" i="10"/>
  <c r="I268" i="10"/>
  <c r="J268" i="10"/>
  <c r="I269" i="10"/>
  <c r="J269" i="10"/>
  <c r="I270" i="10"/>
  <c r="J270" i="10"/>
  <c r="I271" i="10"/>
  <c r="J271" i="10"/>
  <c r="I272" i="10"/>
  <c r="J272" i="10"/>
  <c r="I273" i="10"/>
  <c r="J273" i="10"/>
  <c r="I274" i="10"/>
  <c r="J274" i="10"/>
  <c r="I275" i="10"/>
  <c r="J275" i="10"/>
  <c r="I276" i="10"/>
  <c r="J276" i="10"/>
  <c r="I277" i="10"/>
  <c r="J277" i="10"/>
  <c r="I278" i="10"/>
  <c r="J278" i="10"/>
  <c r="I279" i="10"/>
  <c r="J279" i="10"/>
  <c r="I280" i="10"/>
  <c r="J280" i="10"/>
  <c r="I281" i="10"/>
  <c r="J281" i="10"/>
  <c r="I282" i="10"/>
  <c r="J282" i="10"/>
  <c r="I283" i="10"/>
  <c r="J283" i="10"/>
  <c r="I284" i="10"/>
  <c r="J284" i="10"/>
  <c r="I285" i="10"/>
  <c r="J285" i="10"/>
  <c r="I286" i="10"/>
  <c r="J286" i="10"/>
  <c r="I287" i="10"/>
  <c r="J287" i="10"/>
  <c r="I288" i="10"/>
  <c r="J288" i="10"/>
  <c r="I289" i="10"/>
  <c r="J289" i="10"/>
  <c r="I290" i="10"/>
  <c r="J290" i="10"/>
  <c r="I291" i="10"/>
  <c r="J291" i="10"/>
  <c r="I292" i="10"/>
  <c r="J292" i="10"/>
  <c r="I293" i="10"/>
  <c r="J293" i="10"/>
  <c r="I294" i="10"/>
  <c r="J294" i="10"/>
  <c r="I295" i="10"/>
  <c r="J295" i="10"/>
  <c r="I296" i="10"/>
  <c r="J296" i="10"/>
  <c r="I297" i="10"/>
  <c r="J297" i="10"/>
  <c r="I298" i="10"/>
  <c r="J298" i="10"/>
  <c r="I299" i="10"/>
  <c r="J299" i="10"/>
  <c r="I300" i="10"/>
  <c r="J300" i="10"/>
  <c r="I301" i="10"/>
  <c r="J301" i="10"/>
  <c r="I302" i="10"/>
  <c r="J302" i="10"/>
  <c r="I303" i="10"/>
  <c r="J303" i="10"/>
  <c r="I304" i="10"/>
  <c r="J304" i="10"/>
  <c r="I305" i="10"/>
  <c r="J305" i="10"/>
  <c r="I306" i="10"/>
  <c r="J306" i="10"/>
  <c r="I307" i="10"/>
  <c r="J307" i="10"/>
  <c r="I308" i="10"/>
  <c r="J308" i="10"/>
  <c r="I309" i="10"/>
  <c r="J309" i="10"/>
  <c r="I310" i="10"/>
  <c r="J310" i="10"/>
  <c r="I311" i="10"/>
  <c r="J311" i="10"/>
  <c r="I312" i="10"/>
  <c r="J312" i="10"/>
  <c r="I313" i="10"/>
  <c r="J313" i="10"/>
  <c r="I314" i="10"/>
  <c r="J314" i="10"/>
  <c r="I315" i="10"/>
  <c r="J315" i="10"/>
  <c r="I316" i="10"/>
  <c r="J316" i="10"/>
  <c r="I317" i="10"/>
  <c r="J317" i="10"/>
  <c r="I318" i="10"/>
  <c r="J318" i="10"/>
  <c r="I319" i="10"/>
  <c r="J319" i="10"/>
  <c r="I76" i="10"/>
  <c r="J76" i="10"/>
  <c r="I73" i="10"/>
  <c r="J73" i="10"/>
  <c r="I18" i="10"/>
  <c r="J18" i="10"/>
  <c r="I19" i="10"/>
  <c r="J19" i="10"/>
  <c r="I20" i="10"/>
  <c r="J20" i="10"/>
  <c r="I21" i="10"/>
  <c r="J21" i="10"/>
  <c r="I22" i="10"/>
  <c r="J22" i="10"/>
  <c r="I23" i="10"/>
  <c r="J23" i="10"/>
  <c r="I24" i="10"/>
  <c r="J24" i="10"/>
  <c r="I25" i="10"/>
  <c r="J25" i="10"/>
  <c r="I26" i="10"/>
  <c r="J26" i="10"/>
  <c r="I27" i="10"/>
  <c r="J27" i="10"/>
  <c r="I28" i="10"/>
  <c r="J28" i="10"/>
  <c r="I29" i="10"/>
  <c r="J29" i="10"/>
  <c r="I30" i="10"/>
  <c r="J30" i="10"/>
  <c r="I31" i="10"/>
  <c r="J31" i="10"/>
  <c r="I32" i="10"/>
  <c r="J32" i="10"/>
  <c r="I33" i="10"/>
  <c r="J33" i="10"/>
  <c r="I34" i="10"/>
  <c r="J34" i="10"/>
  <c r="I35" i="10"/>
  <c r="J35" i="10"/>
  <c r="I36" i="10"/>
  <c r="J36" i="10"/>
  <c r="I37" i="10"/>
  <c r="J37" i="10"/>
  <c r="I38" i="10"/>
  <c r="J38" i="10"/>
  <c r="I39" i="10"/>
  <c r="J39" i="10"/>
  <c r="I40" i="10"/>
  <c r="J40" i="10"/>
  <c r="I41" i="10"/>
  <c r="J41" i="10"/>
  <c r="I42" i="10"/>
  <c r="J42" i="10"/>
  <c r="I43" i="10"/>
  <c r="J43" i="10"/>
  <c r="I44" i="10"/>
  <c r="J44" i="10"/>
  <c r="I45" i="10"/>
  <c r="J45" i="10"/>
  <c r="I46" i="10"/>
  <c r="J46" i="10"/>
  <c r="I47" i="10"/>
  <c r="J47" i="10"/>
  <c r="I48" i="10"/>
  <c r="J48" i="10"/>
  <c r="I49" i="10"/>
  <c r="J49" i="10"/>
  <c r="I50" i="10"/>
  <c r="J50" i="10"/>
  <c r="I51" i="10"/>
  <c r="J51" i="10"/>
  <c r="I52" i="10"/>
  <c r="J52" i="10"/>
  <c r="I53" i="10"/>
  <c r="J53" i="10"/>
  <c r="I54" i="10"/>
  <c r="J54" i="10"/>
  <c r="I55" i="10"/>
  <c r="J55" i="10"/>
  <c r="I56" i="10"/>
  <c r="J56" i="10"/>
  <c r="I57" i="10"/>
  <c r="J57" i="10"/>
  <c r="I58" i="10"/>
  <c r="J58" i="10"/>
  <c r="I59" i="10"/>
  <c r="J59" i="10"/>
  <c r="I60" i="10"/>
  <c r="J60" i="10"/>
  <c r="I61" i="10"/>
  <c r="J61" i="10"/>
  <c r="I62" i="10"/>
  <c r="J62" i="10"/>
  <c r="I63" i="10"/>
  <c r="J63" i="10"/>
  <c r="I64" i="10"/>
  <c r="J64" i="10"/>
  <c r="I65" i="10"/>
  <c r="J65" i="10"/>
  <c r="I66" i="10"/>
  <c r="J66" i="10"/>
  <c r="I67" i="10"/>
  <c r="J67" i="10"/>
  <c r="I11" i="10"/>
  <c r="J11" i="10"/>
  <c r="F67" i="29"/>
  <c r="F66" i="29"/>
  <c r="H60" i="29"/>
  <c r="H61" i="29"/>
  <c r="F55" i="29"/>
  <c r="F54" i="29"/>
  <c r="J60" i="29" l="1"/>
  <c r="L60" i="29" s="1"/>
  <c r="D120" i="2"/>
  <c r="G182" i="35" l="1"/>
  <c r="G180" i="35"/>
  <c r="G175" i="35"/>
  <c r="H179" i="35"/>
  <c r="H173" i="35" l="1"/>
  <c r="H170" i="35"/>
  <c r="H165" i="35"/>
  <c r="G170" i="35"/>
  <c r="G165" i="35"/>
  <c r="G159" i="35"/>
  <c r="G105" i="35"/>
  <c r="G110" i="35"/>
  <c r="H156" i="35"/>
  <c r="H151" i="35"/>
  <c r="G156" i="35"/>
  <c r="G151" i="35"/>
  <c r="G145" i="35"/>
  <c r="G132" i="35"/>
  <c r="G129" i="35"/>
  <c r="G126" i="35"/>
  <c r="H125" i="35"/>
  <c r="G125" i="35"/>
  <c r="G119" i="35"/>
  <c r="G67" i="35"/>
  <c r="G66" i="35"/>
  <c r="G65" i="35"/>
  <c r="G64" i="35"/>
  <c r="G63" i="35"/>
  <c r="G60" i="35"/>
  <c r="G61" i="35"/>
  <c r="G62" i="35"/>
  <c r="G59" i="35"/>
  <c r="G57" i="35"/>
  <c r="G50" i="35"/>
  <c r="G49" i="35"/>
  <c r="G48" i="35"/>
  <c r="G45" i="35"/>
  <c r="G41" i="35"/>
  <c r="G40" i="35"/>
  <c r="G38" i="35"/>
  <c r="G37" i="35"/>
  <c r="G36" i="35"/>
  <c r="G104" i="35"/>
  <c r="G71" i="35"/>
  <c r="G74" i="35"/>
  <c r="G91" i="35" s="1"/>
  <c r="G75" i="35"/>
  <c r="G92" i="35" s="1"/>
  <c r="G76" i="35"/>
  <c r="G93" i="35" s="1"/>
  <c r="G77" i="35"/>
  <c r="G94" i="35" s="1"/>
  <c r="G79" i="35"/>
  <c r="G111" i="35" s="1"/>
  <c r="G80" i="35"/>
  <c r="G95" i="35" s="1"/>
  <c r="G81" i="35"/>
  <c r="G98" i="35" s="1"/>
  <c r="G82" i="35"/>
  <c r="G99" i="35" s="1"/>
  <c r="G83" i="35"/>
  <c r="G100" i="35" s="1"/>
  <c r="G90" i="35"/>
  <c r="G96" i="35"/>
  <c r="H96" i="35"/>
  <c r="H101" i="35"/>
  <c r="H85" i="35"/>
  <c r="F73" i="35"/>
  <c r="F72" i="35"/>
  <c r="I54" i="35"/>
  <c r="H45" i="35"/>
  <c r="D125" i="2"/>
  <c r="D124" i="2"/>
  <c r="D113" i="2"/>
  <c r="F39" i="35"/>
  <c r="J72" i="35" l="1"/>
  <c r="L72" i="35" s="1"/>
  <c r="G114" i="35"/>
  <c r="G146" i="35"/>
  <c r="G153" i="35"/>
  <c r="G162" i="35"/>
  <c r="G164" i="35"/>
  <c r="G113" i="35"/>
  <c r="G161" i="35"/>
  <c r="G154" i="35"/>
  <c r="G106" i="35"/>
  <c r="G167" i="35"/>
  <c r="G166" i="35"/>
  <c r="G160" i="35"/>
  <c r="G168" i="35"/>
  <c r="G163" i="35"/>
  <c r="G169" i="35"/>
  <c r="G108" i="35"/>
  <c r="G152" i="35"/>
  <c r="G115" i="35"/>
  <c r="G107" i="35"/>
  <c r="G147" i="35"/>
  <c r="G112" i="35"/>
  <c r="G149" i="35"/>
  <c r="G155" i="35"/>
  <c r="G148" i="35"/>
  <c r="G150" i="35"/>
  <c r="G109" i="35"/>
  <c r="G120" i="35"/>
  <c r="G127" i="35"/>
  <c r="G128" i="35"/>
  <c r="G130" i="35"/>
  <c r="G131" i="35"/>
  <c r="G122" i="35"/>
  <c r="G121" i="35"/>
  <c r="G123" i="35"/>
  <c r="G124" i="35"/>
  <c r="G97" i="35"/>
  <c r="G33" i="35"/>
  <c r="F33" i="35"/>
  <c r="H50" i="35"/>
  <c r="H49" i="35"/>
  <c r="H48" i="35"/>
  <c r="H41" i="35"/>
  <c r="H40" i="35"/>
  <c r="H38" i="35"/>
  <c r="H37" i="35"/>
  <c r="H36" i="35"/>
  <c r="F104" i="35" l="1"/>
  <c r="F159" i="35"/>
  <c r="F119" i="35"/>
  <c r="F90" i="35"/>
  <c r="F145" i="35"/>
  <c r="I9" i="10"/>
  <c r="J9" i="10"/>
  <c r="I7" i="10"/>
  <c r="G28" i="35"/>
  <c r="G27" i="35" l="1"/>
  <c r="G21" i="35"/>
  <c r="I16" i="34"/>
  <c r="I12" i="34"/>
  <c r="D119" i="2"/>
  <c r="L28" i="29" s="1"/>
  <c r="H6" i="35"/>
  <c r="H7" i="35" s="1"/>
  <c r="H8" i="35" s="1"/>
  <c r="H9" i="35" s="1"/>
  <c r="H10" i="35" s="1"/>
  <c r="H11" i="35" s="1"/>
  <c r="H12" i="35" s="1"/>
  <c r="H13" i="35" s="1"/>
  <c r="H14" i="35" s="1"/>
  <c r="H15" i="35" s="1"/>
  <c r="J15" i="35" s="1"/>
  <c r="K22" i="34"/>
  <c r="M22" i="34" s="1"/>
  <c r="H17" i="34"/>
  <c r="I13" i="34"/>
  <c r="O26" i="12" l="1"/>
  <c r="O25" i="12"/>
  <c r="O23" i="12"/>
  <c r="O14" i="12"/>
  <c r="O30" i="12"/>
  <c r="O29" i="12"/>
  <c r="O18" i="12"/>
  <c r="O16" i="12"/>
  <c r="O13" i="12"/>
  <c r="O32" i="12"/>
  <c r="O20" i="12"/>
  <c r="O27" i="12"/>
  <c r="O17" i="12"/>
  <c r="O15" i="12"/>
  <c r="O22" i="12"/>
  <c r="O21" i="12"/>
  <c r="O8" i="12"/>
  <c r="O6" i="12"/>
  <c r="O10" i="12"/>
  <c r="O7" i="12"/>
  <c r="O11" i="12"/>
  <c r="L15" i="35"/>
  <c r="R11" i="8"/>
  <c r="R148" i="8"/>
  <c r="R86" i="8"/>
  <c r="R142" i="8"/>
  <c r="R147" i="8"/>
  <c r="R49" i="8"/>
  <c r="R154" i="8"/>
  <c r="R146" i="8"/>
  <c r="R48" i="8"/>
  <c r="R87" i="8"/>
  <c r="R153" i="8"/>
  <c r="R130" i="8"/>
  <c r="R152" i="8"/>
  <c r="R129" i="8"/>
  <c r="R151" i="8"/>
  <c r="R124" i="8"/>
  <c r="R149" i="8"/>
  <c r="R150" i="8"/>
  <c r="R113" i="8"/>
  <c r="F182" i="35"/>
  <c r="F81" i="35"/>
  <c r="F65" i="35"/>
  <c r="H16" i="35"/>
  <c r="H17" i="35" s="1"/>
  <c r="J14" i="35"/>
  <c r="E102" i="2"/>
  <c r="E74" i="2"/>
  <c r="D74" i="2"/>
  <c r="E73" i="2"/>
  <c r="D73" i="2"/>
  <c r="E59" i="2"/>
  <c r="D59" i="2"/>
  <c r="E33" i="2"/>
  <c r="D33" i="2"/>
  <c r="D79" i="2"/>
  <c r="D47" i="2"/>
  <c r="D127" i="2"/>
  <c r="D122" i="2"/>
  <c r="D121" i="2"/>
  <c r="E119" i="2"/>
  <c r="D116" i="2"/>
  <c r="D114" i="2"/>
  <c r="E111" i="2"/>
  <c r="E107" i="2"/>
  <c r="E110" i="2"/>
  <c r="E109" i="2"/>
  <c r="E108" i="2"/>
  <c r="E106" i="2"/>
  <c r="E105" i="2"/>
  <c r="E104" i="2"/>
  <c r="E103" i="2"/>
  <c r="E101" i="2"/>
  <c r="E100" i="2"/>
  <c r="E99" i="2"/>
  <c r="E98" i="2"/>
  <c r="E97" i="2"/>
  <c r="E96" i="2"/>
  <c r="E95" i="2"/>
  <c r="E94" i="2"/>
  <c r="E93" i="2"/>
  <c r="E92" i="2"/>
  <c r="E91" i="2"/>
  <c r="E90" i="2"/>
  <c r="E89" i="2"/>
  <c r="E88" i="2"/>
  <c r="E87" i="2"/>
  <c r="E86" i="2"/>
  <c r="E85" i="2"/>
  <c r="E84" i="2"/>
  <c r="E83" i="2"/>
  <c r="E82" i="2"/>
  <c r="E81" i="2"/>
  <c r="E80" i="2"/>
  <c r="E78" i="2"/>
  <c r="E77" i="2"/>
  <c r="E76" i="2"/>
  <c r="E75" i="2"/>
  <c r="E72" i="2"/>
  <c r="E71" i="2"/>
  <c r="E70" i="2"/>
  <c r="E69" i="2"/>
  <c r="E68" i="2"/>
  <c r="E67" i="2"/>
  <c r="E66" i="2"/>
  <c r="E65" i="2"/>
  <c r="E64" i="2"/>
  <c r="E63" i="2"/>
  <c r="E62" i="2"/>
  <c r="E61" i="2"/>
  <c r="E60" i="2"/>
  <c r="E58" i="2"/>
  <c r="E57" i="2"/>
  <c r="E56" i="2"/>
  <c r="E55" i="2"/>
  <c r="E54" i="2"/>
  <c r="E52" i="2"/>
  <c r="E51" i="2"/>
  <c r="E50" i="2"/>
  <c r="E49" i="2"/>
  <c r="E48" i="2"/>
  <c r="E46" i="2"/>
  <c r="E45" i="2"/>
  <c r="E44" i="2"/>
  <c r="E43" i="2"/>
  <c r="E42" i="2"/>
  <c r="E41" i="2"/>
  <c r="E40" i="2"/>
  <c r="E39" i="2"/>
  <c r="E38" i="2"/>
  <c r="E36" i="2"/>
  <c r="E35" i="2"/>
  <c r="E34" i="2"/>
  <c r="D93" i="2"/>
  <c r="D42" i="2"/>
  <c r="D107" i="2"/>
  <c r="D102" i="2"/>
  <c r="D31" i="2"/>
  <c r="F59" i="14"/>
  <c r="H59" i="14" s="1"/>
  <c r="H19" i="14"/>
  <c r="L46" i="29" l="1"/>
  <c r="L40" i="29"/>
  <c r="L34" i="29"/>
  <c r="V143" i="8"/>
  <c r="V151" i="8"/>
  <c r="V133" i="8"/>
  <c r="V127" i="8"/>
  <c r="V119" i="8"/>
  <c r="V107" i="8"/>
  <c r="V100" i="8"/>
  <c r="V92" i="8"/>
  <c r="V82" i="8"/>
  <c r="V74" i="8"/>
  <c r="V65" i="8"/>
  <c r="V57" i="8"/>
  <c r="V46" i="8"/>
  <c r="V38" i="8"/>
  <c r="V29" i="8"/>
  <c r="V11" i="8"/>
  <c r="V19" i="8"/>
  <c r="V27" i="8"/>
  <c r="V144" i="8"/>
  <c r="V152" i="8"/>
  <c r="V134" i="8"/>
  <c r="V128" i="8"/>
  <c r="V120" i="8"/>
  <c r="V108" i="8"/>
  <c r="V99" i="8"/>
  <c r="V90" i="8"/>
  <c r="V81" i="8"/>
  <c r="V73" i="8"/>
  <c r="V64" i="8"/>
  <c r="V56" i="8"/>
  <c r="V45" i="8"/>
  <c r="V37" i="8"/>
  <c r="V4" i="8"/>
  <c r="V12" i="8"/>
  <c r="V20" i="8"/>
  <c r="V3" i="8"/>
  <c r="V145" i="8"/>
  <c r="V153" i="8"/>
  <c r="V135" i="8"/>
  <c r="V129" i="8"/>
  <c r="V121" i="8"/>
  <c r="V109" i="8"/>
  <c r="V98" i="8"/>
  <c r="V89" i="8"/>
  <c r="V80" i="8"/>
  <c r="V72" i="8"/>
  <c r="V63" i="8"/>
  <c r="V55" i="8"/>
  <c r="V44" i="8"/>
  <c r="V36" i="8"/>
  <c r="V5" i="8"/>
  <c r="V13" i="8"/>
  <c r="V21" i="8"/>
  <c r="V146" i="8"/>
  <c r="V154" i="8"/>
  <c r="V136" i="8"/>
  <c r="V130" i="8"/>
  <c r="V115" i="8"/>
  <c r="V110" i="8"/>
  <c r="V97" i="8"/>
  <c r="V87" i="8"/>
  <c r="V79" i="8"/>
  <c r="V70" i="8"/>
  <c r="V62" i="8"/>
  <c r="V53" i="8"/>
  <c r="V43" i="8"/>
  <c r="V35" i="8"/>
  <c r="V6" i="8"/>
  <c r="V14" i="8"/>
  <c r="V22" i="8"/>
  <c r="V147" i="8"/>
  <c r="V142" i="8"/>
  <c r="V132" i="8"/>
  <c r="V123" i="8"/>
  <c r="V103" i="8"/>
  <c r="V111" i="8"/>
  <c r="V96" i="8"/>
  <c r="V86" i="8"/>
  <c r="V78" i="8"/>
  <c r="V69" i="8"/>
  <c r="V61" i="8"/>
  <c r="V51" i="8"/>
  <c r="V42" i="8"/>
  <c r="V34" i="8"/>
  <c r="V7" i="8"/>
  <c r="V15" i="8"/>
  <c r="V23" i="8"/>
  <c r="V148" i="8"/>
  <c r="V139" i="8"/>
  <c r="V124" i="8"/>
  <c r="V116" i="8"/>
  <c r="V104" i="8"/>
  <c r="V112" i="8"/>
  <c r="V95" i="8"/>
  <c r="V85" i="8"/>
  <c r="V77" i="8"/>
  <c r="V68" i="8"/>
  <c r="V60" i="8"/>
  <c r="V50" i="8"/>
  <c r="V41" i="8"/>
  <c r="V32" i="8"/>
  <c r="V8" i="8"/>
  <c r="V16" i="8"/>
  <c r="V24" i="8"/>
  <c r="V149" i="8"/>
  <c r="V140" i="8"/>
  <c r="V125" i="8"/>
  <c r="V117" i="8"/>
  <c r="V105" i="8"/>
  <c r="V113" i="8"/>
  <c r="V94" i="8"/>
  <c r="V84" i="8"/>
  <c r="V76" i="8"/>
  <c r="V67" i="8"/>
  <c r="V59" i="8"/>
  <c r="V49" i="8"/>
  <c r="V40" i="8"/>
  <c r="V31" i="8"/>
  <c r="V9" i="8"/>
  <c r="V17" i="8"/>
  <c r="V25" i="8"/>
  <c r="V118" i="8"/>
  <c r="V48" i="8"/>
  <c r="Q431" i="10"/>
  <c r="Q433" i="10"/>
  <c r="Q435" i="10"/>
  <c r="Q437" i="10"/>
  <c r="Q439" i="10"/>
  <c r="V106" i="8"/>
  <c r="V39" i="8"/>
  <c r="V102" i="8"/>
  <c r="V30" i="8"/>
  <c r="V93" i="8"/>
  <c r="V10" i="8"/>
  <c r="Q401" i="10"/>
  <c r="Q403" i="10"/>
  <c r="Q405" i="10"/>
  <c r="Q407" i="10"/>
  <c r="Q409" i="10"/>
  <c r="Q411" i="10"/>
  <c r="Q413" i="10"/>
  <c r="Q415" i="10"/>
  <c r="Q417" i="10"/>
  <c r="Q419" i="10"/>
  <c r="Q421" i="10"/>
  <c r="Q423" i="10"/>
  <c r="Q425" i="10"/>
  <c r="Q427" i="10"/>
  <c r="V83" i="8"/>
  <c r="V18" i="8"/>
  <c r="Q430" i="10"/>
  <c r="Q432" i="10"/>
  <c r="Q434" i="10"/>
  <c r="Q436" i="10"/>
  <c r="Q438" i="10"/>
  <c r="Q440" i="10"/>
  <c r="Q442" i="10"/>
  <c r="Q444" i="10"/>
  <c r="Q446" i="10"/>
  <c r="Q448" i="10"/>
  <c r="Q450" i="10"/>
  <c r="V150" i="8"/>
  <c r="V75" i="8"/>
  <c r="V26" i="8"/>
  <c r="V138" i="8"/>
  <c r="V66" i="8"/>
  <c r="Q408" i="10"/>
  <c r="Q424" i="10"/>
  <c r="Q410" i="10"/>
  <c r="Q426" i="10"/>
  <c r="Q452" i="10"/>
  <c r="Q455" i="10"/>
  <c r="Q460" i="10"/>
  <c r="Q462" i="10"/>
  <c r="Q464" i="10"/>
  <c r="Q466" i="10"/>
  <c r="Q468" i="10"/>
  <c r="Q470" i="10"/>
  <c r="Q472" i="10"/>
  <c r="Q474" i="10"/>
  <c r="Q476" i="10"/>
  <c r="Q478" i="10"/>
  <c r="Q480" i="10"/>
  <c r="Q482" i="10"/>
  <c r="Q412" i="10"/>
  <c r="Q428" i="10"/>
  <c r="Q443" i="10"/>
  <c r="Q445" i="10"/>
  <c r="Q414" i="10"/>
  <c r="Q441" i="10"/>
  <c r="Q447" i="10"/>
  <c r="Q453" i="10"/>
  <c r="Q458" i="10"/>
  <c r="V126" i="8"/>
  <c r="Q416" i="10"/>
  <c r="Q449" i="10"/>
  <c r="V58" i="8"/>
  <c r="Q402" i="10"/>
  <c r="Q418" i="10"/>
  <c r="Q456" i="10"/>
  <c r="Q459" i="10"/>
  <c r="Q461" i="10"/>
  <c r="Q463" i="10"/>
  <c r="Q465" i="10"/>
  <c r="Q467" i="10"/>
  <c r="Q469" i="10"/>
  <c r="Q471" i="10"/>
  <c r="Q473" i="10"/>
  <c r="Q475" i="10"/>
  <c r="Q477" i="10"/>
  <c r="Q479" i="10"/>
  <c r="Q481" i="10"/>
  <c r="Q483" i="10"/>
  <c r="Q485" i="10"/>
  <c r="Q487" i="10"/>
  <c r="Q404" i="10"/>
  <c r="Q420" i="10"/>
  <c r="Q451" i="10"/>
  <c r="Q489" i="10"/>
  <c r="Q491" i="10"/>
  <c r="Q493" i="10"/>
  <c r="Q495" i="10"/>
  <c r="Q497" i="10"/>
  <c r="Q499" i="10"/>
  <c r="Q501" i="10"/>
  <c r="Q508" i="10"/>
  <c r="Q512" i="10"/>
  <c r="Q387" i="10"/>
  <c r="Q391" i="10"/>
  <c r="Q384" i="10"/>
  <c r="Q372" i="10"/>
  <c r="Q454" i="10"/>
  <c r="Q488" i="10"/>
  <c r="Q490" i="10"/>
  <c r="Q492" i="10"/>
  <c r="Q494" i="10"/>
  <c r="Q496" i="10"/>
  <c r="Q498" i="10"/>
  <c r="Q500" i="10"/>
  <c r="Q394" i="10"/>
  <c r="Q396" i="10"/>
  <c r="Q398" i="10"/>
  <c r="Q406" i="10"/>
  <c r="Q484" i="10"/>
  <c r="Q457" i="10"/>
  <c r="Q504" i="10"/>
  <c r="Q505" i="10"/>
  <c r="Q510" i="10"/>
  <c r="Q514" i="10"/>
  <c r="Q389" i="10"/>
  <c r="Q373" i="10"/>
  <c r="Q375" i="10"/>
  <c r="Q377" i="10"/>
  <c r="Q393" i="10"/>
  <c r="Q395" i="10"/>
  <c r="Q397" i="10"/>
  <c r="Q399" i="10"/>
  <c r="Q383" i="10"/>
  <c r="Q422" i="10"/>
  <c r="Q486" i="10"/>
  <c r="Q506" i="10"/>
  <c r="Q507" i="10"/>
  <c r="Q511" i="10"/>
  <c r="Q386" i="10"/>
  <c r="Q390" i="10"/>
  <c r="Q371" i="10"/>
  <c r="Q392" i="10"/>
  <c r="Q379" i="10"/>
  <c r="Q347" i="10"/>
  <c r="Q351" i="10"/>
  <c r="Q355" i="10"/>
  <c r="Q359" i="10"/>
  <c r="Q363" i="10"/>
  <c r="Q367" i="10"/>
  <c r="Q344" i="10"/>
  <c r="Q502" i="10"/>
  <c r="Q388" i="10"/>
  <c r="Q381" i="10"/>
  <c r="Q513" i="10"/>
  <c r="Q348" i="10"/>
  <c r="Q352" i="10"/>
  <c r="Q356" i="10"/>
  <c r="Q360" i="10"/>
  <c r="Q364" i="10"/>
  <c r="Q368" i="10"/>
  <c r="Q341" i="10"/>
  <c r="Q509" i="10"/>
  <c r="Q345" i="10"/>
  <c r="Q349" i="10"/>
  <c r="Q353" i="10"/>
  <c r="Q357" i="10"/>
  <c r="Q361" i="10"/>
  <c r="Q365" i="10"/>
  <c r="Q369" i="10"/>
  <c r="Q342" i="10"/>
  <c r="Q320" i="10"/>
  <c r="Q321" i="10"/>
  <c r="Q322" i="10"/>
  <c r="Q323" i="10"/>
  <c r="Q324" i="10"/>
  <c r="Q325" i="10"/>
  <c r="Q326" i="10"/>
  <c r="Q327" i="10"/>
  <c r="Q328" i="10"/>
  <c r="Q329" i="10"/>
  <c r="Q330" i="10"/>
  <c r="Q331" i="10"/>
  <c r="Q332" i="10"/>
  <c r="Q333" i="10"/>
  <c r="Q334" i="10"/>
  <c r="Q335" i="10"/>
  <c r="Q336" i="10"/>
  <c r="Q337" i="10"/>
  <c r="Q338" i="10"/>
  <c r="Q339" i="10"/>
  <c r="Q340" i="10"/>
  <c r="Q380" i="10"/>
  <c r="Q503" i="10"/>
  <c r="Q376" i="10"/>
  <c r="Q374" i="10"/>
  <c r="Q378" i="10"/>
  <c r="Q346" i="10"/>
  <c r="Q350" i="10"/>
  <c r="Q354" i="10"/>
  <c r="Q358" i="10"/>
  <c r="Q362" i="10"/>
  <c r="Q366" i="10"/>
  <c r="Q84" i="10"/>
  <c r="Q92" i="10"/>
  <c r="Q100" i="10"/>
  <c r="Q108" i="10"/>
  <c r="Q116" i="10"/>
  <c r="Q124" i="10"/>
  <c r="Q132" i="10"/>
  <c r="Q140" i="10"/>
  <c r="Q148" i="10"/>
  <c r="Q79" i="10"/>
  <c r="Q87" i="10"/>
  <c r="Q95" i="10"/>
  <c r="Q103" i="10"/>
  <c r="Q111" i="10"/>
  <c r="Q119" i="10"/>
  <c r="Q127" i="10"/>
  <c r="Q135" i="10"/>
  <c r="Q143" i="10"/>
  <c r="Q151" i="10"/>
  <c r="Q80" i="10"/>
  <c r="Q88" i="10"/>
  <c r="Q96" i="10"/>
  <c r="Q104" i="10"/>
  <c r="Q112" i="10"/>
  <c r="Q120" i="10"/>
  <c r="Q128" i="10"/>
  <c r="Q83" i="10"/>
  <c r="Q91" i="10"/>
  <c r="Q99" i="10"/>
  <c r="Q107" i="10"/>
  <c r="Q115" i="10"/>
  <c r="Q78" i="10"/>
  <c r="Q86" i="10"/>
  <c r="Q94" i="10"/>
  <c r="Q102" i="10"/>
  <c r="Q110" i="10"/>
  <c r="Q118" i="10"/>
  <c r="Q136" i="10"/>
  <c r="Q144" i="10"/>
  <c r="Q152" i="10"/>
  <c r="Q129" i="10"/>
  <c r="Q131" i="10"/>
  <c r="Q139" i="10"/>
  <c r="Q147" i="10"/>
  <c r="Q154" i="10"/>
  <c r="Q159" i="10"/>
  <c r="Q161" i="10"/>
  <c r="Q163" i="10"/>
  <c r="Q165" i="10"/>
  <c r="Q167" i="10"/>
  <c r="Q169" i="10"/>
  <c r="Q171" i="10"/>
  <c r="Q173" i="10"/>
  <c r="Q175" i="10"/>
  <c r="Q177" i="10"/>
  <c r="Q77" i="10"/>
  <c r="Q81" i="10"/>
  <c r="Q85" i="10"/>
  <c r="Q89" i="10"/>
  <c r="Q93" i="10"/>
  <c r="Q97" i="10"/>
  <c r="Q101" i="10"/>
  <c r="Q105" i="10"/>
  <c r="Q109" i="10"/>
  <c r="Q113" i="10"/>
  <c r="Q117" i="10"/>
  <c r="Q121" i="10"/>
  <c r="Q133" i="10"/>
  <c r="Q141" i="10"/>
  <c r="Q149" i="10"/>
  <c r="Q106" i="10"/>
  <c r="Q138" i="10"/>
  <c r="Q160" i="10"/>
  <c r="Q174" i="10"/>
  <c r="Q123" i="10"/>
  <c r="Q134" i="10"/>
  <c r="Q158" i="10"/>
  <c r="Q176" i="10"/>
  <c r="Q180" i="10"/>
  <c r="Q183" i="10"/>
  <c r="Q188" i="10"/>
  <c r="Q191" i="10"/>
  <c r="Q196" i="10"/>
  <c r="Q199" i="10"/>
  <c r="Q82" i="10"/>
  <c r="Q114" i="10"/>
  <c r="Q126" i="10"/>
  <c r="Q125" i="10"/>
  <c r="Q137" i="10"/>
  <c r="Q146" i="10"/>
  <c r="Q181" i="10"/>
  <c r="Q186" i="10"/>
  <c r="Q189" i="10"/>
  <c r="Q194" i="10"/>
  <c r="Q197" i="10"/>
  <c r="Q202" i="10"/>
  <c r="Q204" i="10"/>
  <c r="Q206" i="10"/>
  <c r="Q208" i="10"/>
  <c r="Q210" i="10"/>
  <c r="Q212" i="10"/>
  <c r="Q214" i="10"/>
  <c r="Q216" i="10"/>
  <c r="Q218" i="10"/>
  <c r="Q220" i="10"/>
  <c r="Q222" i="10"/>
  <c r="Q224" i="10"/>
  <c r="Q90" i="10"/>
  <c r="Q122" i="10"/>
  <c r="Q142" i="10"/>
  <c r="Q150" i="10"/>
  <c r="Q156" i="10"/>
  <c r="Q157" i="10"/>
  <c r="Q178" i="10"/>
  <c r="Q155" i="10"/>
  <c r="Q166" i="10"/>
  <c r="Q168" i="10"/>
  <c r="Q179" i="10"/>
  <c r="Q184" i="10"/>
  <c r="Q187" i="10"/>
  <c r="Q192" i="10"/>
  <c r="Q195" i="10"/>
  <c r="Q200" i="10"/>
  <c r="Q164" i="10"/>
  <c r="Q213" i="10"/>
  <c r="Q145" i="10"/>
  <c r="Q153" i="10"/>
  <c r="Q170" i="10"/>
  <c r="Q211" i="10"/>
  <c r="Q227" i="10"/>
  <c r="Q228" i="10"/>
  <c r="Q231" i="10"/>
  <c r="Q232" i="10"/>
  <c r="Q235" i="10"/>
  <c r="Q185" i="10"/>
  <c r="Q193" i="10"/>
  <c r="Q201" i="10"/>
  <c r="Q205" i="10"/>
  <c r="Q236" i="10"/>
  <c r="Q238" i="10"/>
  <c r="Q240" i="10"/>
  <c r="Q242" i="10"/>
  <c r="Q244" i="10"/>
  <c r="Q246" i="10"/>
  <c r="Q248" i="10"/>
  <c r="Q250" i="10"/>
  <c r="Q252" i="10"/>
  <c r="Q254" i="10"/>
  <c r="Q256" i="10"/>
  <c r="Q258" i="10"/>
  <c r="Q260" i="10"/>
  <c r="Q262" i="10"/>
  <c r="Q264" i="10"/>
  <c r="Q266" i="10"/>
  <c r="Q268" i="10"/>
  <c r="Q130" i="10"/>
  <c r="Q223" i="10"/>
  <c r="Q172" i="10"/>
  <c r="Q182" i="10"/>
  <c r="Q190" i="10"/>
  <c r="Q198" i="10"/>
  <c r="Q209" i="10"/>
  <c r="Q221" i="10"/>
  <c r="Q217" i="10"/>
  <c r="Q215" i="10"/>
  <c r="Q230" i="10"/>
  <c r="Q249" i="10"/>
  <c r="Q267" i="10"/>
  <c r="Q271" i="10"/>
  <c r="Q273" i="10"/>
  <c r="Q275" i="10"/>
  <c r="Q277" i="10"/>
  <c r="Q279" i="10"/>
  <c r="Q281" i="10"/>
  <c r="Q283" i="10"/>
  <c r="Q285" i="10"/>
  <c r="Q287" i="10"/>
  <c r="Q289" i="10"/>
  <c r="Q291" i="10"/>
  <c r="Q293" i="10"/>
  <c r="Q295" i="10"/>
  <c r="Q297" i="10"/>
  <c r="Q299" i="10"/>
  <c r="Q301" i="10"/>
  <c r="Q303" i="10"/>
  <c r="Q305" i="10"/>
  <c r="Q307" i="10"/>
  <c r="Q309" i="10"/>
  <c r="Q311" i="10"/>
  <c r="Q313" i="10"/>
  <c r="Q315" i="10"/>
  <c r="Q317" i="10"/>
  <c r="Q319" i="10"/>
  <c r="Q73" i="10"/>
  <c r="Q18" i="10"/>
  <c r="Q20" i="10"/>
  <c r="Q22" i="10"/>
  <c r="Q24" i="10"/>
  <c r="Q26" i="10"/>
  <c r="Q28" i="10"/>
  <c r="Q30" i="10"/>
  <c r="Q32" i="10"/>
  <c r="Q34" i="10"/>
  <c r="Q36" i="10"/>
  <c r="Q38" i="10"/>
  <c r="Q40" i="10"/>
  <c r="Q42" i="10"/>
  <c r="Q44" i="10"/>
  <c r="Q46" i="10"/>
  <c r="Q48" i="10"/>
  <c r="Q50" i="10"/>
  <c r="Q52" i="10"/>
  <c r="Q54" i="10"/>
  <c r="Q56" i="10"/>
  <c r="Q58" i="10"/>
  <c r="Q219" i="10"/>
  <c r="Q243" i="10"/>
  <c r="Q162" i="10"/>
  <c r="Q226" i="10"/>
  <c r="Q241" i="10"/>
  <c r="Q270" i="10"/>
  <c r="Q272" i="10"/>
  <c r="Q274" i="10"/>
  <c r="Q276" i="10"/>
  <c r="Q278" i="10"/>
  <c r="Q280" i="10"/>
  <c r="Q282" i="10"/>
  <c r="Q284" i="10"/>
  <c r="Q286" i="10"/>
  <c r="Q288" i="10"/>
  <c r="Q290" i="10"/>
  <c r="Q292" i="10"/>
  <c r="Q294" i="10"/>
  <c r="Q296" i="10"/>
  <c r="Q298" i="10"/>
  <c r="Q300" i="10"/>
  <c r="Q302" i="10"/>
  <c r="Q304" i="10"/>
  <c r="Q306" i="10"/>
  <c r="Q308" i="10"/>
  <c r="Q310" i="10"/>
  <c r="Q312" i="10"/>
  <c r="Q314" i="10"/>
  <c r="Q316" i="10"/>
  <c r="Q318" i="10"/>
  <c r="Q76" i="10"/>
  <c r="Q19" i="10"/>
  <c r="Q21" i="10"/>
  <c r="Q23" i="10"/>
  <c r="Q25" i="10"/>
  <c r="Q27" i="10"/>
  <c r="Q29" i="10"/>
  <c r="Q31" i="10"/>
  <c r="Q33" i="10"/>
  <c r="Q35" i="10"/>
  <c r="Q37" i="10"/>
  <c r="Q203" i="10"/>
  <c r="Q207" i="10"/>
  <c r="Q251" i="10"/>
  <c r="Q259" i="10"/>
  <c r="Q261" i="10"/>
  <c r="Q245" i="10"/>
  <c r="Q257" i="10"/>
  <c r="Q263" i="10"/>
  <c r="Q225" i="10"/>
  <c r="Q239" i="10"/>
  <c r="Q41" i="10"/>
  <c r="Q57" i="10"/>
  <c r="Q60" i="10"/>
  <c r="Q62" i="10"/>
  <c r="Q64" i="10"/>
  <c r="Q66" i="10"/>
  <c r="Q51" i="10"/>
  <c r="Q234" i="10"/>
  <c r="Q247" i="10"/>
  <c r="Q253" i="10"/>
  <c r="Q265" i="10"/>
  <c r="Q49" i="10"/>
  <c r="Q61" i="10"/>
  <c r="Q63" i="10"/>
  <c r="Q65" i="10"/>
  <c r="Q67" i="10"/>
  <c r="Q255" i="10"/>
  <c r="Q43" i="10"/>
  <c r="Q59" i="10"/>
  <c r="Q229" i="10"/>
  <c r="Q233" i="10"/>
  <c r="Q237" i="10"/>
  <c r="Q53" i="10"/>
  <c r="Q47" i="10"/>
  <c r="Q55" i="10"/>
  <c r="Q11" i="10"/>
  <c r="Q269" i="10"/>
  <c r="Q39" i="10"/>
  <c r="Q45" i="10"/>
  <c r="Q98" i="10"/>
  <c r="F80" i="35"/>
  <c r="F180" i="35"/>
  <c r="F64" i="35"/>
  <c r="F45" i="35"/>
  <c r="Q385" i="10"/>
  <c r="Q8" i="10"/>
  <c r="Q71" i="10"/>
  <c r="Q69" i="10"/>
  <c r="Q10" i="10"/>
  <c r="Q72" i="10"/>
  <c r="Q16" i="10"/>
  <c r="Q12" i="10"/>
  <c r="Q74" i="10"/>
  <c r="Q7" i="10"/>
  <c r="Q3" i="10"/>
  <c r="Q15" i="10"/>
  <c r="Q5" i="10"/>
  <c r="Q13" i="10"/>
  <c r="Q9" i="10"/>
  <c r="Q70" i="10"/>
  <c r="Q4" i="10"/>
  <c r="Q75" i="10"/>
  <c r="Q6" i="10"/>
  <c r="F11" i="29"/>
  <c r="Q14" i="10"/>
  <c r="L14" i="35"/>
  <c r="F27" i="35"/>
  <c r="D105" i="2"/>
  <c r="H43" i="14"/>
  <c r="H44" i="14"/>
  <c r="J180" i="35" l="1"/>
  <c r="L180" i="35" s="1"/>
  <c r="J64" i="35"/>
  <c r="L64" i="35" s="1"/>
  <c r="J45" i="35"/>
  <c r="L45" i="35" s="1"/>
  <c r="E7" i="32"/>
  <c r="G22" i="35" l="1"/>
  <c r="J8" i="31" l="1"/>
  <c r="F7" i="31"/>
  <c r="J7" i="31" s="1"/>
  <c r="M30" i="12"/>
  <c r="M20" i="12"/>
  <c r="M18" i="12"/>
  <c r="M17" i="12"/>
  <c r="M16" i="12"/>
  <c r="M15" i="12"/>
  <c r="M14" i="12"/>
  <c r="M13" i="12"/>
  <c r="M9" i="12"/>
  <c r="O9" i="12" s="1"/>
  <c r="F14" i="32"/>
  <c r="E14" i="32"/>
  <c r="F13" i="32"/>
  <c r="E13" i="32"/>
  <c r="F12" i="32"/>
  <c r="E12" i="32"/>
  <c r="F11" i="32"/>
  <c r="E11" i="32"/>
  <c r="F10" i="32"/>
  <c r="E10" i="32"/>
  <c r="F9" i="32"/>
  <c r="E9" i="32"/>
  <c r="F8" i="32"/>
  <c r="E8" i="32"/>
  <c r="F7" i="32"/>
  <c r="F6" i="32"/>
  <c r="E6" i="32"/>
  <c r="F5" i="32"/>
  <c r="E5" i="32"/>
  <c r="F4" i="32"/>
  <c r="E4" i="32"/>
  <c r="F303" i="9"/>
  <c r="F302" i="9"/>
  <c r="F301" i="9"/>
  <c r="F300" i="9"/>
  <c r="F299" i="9"/>
  <c r="F298" i="9"/>
  <c r="F297" i="9"/>
  <c r="F296" i="9"/>
  <c r="F295" i="9"/>
  <c r="F294" i="9"/>
  <c r="F293" i="9"/>
  <c r="F292" i="9"/>
  <c r="F291" i="9"/>
  <c r="F290" i="9"/>
  <c r="F289" i="9"/>
  <c r="F288" i="9"/>
  <c r="F287" i="9"/>
  <c r="F286" i="9"/>
  <c r="F285" i="9"/>
  <c r="F284" i="9"/>
  <c r="F283" i="9"/>
  <c r="F282" i="9"/>
  <c r="F281" i="9"/>
  <c r="F280" i="9"/>
  <c r="F279" i="9"/>
  <c r="F278" i="9"/>
  <c r="F277" i="9"/>
  <c r="F276" i="9"/>
  <c r="F275" i="9"/>
  <c r="F274" i="9"/>
  <c r="F273" i="9"/>
  <c r="F272" i="9"/>
  <c r="F271" i="9"/>
  <c r="F270" i="9"/>
  <c r="F269" i="9"/>
  <c r="F268" i="9"/>
  <c r="F267" i="9"/>
  <c r="F266" i="9"/>
  <c r="F265" i="9"/>
  <c r="F264" i="9"/>
  <c r="F263" i="9"/>
  <c r="F262" i="9"/>
  <c r="F261" i="9"/>
  <c r="F260" i="9"/>
  <c r="F259" i="9"/>
  <c r="F258" i="9"/>
  <c r="F257" i="9"/>
  <c r="F256" i="9"/>
  <c r="F255" i="9"/>
  <c r="F254" i="9"/>
  <c r="F253" i="9"/>
  <c r="F252" i="9"/>
  <c r="F251" i="9"/>
  <c r="F250" i="9"/>
  <c r="F249" i="9"/>
  <c r="F248" i="9"/>
  <c r="F247" i="9"/>
  <c r="F246" i="9"/>
  <c r="F245" i="9"/>
  <c r="F244" i="9"/>
  <c r="F243" i="9"/>
  <c r="F242" i="9"/>
  <c r="F241" i="9"/>
  <c r="F240"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1" i="9"/>
  <c r="F170" i="9"/>
  <c r="F169" i="9"/>
  <c r="F168" i="9"/>
  <c r="F167" i="9"/>
  <c r="F166" i="9"/>
  <c r="F165" i="9"/>
  <c r="F164" i="9"/>
  <c r="F163" i="9"/>
  <c r="F162" i="9"/>
  <c r="F161" i="9"/>
  <c r="F160"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J72" i="9"/>
  <c r="F72" i="9"/>
  <c r="F71" i="9"/>
  <c r="F70" i="9"/>
  <c r="J69" i="9"/>
  <c r="F69" i="9"/>
  <c r="J68" i="9"/>
  <c r="F68" i="9"/>
  <c r="J67"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F3" i="9"/>
  <c r="F2" i="9"/>
  <c r="H67" i="29"/>
  <c r="H66" i="29"/>
  <c r="J61" i="29"/>
  <c r="J56" i="29"/>
  <c r="L56" i="29" s="1"/>
  <c r="J55" i="29"/>
  <c r="L55" i="29" s="1"/>
  <c r="J54" i="29"/>
  <c r="L54" i="29" s="1"/>
  <c r="J50" i="29"/>
  <c r="L50" i="29" s="1"/>
  <c r="D111" i="2"/>
  <c r="D109" i="2"/>
  <c r="D108" i="2"/>
  <c r="D104" i="2"/>
  <c r="D103" i="2"/>
  <c r="D100" i="2"/>
  <c r="D99" i="2"/>
  <c r="D98" i="2"/>
  <c r="D97" i="2"/>
  <c r="D95" i="2"/>
  <c r="D94" i="2"/>
  <c r="D92" i="2"/>
  <c r="D90" i="2"/>
  <c r="D88" i="2"/>
  <c r="D87" i="2"/>
  <c r="D86" i="2"/>
  <c r="D85" i="2"/>
  <c r="D84" i="2"/>
  <c r="D83" i="2"/>
  <c r="D80" i="2"/>
  <c r="D78" i="2"/>
  <c r="D76" i="2"/>
  <c r="D77" i="2"/>
  <c r="D75" i="2"/>
  <c r="D71" i="2"/>
  <c r="D68" i="2"/>
  <c r="D66" i="2"/>
  <c r="D64" i="2"/>
  <c r="D61" i="2"/>
  <c r="D60" i="2"/>
  <c r="D58" i="2"/>
  <c r="D56" i="2"/>
  <c r="D55" i="2"/>
  <c r="D54" i="2"/>
  <c r="D51" i="2"/>
  <c r="D50" i="2"/>
  <c r="D49" i="2"/>
  <c r="D46" i="2"/>
  <c r="D45" i="2"/>
  <c r="D41" i="2"/>
  <c r="D39" i="2"/>
  <c r="D38" i="2"/>
  <c r="D37" i="2"/>
  <c r="D35" i="2"/>
  <c r="D34" i="2"/>
  <c r="D126" i="2"/>
  <c r="D123" i="2"/>
  <c r="D118" i="2"/>
  <c r="D117" i="2"/>
  <c r="D115" i="2"/>
  <c r="D106" i="2"/>
  <c r="D96" i="2"/>
  <c r="D91" i="2"/>
  <c r="D89" i="2"/>
  <c r="D81" i="2"/>
  <c r="D72" i="2"/>
  <c r="D70" i="2"/>
  <c r="D69" i="2"/>
  <c r="D67" i="2"/>
  <c r="D65" i="2"/>
  <c r="D63" i="2"/>
  <c r="D62" i="2"/>
  <c r="D57" i="2"/>
  <c r="D52" i="2"/>
  <c r="D44" i="2"/>
  <c r="D40" i="2"/>
  <c r="D36" i="2"/>
  <c r="L55" i="8"/>
  <c r="L46" i="8" s="1"/>
  <c r="J385" i="10"/>
  <c r="I385" i="10"/>
  <c r="G385" i="10"/>
  <c r="J75" i="10"/>
  <c r="I75" i="10"/>
  <c r="J74" i="10"/>
  <c r="I74" i="10"/>
  <c r="J72" i="10"/>
  <c r="I72" i="10"/>
  <c r="J71" i="10"/>
  <c r="I71" i="10"/>
  <c r="J70" i="10"/>
  <c r="I70" i="10"/>
  <c r="J69" i="10"/>
  <c r="I69" i="10"/>
  <c r="J16" i="10"/>
  <c r="I16" i="10"/>
  <c r="J15" i="10"/>
  <c r="I15" i="10"/>
  <c r="J14" i="10"/>
  <c r="I14" i="10"/>
  <c r="J13" i="10"/>
  <c r="I13" i="10"/>
  <c r="J12" i="10"/>
  <c r="I12" i="10"/>
  <c r="J10" i="10"/>
  <c r="I10" i="10"/>
  <c r="J8" i="10"/>
  <c r="I8" i="10"/>
  <c r="J6" i="10"/>
  <c r="I6" i="10"/>
  <c r="J5" i="10"/>
  <c r="I5" i="10"/>
  <c r="J4" i="10"/>
  <c r="I4" i="10"/>
  <c r="J3" i="10"/>
  <c r="I3" i="10"/>
  <c r="G3" i="10"/>
  <c r="G184" i="35"/>
  <c r="G183" i="35"/>
  <c r="G181" i="35"/>
  <c r="G179" i="35"/>
  <c r="G178" i="35"/>
  <c r="G177" i="35"/>
  <c r="G176" i="35"/>
  <c r="G174" i="35"/>
  <c r="J141" i="35"/>
  <c r="H140" i="35"/>
  <c r="J140" i="35" s="1"/>
  <c r="H137" i="35"/>
  <c r="H133" i="35"/>
  <c r="G133" i="35"/>
  <c r="H129" i="35"/>
  <c r="H126" i="35"/>
  <c r="H132" i="35"/>
  <c r="J120" i="35"/>
  <c r="J119" i="35"/>
  <c r="L119" i="35" s="1"/>
  <c r="H115" i="35"/>
  <c r="H110" i="35"/>
  <c r="J104" i="35"/>
  <c r="L104" i="35" s="1"/>
  <c r="G101" i="35"/>
  <c r="J90" i="35"/>
  <c r="L90" i="35" s="1"/>
  <c r="H88" i="35"/>
  <c r="J84" i="35"/>
  <c r="F170" i="35" s="1"/>
  <c r="J58" i="35"/>
  <c r="L58" i="35" s="1"/>
  <c r="J51" i="35"/>
  <c r="F133" i="35" s="1"/>
  <c r="F43" i="35"/>
  <c r="H43" i="35"/>
  <c r="F42" i="35"/>
  <c r="J33" i="35"/>
  <c r="L33" i="35" s="1"/>
  <c r="G30" i="35"/>
  <c r="G29" i="35"/>
  <c r="G26" i="35"/>
  <c r="G25" i="35"/>
  <c r="G24" i="35"/>
  <c r="G23" i="35"/>
  <c r="H21" i="35"/>
  <c r="J17" i="35"/>
  <c r="J6" i="35"/>
  <c r="L6" i="35" s="1"/>
  <c r="I39" i="34"/>
  <c r="G37" i="34"/>
  <c r="G35" i="34"/>
  <c r="G32" i="34"/>
  <c r="G31" i="34"/>
  <c r="K26" i="34"/>
  <c r="M26" i="34" s="1"/>
  <c r="G23" i="34"/>
  <c r="G18" i="34"/>
  <c r="G17" i="34"/>
  <c r="G13" i="34"/>
  <c r="J137" i="35" l="1"/>
  <c r="L141" i="35"/>
  <c r="X153" i="8"/>
  <c r="X152" i="8"/>
  <c r="X130" i="8"/>
  <c r="X151" i="8"/>
  <c r="X11" i="8"/>
  <c r="X142" i="8"/>
  <c r="X129" i="8"/>
  <c r="X150" i="8"/>
  <c r="X48" i="8"/>
  <c r="X124" i="8"/>
  <c r="X149" i="8"/>
  <c r="X148" i="8"/>
  <c r="X113" i="8"/>
  <c r="X86" i="8"/>
  <c r="X147" i="8"/>
  <c r="X87" i="8"/>
  <c r="S402" i="10"/>
  <c r="S404" i="10"/>
  <c r="S406" i="10"/>
  <c r="S408" i="10"/>
  <c r="S410" i="10"/>
  <c r="S412" i="10"/>
  <c r="S414" i="10"/>
  <c r="S416" i="10"/>
  <c r="S418" i="10"/>
  <c r="S420" i="10"/>
  <c r="S422" i="10"/>
  <c r="S424" i="10"/>
  <c r="S426" i="10"/>
  <c r="S428" i="10"/>
  <c r="S431" i="10"/>
  <c r="S433" i="10"/>
  <c r="S435" i="10"/>
  <c r="S437" i="10"/>
  <c r="S439" i="10"/>
  <c r="S441" i="10"/>
  <c r="S443" i="10"/>
  <c r="S445" i="10"/>
  <c r="S447" i="10"/>
  <c r="S449" i="10"/>
  <c r="S451" i="10"/>
  <c r="X154" i="8"/>
  <c r="X146" i="8"/>
  <c r="S401" i="10"/>
  <c r="S403" i="10"/>
  <c r="S405" i="10"/>
  <c r="S407" i="10"/>
  <c r="S409" i="10"/>
  <c r="S411" i="10"/>
  <c r="S413" i="10"/>
  <c r="S415" i="10"/>
  <c r="S417" i="10"/>
  <c r="S419" i="10"/>
  <c r="S421" i="10"/>
  <c r="S423" i="10"/>
  <c r="S425" i="10"/>
  <c r="S427" i="10"/>
  <c r="S430" i="10"/>
  <c r="S432" i="10"/>
  <c r="S434" i="10"/>
  <c r="S436" i="10"/>
  <c r="S438" i="10"/>
  <c r="S440" i="10"/>
  <c r="S442" i="10"/>
  <c r="S444" i="10"/>
  <c r="S446" i="10"/>
  <c r="S448" i="10"/>
  <c r="S450" i="10"/>
  <c r="S452" i="10"/>
  <c r="S454" i="10"/>
  <c r="S456" i="10"/>
  <c r="S458" i="10"/>
  <c r="S457" i="10"/>
  <c r="S455" i="10"/>
  <c r="S460" i="10"/>
  <c r="S462" i="10"/>
  <c r="S464" i="10"/>
  <c r="S466" i="10"/>
  <c r="S468" i="10"/>
  <c r="S470" i="10"/>
  <c r="S472" i="10"/>
  <c r="S474" i="10"/>
  <c r="S476" i="10"/>
  <c r="S478" i="10"/>
  <c r="S480" i="10"/>
  <c r="S482" i="10"/>
  <c r="S484" i="10"/>
  <c r="S486" i="10"/>
  <c r="S488" i="10"/>
  <c r="S490" i="10"/>
  <c r="S492" i="10"/>
  <c r="S494" i="10"/>
  <c r="S496" i="10"/>
  <c r="S498" i="10"/>
  <c r="S500" i="10"/>
  <c r="S502" i="10"/>
  <c r="S504" i="10"/>
  <c r="S506" i="10"/>
  <c r="S508" i="10"/>
  <c r="S510" i="10"/>
  <c r="S512" i="10"/>
  <c r="S514" i="10"/>
  <c r="S387" i="10"/>
  <c r="S389" i="10"/>
  <c r="S391" i="10"/>
  <c r="S453" i="10"/>
  <c r="X49" i="8"/>
  <c r="S485" i="10"/>
  <c r="S489" i="10"/>
  <c r="S491" i="10"/>
  <c r="S493" i="10"/>
  <c r="S495" i="10"/>
  <c r="S497" i="10"/>
  <c r="S499" i="10"/>
  <c r="S501" i="10"/>
  <c r="S487" i="10"/>
  <c r="S503" i="10"/>
  <c r="S509" i="10"/>
  <c r="S513" i="10"/>
  <c r="S388" i="10"/>
  <c r="S392" i="10"/>
  <c r="S394" i="10"/>
  <c r="S396" i="10"/>
  <c r="S398" i="10"/>
  <c r="S383" i="10"/>
  <c r="S381" i="10"/>
  <c r="S345" i="10"/>
  <c r="S347" i="10"/>
  <c r="S349" i="10"/>
  <c r="S351" i="10"/>
  <c r="S353" i="10"/>
  <c r="S355" i="10"/>
  <c r="S357" i="10"/>
  <c r="S359" i="10"/>
  <c r="S361" i="10"/>
  <c r="S363" i="10"/>
  <c r="S365" i="10"/>
  <c r="S367" i="10"/>
  <c r="S369" i="10"/>
  <c r="S459" i="10"/>
  <c r="S461" i="10"/>
  <c r="S463" i="10"/>
  <c r="S465" i="10"/>
  <c r="S467" i="10"/>
  <c r="S469" i="10"/>
  <c r="S471" i="10"/>
  <c r="S473" i="10"/>
  <c r="S475" i="10"/>
  <c r="S477" i="10"/>
  <c r="S479" i="10"/>
  <c r="S481" i="10"/>
  <c r="S483" i="10"/>
  <c r="S505" i="10"/>
  <c r="S507" i="10"/>
  <c r="S511" i="10"/>
  <c r="S386" i="10"/>
  <c r="S390" i="10"/>
  <c r="S393" i="10"/>
  <c r="S395" i="10"/>
  <c r="S397" i="10"/>
  <c r="S399" i="10"/>
  <c r="S380" i="10"/>
  <c r="S346" i="10"/>
  <c r="S348" i="10"/>
  <c r="S350" i="10"/>
  <c r="S352" i="10"/>
  <c r="S354" i="10"/>
  <c r="S356" i="10"/>
  <c r="S358" i="10"/>
  <c r="S360" i="10"/>
  <c r="S362" i="10"/>
  <c r="S364" i="10"/>
  <c r="S366" i="10"/>
  <c r="S368" i="10"/>
  <c r="S373" i="10"/>
  <c r="S374" i="10"/>
  <c r="S378" i="10"/>
  <c r="S337" i="10"/>
  <c r="S339" i="10"/>
  <c r="S372" i="10"/>
  <c r="S379" i="10"/>
  <c r="S336" i="10"/>
  <c r="S377" i="10"/>
  <c r="S340" i="10"/>
  <c r="S371" i="10"/>
  <c r="S341" i="10"/>
  <c r="S325" i="10"/>
  <c r="S335" i="10"/>
  <c r="S376" i="10"/>
  <c r="S384" i="10"/>
  <c r="S344" i="10"/>
  <c r="S342" i="10"/>
  <c r="S320" i="10"/>
  <c r="S321" i="10"/>
  <c r="S322" i="10"/>
  <c r="S323" i="10"/>
  <c r="S324" i="10"/>
  <c r="S326" i="10"/>
  <c r="S327" i="10"/>
  <c r="S328" i="10"/>
  <c r="S329" i="10"/>
  <c r="S330" i="10"/>
  <c r="S331" i="10"/>
  <c r="S332" i="10"/>
  <c r="S333" i="10"/>
  <c r="S334" i="10"/>
  <c r="S338" i="10"/>
  <c r="S375" i="10"/>
  <c r="S78" i="10"/>
  <c r="S86" i="10"/>
  <c r="S94" i="10"/>
  <c r="S102" i="10"/>
  <c r="S110" i="10"/>
  <c r="S118" i="10"/>
  <c r="S126" i="10"/>
  <c r="S134" i="10"/>
  <c r="S142" i="10"/>
  <c r="S150" i="10"/>
  <c r="S155" i="10"/>
  <c r="S157" i="10"/>
  <c r="S81" i="10"/>
  <c r="S89" i="10"/>
  <c r="S97" i="10"/>
  <c r="S105" i="10"/>
  <c r="S113" i="10"/>
  <c r="S121" i="10"/>
  <c r="S129" i="10"/>
  <c r="S137" i="10"/>
  <c r="S145" i="10"/>
  <c r="S82" i="10"/>
  <c r="S90" i="10"/>
  <c r="S98" i="10"/>
  <c r="S106" i="10"/>
  <c r="S114" i="10"/>
  <c r="S122" i="10"/>
  <c r="S130" i="10"/>
  <c r="S77" i="10"/>
  <c r="S85" i="10"/>
  <c r="S93" i="10"/>
  <c r="S101" i="10"/>
  <c r="S109" i="10"/>
  <c r="S117" i="10"/>
  <c r="S80" i="10"/>
  <c r="S88" i="10"/>
  <c r="S96" i="10"/>
  <c r="S104" i="10"/>
  <c r="S112" i="10"/>
  <c r="S120" i="10"/>
  <c r="S124" i="10"/>
  <c r="S138" i="10"/>
  <c r="S146" i="10"/>
  <c r="S153" i="10"/>
  <c r="S156" i="10"/>
  <c r="S123" i="10"/>
  <c r="S127" i="10"/>
  <c r="S128" i="10"/>
  <c r="S131" i="10"/>
  <c r="S132" i="10"/>
  <c r="S139" i="10"/>
  <c r="S140" i="10"/>
  <c r="S84" i="10"/>
  <c r="S92" i="10"/>
  <c r="S100" i="10"/>
  <c r="S108" i="10"/>
  <c r="S116" i="10"/>
  <c r="S133" i="10"/>
  <c r="S141" i="10"/>
  <c r="S149" i="10"/>
  <c r="S87" i="10"/>
  <c r="S119" i="10"/>
  <c r="S144" i="10"/>
  <c r="S161" i="10"/>
  <c r="S162" i="10"/>
  <c r="S172" i="10"/>
  <c r="S173" i="10"/>
  <c r="S182" i="10"/>
  <c r="S190" i="10"/>
  <c r="S198" i="10"/>
  <c r="S91" i="10"/>
  <c r="S148" i="10"/>
  <c r="S152" i="10"/>
  <c r="S159" i="10"/>
  <c r="S160" i="10"/>
  <c r="S174" i="10"/>
  <c r="S175" i="10"/>
  <c r="S185" i="10"/>
  <c r="S193" i="10"/>
  <c r="S201" i="10"/>
  <c r="S203" i="10"/>
  <c r="S205" i="10"/>
  <c r="S207" i="10"/>
  <c r="S209" i="10"/>
  <c r="S211" i="10"/>
  <c r="S213" i="10"/>
  <c r="S215" i="10"/>
  <c r="S217" i="10"/>
  <c r="S219" i="10"/>
  <c r="S221" i="10"/>
  <c r="S223" i="10"/>
  <c r="S225" i="10"/>
  <c r="S227" i="10"/>
  <c r="S229" i="10"/>
  <c r="S231" i="10"/>
  <c r="S233" i="10"/>
  <c r="S235" i="10"/>
  <c r="S95" i="10"/>
  <c r="S143" i="10"/>
  <c r="S158" i="10"/>
  <c r="S176" i="10"/>
  <c r="S180" i="10"/>
  <c r="S188" i="10"/>
  <c r="S196" i="10"/>
  <c r="S99" i="10"/>
  <c r="S147" i="10"/>
  <c r="S151" i="10"/>
  <c r="S177" i="10"/>
  <c r="S183" i="10"/>
  <c r="S191" i="10"/>
  <c r="S199" i="10"/>
  <c r="S103" i="10"/>
  <c r="S125" i="10"/>
  <c r="S186" i="10"/>
  <c r="S194" i="10"/>
  <c r="S107" i="10"/>
  <c r="S136" i="10"/>
  <c r="S167" i="10"/>
  <c r="S178" i="10"/>
  <c r="S181" i="10"/>
  <c r="S189" i="10"/>
  <c r="S197" i="10"/>
  <c r="S202" i="10"/>
  <c r="S79" i="10"/>
  <c r="S115" i="10"/>
  <c r="S206" i="10"/>
  <c r="S212" i="10"/>
  <c r="S237" i="10"/>
  <c r="S239" i="10"/>
  <c r="S241" i="10"/>
  <c r="S243" i="10"/>
  <c r="S245" i="10"/>
  <c r="S247" i="10"/>
  <c r="S249" i="10"/>
  <c r="S251" i="10"/>
  <c r="S253" i="10"/>
  <c r="S255" i="10"/>
  <c r="S257" i="10"/>
  <c r="S259" i="10"/>
  <c r="S261" i="10"/>
  <c r="S263" i="10"/>
  <c r="S265" i="10"/>
  <c r="S267" i="10"/>
  <c r="S269" i="10"/>
  <c r="S164" i="10"/>
  <c r="S166" i="10"/>
  <c r="S168" i="10"/>
  <c r="S111" i="10"/>
  <c r="S170" i="10"/>
  <c r="S210" i="10"/>
  <c r="S204" i="10"/>
  <c r="S222" i="10"/>
  <c r="S224" i="10"/>
  <c r="S228" i="10"/>
  <c r="S232" i="10"/>
  <c r="S163" i="10"/>
  <c r="S220" i="10"/>
  <c r="S236" i="10"/>
  <c r="S238" i="10"/>
  <c r="S240" i="10"/>
  <c r="S242" i="10"/>
  <c r="S244" i="10"/>
  <c r="S246" i="10"/>
  <c r="S248" i="10"/>
  <c r="S250" i="10"/>
  <c r="S252" i="10"/>
  <c r="S254" i="10"/>
  <c r="S135" i="10"/>
  <c r="S154" i="10"/>
  <c r="S165" i="10"/>
  <c r="S169" i="10"/>
  <c r="S179" i="10"/>
  <c r="S184" i="10"/>
  <c r="S187" i="10"/>
  <c r="S192" i="10"/>
  <c r="S195" i="10"/>
  <c r="S200" i="10"/>
  <c r="S83" i="10"/>
  <c r="S216" i="10"/>
  <c r="S171" i="10"/>
  <c r="S266" i="10"/>
  <c r="S208" i="10"/>
  <c r="S234" i="10"/>
  <c r="S218" i="10"/>
  <c r="S226" i="10"/>
  <c r="S260" i="10"/>
  <c r="S258" i="10"/>
  <c r="S262" i="10"/>
  <c r="S270" i="10"/>
  <c r="S272" i="10"/>
  <c r="S274" i="10"/>
  <c r="S276" i="10"/>
  <c r="S278" i="10"/>
  <c r="S280" i="10"/>
  <c r="S282" i="10"/>
  <c r="S284" i="10"/>
  <c r="S286" i="10"/>
  <c r="S288" i="10"/>
  <c r="S290" i="10"/>
  <c r="S292" i="10"/>
  <c r="S294" i="10"/>
  <c r="S296" i="10"/>
  <c r="S298" i="10"/>
  <c r="S300" i="10"/>
  <c r="S302" i="10"/>
  <c r="S304" i="10"/>
  <c r="S306" i="10"/>
  <c r="S308" i="10"/>
  <c r="S310" i="10"/>
  <c r="S312" i="10"/>
  <c r="S314" i="10"/>
  <c r="S316" i="10"/>
  <c r="S318" i="10"/>
  <c r="S29" i="10"/>
  <c r="S37" i="10"/>
  <c r="S50" i="10"/>
  <c r="S53" i="10"/>
  <c r="S256" i="10"/>
  <c r="S268" i="10"/>
  <c r="S30" i="10"/>
  <c r="S44" i="10"/>
  <c r="S47" i="10"/>
  <c r="S230" i="10"/>
  <c r="S214" i="10"/>
  <c r="S319" i="10"/>
  <c r="S76" i="10"/>
  <c r="S73" i="10"/>
  <c r="S18" i="10"/>
  <c r="S19" i="10"/>
  <c r="S20" i="10"/>
  <c r="S21" i="10"/>
  <c r="S22" i="10"/>
  <c r="S23" i="10"/>
  <c r="S24" i="10"/>
  <c r="S25" i="10"/>
  <c r="S33" i="10"/>
  <c r="S42" i="10"/>
  <c r="S45" i="10"/>
  <c r="S58" i="10"/>
  <c r="S26" i="10"/>
  <c r="S34" i="10"/>
  <c r="S39" i="10"/>
  <c r="S52" i="10"/>
  <c r="S55" i="10"/>
  <c r="S273" i="10"/>
  <c r="S277" i="10"/>
  <c r="S281" i="10"/>
  <c r="S285" i="10"/>
  <c r="S289" i="10"/>
  <c r="S293" i="10"/>
  <c r="S297" i="10"/>
  <c r="S301" i="10"/>
  <c r="S305" i="10"/>
  <c r="S309" i="10"/>
  <c r="S313" i="10"/>
  <c r="S317" i="10"/>
  <c r="S27" i="10"/>
  <c r="S35" i="10"/>
  <c r="S46" i="10"/>
  <c r="S49" i="10"/>
  <c r="S61" i="10"/>
  <c r="S63" i="10"/>
  <c r="S65" i="10"/>
  <c r="S67" i="10"/>
  <c r="S31" i="10"/>
  <c r="S59" i="10"/>
  <c r="S66" i="10"/>
  <c r="S51" i="10"/>
  <c r="S295" i="10"/>
  <c r="S28" i="10"/>
  <c r="S40" i="10"/>
  <c r="S62" i="10"/>
  <c r="S264" i="10"/>
  <c r="S271" i="10"/>
  <c r="S275" i="10"/>
  <c r="S279" i="10"/>
  <c r="S283" i="10"/>
  <c r="S287" i="10"/>
  <c r="S291" i="10"/>
  <c r="S299" i="10"/>
  <c r="S303" i="10"/>
  <c r="S307" i="10"/>
  <c r="S311" i="10"/>
  <c r="S315" i="10"/>
  <c r="S43" i="10"/>
  <c r="S54" i="10"/>
  <c r="S11" i="10"/>
  <c r="S32" i="10"/>
  <c r="S38" i="10"/>
  <c r="S60" i="10"/>
  <c r="S64" i="10"/>
  <c r="S36" i="10"/>
  <c r="S57" i="10"/>
  <c r="S41" i="10"/>
  <c r="S48" i="10"/>
  <c r="S56" i="10"/>
  <c r="F14" i="29"/>
  <c r="L34" i="8"/>
  <c r="L35" i="8"/>
  <c r="F83" i="35"/>
  <c r="J83" i="35" s="1"/>
  <c r="F184" i="35"/>
  <c r="F132" i="35"/>
  <c r="J132" i="35" s="1"/>
  <c r="L132" i="35" s="1"/>
  <c r="F156" i="35"/>
  <c r="F101" i="35"/>
  <c r="F115" i="35"/>
  <c r="J66" i="29"/>
  <c r="L66" i="29" s="1"/>
  <c r="F30" i="35"/>
  <c r="J30" i="35" s="1"/>
  <c r="L30" i="35" s="1"/>
  <c r="S9" i="10"/>
  <c r="S7" i="10"/>
  <c r="J67" i="29"/>
  <c r="L67" i="29" s="1"/>
  <c r="J170" i="35"/>
  <c r="L170" i="35" s="1"/>
  <c r="J85" i="35"/>
  <c r="J42" i="35"/>
  <c r="L42" i="35" s="1"/>
  <c r="J7" i="35"/>
  <c r="L7" i="35" s="1"/>
  <c r="J159" i="35"/>
  <c r="L159" i="35" s="1"/>
  <c r="K37" i="34"/>
  <c r="M37" i="34" s="1"/>
  <c r="K39" i="34"/>
  <c r="M39" i="34" s="1"/>
  <c r="K32" i="34"/>
  <c r="M32" i="34" s="1"/>
  <c r="K35" i="34"/>
  <c r="M35" i="34" s="1"/>
  <c r="K27" i="34"/>
  <c r="M27" i="34" s="1"/>
  <c r="K31" i="34"/>
  <c r="M31" i="34" s="1"/>
  <c r="K28" i="34"/>
  <c r="M28" i="34" s="1"/>
  <c r="K16" i="34"/>
  <c r="M16" i="34" s="1"/>
  <c r="K23" i="34"/>
  <c r="M23" i="34" s="1"/>
  <c r="I18" i="34"/>
  <c r="K3" i="34"/>
  <c r="M3" i="34" s="1"/>
  <c r="G21" i="34"/>
  <c r="D101" i="2"/>
  <c r="H38" i="14"/>
  <c r="L120" i="35"/>
  <c r="J145" i="35"/>
  <c r="L145" i="35" s="1"/>
  <c r="J43" i="35"/>
  <c r="F126" i="35" s="1"/>
  <c r="J70" i="35"/>
  <c r="J78" i="35"/>
  <c r="F165" i="35" s="1"/>
  <c r="L61" i="29"/>
  <c r="L137" i="35"/>
  <c r="L138" i="35" s="1"/>
  <c r="J4" i="30"/>
  <c r="K4" i="30" s="1"/>
  <c r="L140" i="35"/>
  <c r="L142" i="35" s="1"/>
  <c r="L84" i="35"/>
  <c r="J46" i="35"/>
  <c r="K4" i="34"/>
  <c r="M4" i="34" s="1"/>
  <c r="J16" i="35"/>
  <c r="L16" i="35" s="1"/>
  <c r="J47" i="35"/>
  <c r="J5" i="35"/>
  <c r="L5" i="35" s="1"/>
  <c r="J8" i="35"/>
  <c r="R120" i="8"/>
  <c r="S8" i="10"/>
  <c r="J73" i="35"/>
  <c r="L73" i="35" s="1"/>
  <c r="J182" i="35"/>
  <c r="L182" i="35" s="1"/>
  <c r="J4" i="29"/>
  <c r="J173" i="35"/>
  <c r="L173" i="35" s="1"/>
  <c r="J10" i="35"/>
  <c r="L10" i="35" s="1"/>
  <c r="R118" i="8"/>
  <c r="R112" i="8"/>
  <c r="F179" i="35"/>
  <c r="J39" i="35"/>
  <c r="Q3" i="8" s="1"/>
  <c r="J13" i="35"/>
  <c r="X145" i="8"/>
  <c r="X144" i="8"/>
  <c r="X143" i="8"/>
  <c r="X139" i="8"/>
  <c r="X134" i="8"/>
  <c r="X127" i="8"/>
  <c r="X121" i="8"/>
  <c r="X117" i="8"/>
  <c r="X111" i="8"/>
  <c r="X140" i="8"/>
  <c r="X135" i="8"/>
  <c r="X128" i="8"/>
  <c r="X123" i="8"/>
  <c r="X118" i="8"/>
  <c r="X112" i="8"/>
  <c r="X108" i="8"/>
  <c r="X104" i="8"/>
  <c r="X99" i="8"/>
  <c r="X95" i="8"/>
  <c r="X90" i="8"/>
  <c r="X83" i="8"/>
  <c r="X79" i="8"/>
  <c r="X75" i="8"/>
  <c r="X53" i="8"/>
  <c r="X138" i="8"/>
  <c r="X136" i="8"/>
  <c r="X126" i="8"/>
  <c r="X125" i="8"/>
  <c r="X116" i="8"/>
  <c r="X115" i="8"/>
  <c r="X107" i="8"/>
  <c r="X103" i="8"/>
  <c r="X98" i="8"/>
  <c r="X94" i="8"/>
  <c r="X89" i="8"/>
  <c r="X82" i="8"/>
  <c r="X78" i="8"/>
  <c r="X74" i="8"/>
  <c r="X73" i="8"/>
  <c r="X72" i="8"/>
  <c r="X133" i="8"/>
  <c r="X132" i="8"/>
  <c r="X110" i="8"/>
  <c r="X109" i="8"/>
  <c r="X106" i="8"/>
  <c r="X100" i="8"/>
  <c r="X97" i="8"/>
  <c r="X92" i="8"/>
  <c r="X85" i="8"/>
  <c r="X80" i="8"/>
  <c r="X77" i="8"/>
  <c r="X69" i="8"/>
  <c r="X65" i="8"/>
  <c r="X61" i="8"/>
  <c r="X57" i="8"/>
  <c r="X46" i="8"/>
  <c r="X45" i="8"/>
  <c r="X44" i="8"/>
  <c r="X43" i="8"/>
  <c r="X42" i="8"/>
  <c r="X41" i="8"/>
  <c r="X40" i="8"/>
  <c r="X39" i="8"/>
  <c r="X38" i="8"/>
  <c r="X37" i="8"/>
  <c r="X36" i="8"/>
  <c r="X35" i="8"/>
  <c r="X31" i="8"/>
  <c r="X70" i="8"/>
  <c r="X66" i="8"/>
  <c r="X62" i="8"/>
  <c r="X58" i="8"/>
  <c r="X119" i="8"/>
  <c r="X96" i="8"/>
  <c r="X76" i="8"/>
  <c r="X51" i="8"/>
  <c r="X50" i="8"/>
  <c r="X30" i="8"/>
  <c r="X27" i="8"/>
  <c r="X25" i="8"/>
  <c r="X23" i="8"/>
  <c r="X21" i="8"/>
  <c r="X19" i="8"/>
  <c r="X17" i="8"/>
  <c r="X15" i="8"/>
  <c r="X13" i="8"/>
  <c r="X10" i="8"/>
  <c r="X8" i="8"/>
  <c r="X6" i="8"/>
  <c r="X4" i="8"/>
  <c r="X102" i="8"/>
  <c r="X81" i="8"/>
  <c r="X68" i="8"/>
  <c r="X67" i="8"/>
  <c r="X60" i="8"/>
  <c r="X59" i="8"/>
  <c r="X34" i="8"/>
  <c r="X32" i="8"/>
  <c r="X84" i="8"/>
  <c r="X29" i="8"/>
  <c r="X26" i="8"/>
  <c r="X24" i="8"/>
  <c r="X22" i="8"/>
  <c r="X20" i="8"/>
  <c r="X18" i="8"/>
  <c r="X16" i="8"/>
  <c r="X14" i="8"/>
  <c r="X12" i="8"/>
  <c r="X9" i="8"/>
  <c r="X7" i="8"/>
  <c r="X5" i="8"/>
  <c r="X3" i="8"/>
  <c r="S385" i="10"/>
  <c r="X120" i="8"/>
  <c r="X93" i="8"/>
  <c r="X56" i="8"/>
  <c r="X55" i="8"/>
  <c r="X105" i="8"/>
  <c r="X63" i="8"/>
  <c r="S75" i="10"/>
  <c r="S70" i="10"/>
  <c r="S13" i="10"/>
  <c r="S6" i="10"/>
  <c r="S3" i="10"/>
  <c r="X64" i="8"/>
  <c r="S74" i="10"/>
  <c r="S69" i="10"/>
  <c r="S16" i="10"/>
  <c r="S12" i="10"/>
  <c r="S72" i="10"/>
  <c r="S15" i="10"/>
  <c r="S10" i="10"/>
  <c r="S5" i="10"/>
  <c r="F67" i="35"/>
  <c r="F50" i="35"/>
  <c r="L17" i="35"/>
  <c r="S71" i="10"/>
  <c r="S14" i="10"/>
  <c r="S4" i="10"/>
  <c r="J9" i="35"/>
  <c r="L51" i="35"/>
  <c r="J133" i="35"/>
  <c r="L133" i="35" s="1"/>
  <c r="J12" i="35"/>
  <c r="L12" i="35" s="1"/>
  <c r="J11" i="35"/>
  <c r="J44" i="35"/>
  <c r="L44" i="35" s="1"/>
  <c r="J3" i="35"/>
  <c r="J35" i="35"/>
  <c r="D43" i="2"/>
  <c r="D48" i="2"/>
  <c r="D110" i="2"/>
  <c r="F304" i="9"/>
  <c r="G7" i="32"/>
  <c r="G8" i="32"/>
  <c r="G12" i="32"/>
  <c r="G14" i="32"/>
  <c r="G5" i="32"/>
  <c r="G4" i="32"/>
  <c r="G6" i="32"/>
  <c r="G9" i="32"/>
  <c r="G11" i="32"/>
  <c r="G10" i="32"/>
  <c r="G13" i="32"/>
  <c r="L4" i="29" l="1"/>
  <c r="F17" i="29"/>
  <c r="J17" i="29" s="1"/>
  <c r="L17" i="29" s="1"/>
  <c r="J179" i="35"/>
  <c r="L179" i="35" s="1"/>
  <c r="J184" i="35"/>
  <c r="L184" i="35" s="1"/>
  <c r="J14" i="29"/>
  <c r="J67" i="35"/>
  <c r="L67" i="35" s="1"/>
  <c r="J50" i="35"/>
  <c r="L50" i="35" s="1"/>
  <c r="G172" i="9"/>
  <c r="H172" i="9"/>
  <c r="T172" i="9"/>
  <c r="H3" i="9"/>
  <c r="H11" i="9"/>
  <c r="H19" i="9"/>
  <c r="H27" i="9"/>
  <c r="H35" i="9"/>
  <c r="H43" i="9"/>
  <c r="H51" i="9"/>
  <c r="H59" i="9"/>
  <c r="H67" i="9"/>
  <c r="H75" i="9"/>
  <c r="H83" i="9"/>
  <c r="H91" i="9"/>
  <c r="H99" i="9"/>
  <c r="H107" i="9"/>
  <c r="H115" i="9"/>
  <c r="H123" i="9"/>
  <c r="H131" i="9"/>
  <c r="H139" i="9"/>
  <c r="H147" i="9"/>
  <c r="H155" i="9"/>
  <c r="H163" i="9"/>
  <c r="H171" i="9"/>
  <c r="H179" i="9"/>
  <c r="H187" i="9"/>
  <c r="H195" i="9"/>
  <c r="H203" i="9"/>
  <c r="H211" i="9"/>
  <c r="H219" i="9"/>
  <c r="H227" i="9"/>
  <c r="H235" i="9"/>
  <c r="H243" i="9"/>
  <c r="H251" i="9"/>
  <c r="H259" i="9"/>
  <c r="H267" i="9"/>
  <c r="H275" i="9"/>
  <c r="H283" i="9"/>
  <c r="H291" i="9"/>
  <c r="H299" i="9"/>
  <c r="H12" i="9"/>
  <c r="H28" i="9"/>
  <c r="H36" i="9"/>
  <c r="H44" i="9"/>
  <c r="H60" i="9"/>
  <c r="H68" i="9"/>
  <c r="H84" i="9"/>
  <c r="H100" i="9"/>
  <c r="H108" i="9"/>
  <c r="H124" i="9"/>
  <c r="H140" i="9"/>
  <c r="H156" i="9"/>
  <c r="H188" i="9"/>
  <c r="H204" i="9"/>
  <c r="H220" i="9"/>
  <c r="H236" i="9"/>
  <c r="H252" i="9"/>
  <c r="H268" i="9"/>
  <c r="H276" i="9"/>
  <c r="H300" i="9"/>
  <c r="H42" i="9"/>
  <c r="H82" i="9"/>
  <c r="H138" i="9"/>
  <c r="H178" i="9"/>
  <c r="H218" i="9"/>
  <c r="H274" i="9"/>
  <c r="H4" i="9"/>
  <c r="H20" i="9"/>
  <c r="H52" i="9"/>
  <c r="H76" i="9"/>
  <c r="H92" i="9"/>
  <c r="H116" i="9"/>
  <c r="H132" i="9"/>
  <c r="H148" i="9"/>
  <c r="H164" i="9"/>
  <c r="H180" i="9"/>
  <c r="H196" i="9"/>
  <c r="H212" i="9"/>
  <c r="H228" i="9"/>
  <c r="H244" i="9"/>
  <c r="H260" i="9"/>
  <c r="H284" i="9"/>
  <c r="H292" i="9"/>
  <c r="H50" i="9"/>
  <c r="H90" i="9"/>
  <c r="H154" i="9"/>
  <c r="H210" i="9"/>
  <c r="H258" i="9"/>
  <c r="H282" i="9"/>
  <c r="H5" i="9"/>
  <c r="H13" i="9"/>
  <c r="H21" i="9"/>
  <c r="H29" i="9"/>
  <c r="H37" i="9"/>
  <c r="H45" i="9"/>
  <c r="H53" i="9"/>
  <c r="H61" i="9"/>
  <c r="H69" i="9"/>
  <c r="H77" i="9"/>
  <c r="H85" i="9"/>
  <c r="H93" i="9"/>
  <c r="H101" i="9"/>
  <c r="H109" i="9"/>
  <c r="H117" i="9"/>
  <c r="H125" i="9"/>
  <c r="H133" i="9"/>
  <c r="H141" i="9"/>
  <c r="H149" i="9"/>
  <c r="H157" i="9"/>
  <c r="H165" i="9"/>
  <c r="H173" i="9"/>
  <c r="H181" i="9"/>
  <c r="H189" i="9"/>
  <c r="H197" i="9"/>
  <c r="H205" i="9"/>
  <c r="H213" i="9"/>
  <c r="H221" i="9"/>
  <c r="H229" i="9"/>
  <c r="H237" i="9"/>
  <c r="H245" i="9"/>
  <c r="H253" i="9"/>
  <c r="H261" i="9"/>
  <c r="H269" i="9"/>
  <c r="H277" i="9"/>
  <c r="H285" i="9"/>
  <c r="H293" i="9"/>
  <c r="H301" i="9"/>
  <c r="H286" i="9"/>
  <c r="H302" i="9"/>
  <c r="H95" i="9"/>
  <c r="H135" i="9"/>
  <c r="H159" i="9"/>
  <c r="H183" i="9"/>
  <c r="H207" i="9"/>
  <c r="H223" i="9"/>
  <c r="H247" i="9"/>
  <c r="H263" i="9"/>
  <c r="H295" i="9"/>
  <c r="H137" i="9"/>
  <c r="H177" i="9"/>
  <c r="H209" i="9"/>
  <c r="H249" i="9"/>
  <c r="H281" i="9"/>
  <c r="H34" i="9"/>
  <c r="H98" i="9"/>
  <c r="H146" i="9"/>
  <c r="H186" i="9"/>
  <c r="H226" i="9"/>
  <c r="H266" i="9"/>
  <c r="H6" i="9"/>
  <c r="H14" i="9"/>
  <c r="H22" i="9"/>
  <c r="H30" i="9"/>
  <c r="H38" i="9"/>
  <c r="H46" i="9"/>
  <c r="H54" i="9"/>
  <c r="H62" i="9"/>
  <c r="H70" i="9"/>
  <c r="H78" i="9"/>
  <c r="H86" i="9"/>
  <c r="H94" i="9"/>
  <c r="H102" i="9"/>
  <c r="H110" i="9"/>
  <c r="H118" i="9"/>
  <c r="H126" i="9"/>
  <c r="H134" i="9"/>
  <c r="H142" i="9"/>
  <c r="H150" i="9"/>
  <c r="H158" i="9"/>
  <c r="H166" i="9"/>
  <c r="H174" i="9"/>
  <c r="H182" i="9"/>
  <c r="H190" i="9"/>
  <c r="H198" i="9"/>
  <c r="H206" i="9"/>
  <c r="H214" i="9"/>
  <c r="H222" i="9"/>
  <c r="H230" i="9"/>
  <c r="H238" i="9"/>
  <c r="H246" i="9"/>
  <c r="H254" i="9"/>
  <c r="H262" i="9"/>
  <c r="H270" i="9"/>
  <c r="H278" i="9"/>
  <c r="H294" i="9"/>
  <c r="H103" i="9"/>
  <c r="H127" i="9"/>
  <c r="H151" i="9"/>
  <c r="H175" i="9"/>
  <c r="H199" i="9"/>
  <c r="H215" i="9"/>
  <c r="H239" i="9"/>
  <c r="H271" i="9"/>
  <c r="H287" i="9"/>
  <c r="H303" i="9"/>
  <c r="H129" i="9"/>
  <c r="H161" i="9"/>
  <c r="H193" i="9"/>
  <c r="H225" i="9"/>
  <c r="H241" i="9"/>
  <c r="H265" i="9"/>
  <c r="H297" i="9"/>
  <c r="H10" i="9"/>
  <c r="H58" i="9"/>
  <c r="H122" i="9"/>
  <c r="H194" i="9"/>
  <c r="H234" i="9"/>
  <c r="H290" i="9"/>
  <c r="H7" i="9"/>
  <c r="H15" i="9"/>
  <c r="H23" i="9"/>
  <c r="H31" i="9"/>
  <c r="H39" i="9"/>
  <c r="H47" i="9"/>
  <c r="H55" i="9"/>
  <c r="H63" i="9"/>
  <c r="H71" i="9"/>
  <c r="H79" i="9"/>
  <c r="H87" i="9"/>
  <c r="H111" i="9"/>
  <c r="H119" i="9"/>
  <c r="H143" i="9"/>
  <c r="H167" i="9"/>
  <c r="H191" i="9"/>
  <c r="H231" i="9"/>
  <c r="H255" i="9"/>
  <c r="H279" i="9"/>
  <c r="H121" i="9"/>
  <c r="H169" i="9"/>
  <c r="H201" i="9"/>
  <c r="H233" i="9"/>
  <c r="H273" i="9"/>
  <c r="H18" i="9"/>
  <c r="H66" i="9"/>
  <c r="H130" i="9"/>
  <c r="H170" i="9"/>
  <c r="H250" i="9"/>
  <c r="H298" i="9"/>
  <c r="H8" i="9"/>
  <c r="H16" i="9"/>
  <c r="H24" i="9"/>
  <c r="H32" i="9"/>
  <c r="H40" i="9"/>
  <c r="H48" i="9"/>
  <c r="H56" i="9"/>
  <c r="H64" i="9"/>
  <c r="H72" i="9"/>
  <c r="H80" i="9"/>
  <c r="H88" i="9"/>
  <c r="H96" i="9"/>
  <c r="H104" i="9"/>
  <c r="H112" i="9"/>
  <c r="H120" i="9"/>
  <c r="H128" i="9"/>
  <c r="H136" i="9"/>
  <c r="H144" i="9"/>
  <c r="H152" i="9"/>
  <c r="H160" i="9"/>
  <c r="H168" i="9"/>
  <c r="H176" i="9"/>
  <c r="H184" i="9"/>
  <c r="H192" i="9"/>
  <c r="H200" i="9"/>
  <c r="H208" i="9"/>
  <c r="H216" i="9"/>
  <c r="H224" i="9"/>
  <c r="H232" i="9"/>
  <c r="H240" i="9"/>
  <c r="H248" i="9"/>
  <c r="H256" i="9"/>
  <c r="H264" i="9"/>
  <c r="H272" i="9"/>
  <c r="H280" i="9"/>
  <c r="H288" i="9"/>
  <c r="H296" i="9"/>
  <c r="H2" i="9"/>
  <c r="H9" i="9"/>
  <c r="H17" i="9"/>
  <c r="H25" i="9"/>
  <c r="H33" i="9"/>
  <c r="H41" i="9"/>
  <c r="H49" i="9"/>
  <c r="H57" i="9"/>
  <c r="H65" i="9"/>
  <c r="H73" i="9"/>
  <c r="H81" i="9"/>
  <c r="H89" i="9"/>
  <c r="H97" i="9"/>
  <c r="H105" i="9"/>
  <c r="H113" i="9"/>
  <c r="H145" i="9"/>
  <c r="H153" i="9"/>
  <c r="H185" i="9"/>
  <c r="H217" i="9"/>
  <c r="H257" i="9"/>
  <c r="H289" i="9"/>
  <c r="H26" i="9"/>
  <c r="H74" i="9"/>
  <c r="H114" i="9"/>
  <c r="H162" i="9"/>
  <c r="H202" i="9"/>
  <c r="H242" i="9"/>
  <c r="H106" i="9"/>
  <c r="G3" i="9"/>
  <c r="G7" i="9"/>
  <c r="G11" i="9"/>
  <c r="G15" i="9"/>
  <c r="G19" i="9"/>
  <c r="G23" i="9"/>
  <c r="G27" i="9"/>
  <c r="G31" i="9"/>
  <c r="G35" i="9"/>
  <c r="G39" i="9"/>
  <c r="G43" i="9"/>
  <c r="G47" i="9"/>
  <c r="G51" i="9"/>
  <c r="G55" i="9"/>
  <c r="G59" i="9"/>
  <c r="G63" i="9"/>
  <c r="G67" i="9"/>
  <c r="G71" i="9"/>
  <c r="G75" i="9"/>
  <c r="G79" i="9"/>
  <c r="G83" i="9"/>
  <c r="G87" i="9"/>
  <c r="G91" i="9"/>
  <c r="G95" i="9"/>
  <c r="G99" i="9"/>
  <c r="G103" i="9"/>
  <c r="G107" i="9"/>
  <c r="G111" i="9"/>
  <c r="G115" i="9"/>
  <c r="G119" i="9"/>
  <c r="G123" i="9"/>
  <c r="G127" i="9"/>
  <c r="G131" i="9"/>
  <c r="G135" i="9"/>
  <c r="G139" i="9"/>
  <c r="G143" i="9"/>
  <c r="G147" i="9"/>
  <c r="G151" i="9"/>
  <c r="G155" i="9"/>
  <c r="G159" i="9"/>
  <c r="G163" i="9"/>
  <c r="G167" i="9"/>
  <c r="G171" i="9"/>
  <c r="G175" i="9"/>
  <c r="G179" i="9"/>
  <c r="G183" i="9"/>
  <c r="G187" i="9"/>
  <c r="G191" i="9"/>
  <c r="G195" i="9"/>
  <c r="G199" i="9"/>
  <c r="G203" i="9"/>
  <c r="G207" i="9"/>
  <c r="G211" i="9"/>
  <c r="G215" i="9"/>
  <c r="G219" i="9"/>
  <c r="G223" i="9"/>
  <c r="G227" i="9"/>
  <c r="G231" i="9"/>
  <c r="G235" i="9"/>
  <c r="G239" i="9"/>
  <c r="G243" i="9"/>
  <c r="G247" i="9"/>
  <c r="G251" i="9"/>
  <c r="G255" i="9"/>
  <c r="G259" i="9"/>
  <c r="G263" i="9"/>
  <c r="G267" i="9"/>
  <c r="G271" i="9"/>
  <c r="G275" i="9"/>
  <c r="G279" i="9"/>
  <c r="G283" i="9"/>
  <c r="G287" i="9"/>
  <c r="G291" i="9"/>
  <c r="G295" i="9"/>
  <c r="G299" i="9"/>
  <c r="G303" i="9"/>
  <c r="G4" i="9"/>
  <c r="G8" i="9"/>
  <c r="G12" i="9"/>
  <c r="G16" i="9"/>
  <c r="G20" i="9"/>
  <c r="G24" i="9"/>
  <c r="G28" i="9"/>
  <c r="G32" i="9"/>
  <c r="G36" i="9"/>
  <c r="G40" i="9"/>
  <c r="G44" i="9"/>
  <c r="G48" i="9"/>
  <c r="G52" i="9"/>
  <c r="G56" i="9"/>
  <c r="G60" i="9"/>
  <c r="G64" i="9"/>
  <c r="G68" i="9"/>
  <c r="G72" i="9"/>
  <c r="G76" i="9"/>
  <c r="G80" i="9"/>
  <c r="G84" i="9"/>
  <c r="G88" i="9"/>
  <c r="G92" i="9"/>
  <c r="G96" i="9"/>
  <c r="G100" i="9"/>
  <c r="G104" i="9"/>
  <c r="G108" i="9"/>
  <c r="G112" i="9"/>
  <c r="G116" i="9"/>
  <c r="G120" i="9"/>
  <c r="G124" i="9"/>
  <c r="G128" i="9"/>
  <c r="G132" i="9"/>
  <c r="G136" i="9"/>
  <c r="G140" i="9"/>
  <c r="G144" i="9"/>
  <c r="G148" i="9"/>
  <c r="G152" i="9"/>
  <c r="G156" i="9"/>
  <c r="G160" i="9"/>
  <c r="G164" i="9"/>
  <c r="G168" i="9"/>
  <c r="G176" i="9"/>
  <c r="G180" i="9"/>
  <c r="G184" i="9"/>
  <c r="G188" i="9"/>
  <c r="G192" i="9"/>
  <c r="G196" i="9"/>
  <c r="G200" i="9"/>
  <c r="G204" i="9"/>
  <c r="G208" i="9"/>
  <c r="G212" i="9"/>
  <c r="G216" i="9"/>
  <c r="G220" i="9"/>
  <c r="G224" i="9"/>
  <c r="G228" i="9"/>
  <c r="G232" i="9"/>
  <c r="G236" i="9"/>
  <c r="G240" i="9"/>
  <c r="G244" i="9"/>
  <c r="G248" i="9"/>
  <c r="G252" i="9"/>
  <c r="G256" i="9"/>
  <c r="G260" i="9"/>
  <c r="G264" i="9"/>
  <c r="G268" i="9"/>
  <c r="G272" i="9"/>
  <c r="G276" i="9"/>
  <c r="G280" i="9"/>
  <c r="G284" i="9"/>
  <c r="G288" i="9"/>
  <c r="G292" i="9"/>
  <c r="G296" i="9"/>
  <c r="G300" i="9"/>
  <c r="G5" i="9"/>
  <c r="G9" i="9"/>
  <c r="G13" i="9"/>
  <c r="G17" i="9"/>
  <c r="G21" i="9"/>
  <c r="G25" i="9"/>
  <c r="G29" i="9"/>
  <c r="G33" i="9"/>
  <c r="G37" i="9"/>
  <c r="G41" i="9"/>
  <c r="G45" i="9"/>
  <c r="G49" i="9"/>
  <c r="G53" i="9"/>
  <c r="G57" i="9"/>
  <c r="G61" i="9"/>
  <c r="G65" i="9"/>
  <c r="G69" i="9"/>
  <c r="G73" i="9"/>
  <c r="G77" i="9"/>
  <c r="G81" i="9"/>
  <c r="G85" i="9"/>
  <c r="G89" i="9"/>
  <c r="G93" i="9"/>
  <c r="G97" i="9"/>
  <c r="G105" i="9"/>
  <c r="G109" i="9"/>
  <c r="G113" i="9"/>
  <c r="G117" i="9"/>
  <c r="G121" i="9"/>
  <c r="G125" i="9"/>
  <c r="G129" i="9"/>
  <c r="G133" i="9"/>
  <c r="G137" i="9"/>
  <c r="G141" i="9"/>
  <c r="G145" i="9"/>
  <c r="G149" i="9"/>
  <c r="G153" i="9"/>
  <c r="G157" i="9"/>
  <c r="G161" i="9"/>
  <c r="G165" i="9"/>
  <c r="G169" i="9"/>
  <c r="G173" i="9"/>
  <c r="G177" i="9"/>
  <c r="G181" i="9"/>
  <c r="G185" i="9"/>
  <c r="G189" i="9"/>
  <c r="G193" i="9"/>
  <c r="G197" i="9"/>
  <c r="G201" i="9"/>
  <c r="G205" i="9"/>
  <c r="G209" i="9"/>
  <c r="G213" i="9"/>
  <c r="G217" i="9"/>
  <c r="G221" i="9"/>
  <c r="G225" i="9"/>
  <c r="G229" i="9"/>
  <c r="G233" i="9"/>
  <c r="G237" i="9"/>
  <c r="G241" i="9"/>
  <c r="G245" i="9"/>
  <c r="G249" i="9"/>
  <c r="G253" i="9"/>
  <c r="G257" i="9"/>
  <c r="G261" i="9"/>
  <c r="G265" i="9"/>
  <c r="G269" i="9"/>
  <c r="G273" i="9"/>
  <c r="G277" i="9"/>
  <c r="G281" i="9"/>
  <c r="G285" i="9"/>
  <c r="G289" i="9"/>
  <c r="G293" i="9"/>
  <c r="G297" i="9"/>
  <c r="G301" i="9"/>
  <c r="G6" i="9"/>
  <c r="G10" i="9"/>
  <c r="G14" i="9"/>
  <c r="G18" i="9"/>
  <c r="G22" i="9"/>
  <c r="G26" i="9"/>
  <c r="G30" i="9"/>
  <c r="G34" i="9"/>
  <c r="G38" i="9"/>
  <c r="G42" i="9"/>
  <c r="G46" i="9"/>
  <c r="G50" i="9"/>
  <c r="G54" i="9"/>
  <c r="G58" i="9"/>
  <c r="G62" i="9"/>
  <c r="G66" i="9"/>
  <c r="G70" i="9"/>
  <c r="G74" i="9"/>
  <c r="G78" i="9"/>
  <c r="G82" i="9"/>
  <c r="G86" i="9"/>
  <c r="G90" i="9"/>
  <c r="G94" i="9"/>
  <c r="G98" i="9"/>
  <c r="G102" i="9"/>
  <c r="G106" i="9"/>
  <c r="G110" i="9"/>
  <c r="G114" i="9"/>
  <c r="G118" i="9"/>
  <c r="G122" i="9"/>
  <c r="G126" i="9"/>
  <c r="G130" i="9"/>
  <c r="G134" i="9"/>
  <c r="G138" i="9"/>
  <c r="G142" i="9"/>
  <c r="G146" i="9"/>
  <c r="G150" i="9"/>
  <c r="G154" i="9"/>
  <c r="G158" i="9"/>
  <c r="G162" i="9"/>
  <c r="G166" i="9"/>
  <c r="G170" i="9"/>
  <c r="G174" i="9"/>
  <c r="G178" i="9"/>
  <c r="G182" i="9"/>
  <c r="G186" i="9"/>
  <c r="G190" i="9"/>
  <c r="G194" i="9"/>
  <c r="G198" i="9"/>
  <c r="G202" i="9"/>
  <c r="G206" i="9"/>
  <c r="G210" i="9"/>
  <c r="G214" i="9"/>
  <c r="G218" i="9"/>
  <c r="G222" i="9"/>
  <c r="G226" i="9"/>
  <c r="G230" i="9"/>
  <c r="G234" i="9"/>
  <c r="G238" i="9"/>
  <c r="G242" i="9"/>
  <c r="G246" i="9"/>
  <c r="G250" i="9"/>
  <c r="G254" i="9"/>
  <c r="G258" i="9"/>
  <c r="G262" i="9"/>
  <c r="G266" i="9"/>
  <c r="G270" i="9"/>
  <c r="G274" i="9"/>
  <c r="G278" i="9"/>
  <c r="G282" i="9"/>
  <c r="G286" i="9"/>
  <c r="G290" i="9"/>
  <c r="G294" i="9"/>
  <c r="G298" i="9"/>
  <c r="G302" i="9"/>
  <c r="G2" i="9"/>
  <c r="G101" i="9"/>
  <c r="T260" i="9"/>
  <c r="T227" i="9"/>
  <c r="T195" i="9"/>
  <c r="T165" i="9"/>
  <c r="T57" i="9"/>
  <c r="T53" i="9"/>
  <c r="T139" i="9"/>
  <c r="T115" i="9"/>
  <c r="U154" i="8"/>
  <c r="U146" i="8"/>
  <c r="U148" i="8"/>
  <c r="U153" i="8"/>
  <c r="U130" i="8"/>
  <c r="U87" i="8"/>
  <c r="U11" i="8"/>
  <c r="U142" i="8"/>
  <c r="U150" i="8"/>
  <c r="U147" i="8"/>
  <c r="U48" i="8"/>
  <c r="U152" i="8"/>
  <c r="U129" i="8"/>
  <c r="U49" i="8"/>
  <c r="U113" i="8"/>
  <c r="P401" i="10"/>
  <c r="P403" i="10"/>
  <c r="P405" i="10"/>
  <c r="P407" i="10"/>
  <c r="P409" i="10"/>
  <c r="P411" i="10"/>
  <c r="P413" i="10"/>
  <c r="P415" i="10"/>
  <c r="P417" i="10"/>
  <c r="P419" i="10"/>
  <c r="P421" i="10"/>
  <c r="P423" i="10"/>
  <c r="P425" i="10"/>
  <c r="P427" i="10"/>
  <c r="U151" i="8"/>
  <c r="U124" i="8"/>
  <c r="P430" i="10"/>
  <c r="U149" i="8"/>
  <c r="P402" i="10"/>
  <c r="P404" i="10"/>
  <c r="P406" i="10"/>
  <c r="P408" i="10"/>
  <c r="P410" i="10"/>
  <c r="P412" i="10"/>
  <c r="P414" i="10"/>
  <c r="P416" i="10"/>
  <c r="P418" i="10"/>
  <c r="P420" i="10"/>
  <c r="P422" i="10"/>
  <c r="P424" i="10"/>
  <c r="P426" i="10"/>
  <c r="P428" i="10"/>
  <c r="P435" i="10"/>
  <c r="P452" i="10"/>
  <c r="P455" i="10"/>
  <c r="P460" i="10"/>
  <c r="P462" i="10"/>
  <c r="P464" i="10"/>
  <c r="P466" i="10"/>
  <c r="P468" i="10"/>
  <c r="P470" i="10"/>
  <c r="P472" i="10"/>
  <c r="P474" i="10"/>
  <c r="P476" i="10"/>
  <c r="P478" i="10"/>
  <c r="P480" i="10"/>
  <c r="P482" i="10"/>
  <c r="P484" i="10"/>
  <c r="P486" i="10"/>
  <c r="P488" i="10"/>
  <c r="P490" i="10"/>
  <c r="P492" i="10"/>
  <c r="P494" i="10"/>
  <c r="P496" i="10"/>
  <c r="P498" i="10"/>
  <c r="P500" i="10"/>
  <c r="P432" i="10"/>
  <c r="P443" i="10"/>
  <c r="P445" i="10"/>
  <c r="U86" i="8"/>
  <c r="P437" i="10"/>
  <c r="P441" i="10"/>
  <c r="P444" i="10"/>
  <c r="P446" i="10"/>
  <c r="P447" i="10"/>
  <c r="P453" i="10"/>
  <c r="P458" i="10"/>
  <c r="P434" i="10"/>
  <c r="P442" i="10"/>
  <c r="P448" i="10"/>
  <c r="P449" i="10"/>
  <c r="P431" i="10"/>
  <c r="P439" i="10"/>
  <c r="P440" i="10"/>
  <c r="P450" i="10"/>
  <c r="P456" i="10"/>
  <c r="P459" i="10"/>
  <c r="P461" i="10"/>
  <c r="P463" i="10"/>
  <c r="P465" i="10"/>
  <c r="P467" i="10"/>
  <c r="P469" i="10"/>
  <c r="P471" i="10"/>
  <c r="P473" i="10"/>
  <c r="P475" i="10"/>
  <c r="P477" i="10"/>
  <c r="P479" i="10"/>
  <c r="P481" i="10"/>
  <c r="P483" i="10"/>
  <c r="P485" i="10"/>
  <c r="P487" i="10"/>
  <c r="P436" i="10"/>
  <c r="P451" i="10"/>
  <c r="P433" i="10"/>
  <c r="P454" i="10"/>
  <c r="P457" i="10"/>
  <c r="P438" i="10"/>
  <c r="P394" i="10"/>
  <c r="P396" i="10"/>
  <c r="P398" i="10"/>
  <c r="P502" i="10"/>
  <c r="P503" i="10"/>
  <c r="P509" i="10"/>
  <c r="P513" i="10"/>
  <c r="P388" i="10"/>
  <c r="P392" i="10"/>
  <c r="P504" i="10"/>
  <c r="P505" i="10"/>
  <c r="P510" i="10"/>
  <c r="P514" i="10"/>
  <c r="P389" i="10"/>
  <c r="P373" i="10"/>
  <c r="P375" i="10"/>
  <c r="P377" i="10"/>
  <c r="P379" i="10"/>
  <c r="P393" i="10"/>
  <c r="P395" i="10"/>
  <c r="P397" i="10"/>
  <c r="P399" i="10"/>
  <c r="P506" i="10"/>
  <c r="P507" i="10"/>
  <c r="P511" i="10"/>
  <c r="P386" i="10"/>
  <c r="P390" i="10"/>
  <c r="P489" i="10"/>
  <c r="P491" i="10"/>
  <c r="P493" i="10"/>
  <c r="P495" i="10"/>
  <c r="P497" i="10"/>
  <c r="P499" i="10"/>
  <c r="P501" i="10"/>
  <c r="P508" i="10"/>
  <c r="P512" i="10"/>
  <c r="P387" i="10"/>
  <c r="P391" i="10"/>
  <c r="P384" i="10"/>
  <c r="P372" i="10"/>
  <c r="P374" i="10"/>
  <c r="P376" i="10"/>
  <c r="P378" i="10"/>
  <c r="P344" i="10"/>
  <c r="P381" i="10"/>
  <c r="P347" i="10"/>
  <c r="P348" i="10"/>
  <c r="P352" i="10"/>
  <c r="P356" i="10"/>
  <c r="P360" i="10"/>
  <c r="P364" i="10"/>
  <c r="P368" i="10"/>
  <c r="P341" i="10"/>
  <c r="P383" i="10"/>
  <c r="P367" i="10"/>
  <c r="P345" i="10"/>
  <c r="P349" i="10"/>
  <c r="P353" i="10"/>
  <c r="P357" i="10"/>
  <c r="P361" i="10"/>
  <c r="P365" i="10"/>
  <c r="P369" i="10"/>
  <c r="P342" i="10"/>
  <c r="P320" i="10"/>
  <c r="P321" i="10"/>
  <c r="P322" i="10"/>
  <c r="P323" i="10"/>
  <c r="P324" i="10"/>
  <c r="P325" i="10"/>
  <c r="P326" i="10"/>
  <c r="P327" i="10"/>
  <c r="P328" i="10"/>
  <c r="P329" i="10"/>
  <c r="P330" i="10"/>
  <c r="P331" i="10"/>
  <c r="P332" i="10"/>
  <c r="P333" i="10"/>
  <c r="P334" i="10"/>
  <c r="P335" i="10"/>
  <c r="P336" i="10"/>
  <c r="P337" i="10"/>
  <c r="P338" i="10"/>
  <c r="P339" i="10"/>
  <c r="P340" i="10"/>
  <c r="P351" i="10"/>
  <c r="P359" i="10"/>
  <c r="P346" i="10"/>
  <c r="P350" i="10"/>
  <c r="P354" i="10"/>
  <c r="P358" i="10"/>
  <c r="P362" i="10"/>
  <c r="P366" i="10"/>
  <c r="P363" i="10"/>
  <c r="P380" i="10"/>
  <c r="P371" i="10"/>
  <c r="P355" i="10"/>
  <c r="Q11" i="8"/>
  <c r="Q142" i="8"/>
  <c r="Q147" i="8"/>
  <c r="Q48" i="8"/>
  <c r="Q149" i="8"/>
  <c r="Q154" i="8"/>
  <c r="Q146" i="8"/>
  <c r="Q151" i="8"/>
  <c r="Q124" i="8"/>
  <c r="Q49" i="8"/>
  <c r="Q148" i="8"/>
  <c r="Q153" i="8"/>
  <c r="Q130" i="8"/>
  <c r="Q87" i="8"/>
  <c r="Q150" i="8"/>
  <c r="Q86" i="8"/>
  <c r="Q113" i="8"/>
  <c r="Q129" i="8"/>
  <c r="Q152" i="8"/>
  <c r="S149" i="8"/>
  <c r="S113" i="8"/>
  <c r="S86" i="8"/>
  <c r="S151" i="8"/>
  <c r="S124" i="8"/>
  <c r="S148" i="8"/>
  <c r="S153" i="8"/>
  <c r="S130" i="8"/>
  <c r="S87" i="8"/>
  <c r="S150" i="8"/>
  <c r="S11" i="8"/>
  <c r="S142" i="8"/>
  <c r="S147" i="8"/>
  <c r="S48" i="8"/>
  <c r="S49" i="8"/>
  <c r="S154" i="8"/>
  <c r="S146" i="8"/>
  <c r="S152" i="8"/>
  <c r="S129" i="8"/>
  <c r="L15" i="10"/>
  <c r="N154" i="8"/>
  <c r="N146" i="8"/>
  <c r="N148" i="8"/>
  <c r="N153" i="8"/>
  <c r="N130" i="8"/>
  <c r="N87" i="8"/>
  <c r="N150" i="8"/>
  <c r="N11" i="8"/>
  <c r="N142" i="8"/>
  <c r="N147" i="8"/>
  <c r="N48" i="8"/>
  <c r="N152" i="8"/>
  <c r="N129" i="8"/>
  <c r="N149" i="8"/>
  <c r="L430" i="10"/>
  <c r="L432" i="10"/>
  <c r="L434" i="10"/>
  <c r="L436" i="10"/>
  <c r="L438" i="10"/>
  <c r="L402" i="10"/>
  <c r="L404" i="10"/>
  <c r="L406" i="10"/>
  <c r="L408" i="10"/>
  <c r="L410" i="10"/>
  <c r="L412" i="10"/>
  <c r="L414" i="10"/>
  <c r="L416" i="10"/>
  <c r="L418" i="10"/>
  <c r="L420" i="10"/>
  <c r="L422" i="10"/>
  <c r="L424" i="10"/>
  <c r="L426" i="10"/>
  <c r="L428" i="10"/>
  <c r="N86" i="8"/>
  <c r="L431" i="10"/>
  <c r="L433" i="10"/>
  <c r="L435" i="10"/>
  <c r="L437" i="10"/>
  <c r="L439" i="10"/>
  <c r="L441" i="10"/>
  <c r="L443" i="10"/>
  <c r="L445" i="10"/>
  <c r="L447" i="10"/>
  <c r="L449" i="10"/>
  <c r="N49" i="8"/>
  <c r="L401" i="10"/>
  <c r="L417" i="10"/>
  <c r="L444" i="10"/>
  <c r="L446" i="10"/>
  <c r="L453" i="10"/>
  <c r="N124" i="8"/>
  <c r="L403" i="10"/>
  <c r="L419" i="10"/>
  <c r="L442" i="10"/>
  <c r="L448" i="10"/>
  <c r="L456" i="10"/>
  <c r="L461" i="10"/>
  <c r="L463" i="10"/>
  <c r="L465" i="10"/>
  <c r="L467" i="10"/>
  <c r="L469" i="10"/>
  <c r="L471" i="10"/>
  <c r="L473" i="10"/>
  <c r="L475" i="10"/>
  <c r="L477" i="10"/>
  <c r="L479" i="10"/>
  <c r="L481" i="10"/>
  <c r="L405" i="10"/>
  <c r="L421" i="10"/>
  <c r="L440" i="10"/>
  <c r="L450" i="10"/>
  <c r="L459" i="10"/>
  <c r="L407" i="10"/>
  <c r="L423" i="10"/>
  <c r="L451" i="10"/>
  <c r="L454" i="10"/>
  <c r="L409" i="10"/>
  <c r="L425" i="10"/>
  <c r="L457" i="10"/>
  <c r="N151" i="8"/>
  <c r="L411" i="10"/>
  <c r="L427" i="10"/>
  <c r="L452" i="10"/>
  <c r="L460" i="10"/>
  <c r="L462" i="10"/>
  <c r="L464" i="10"/>
  <c r="L466" i="10"/>
  <c r="L468" i="10"/>
  <c r="L470" i="10"/>
  <c r="L472" i="10"/>
  <c r="L474" i="10"/>
  <c r="L476" i="10"/>
  <c r="L478" i="10"/>
  <c r="L480" i="10"/>
  <c r="L482" i="10"/>
  <c r="L484" i="10"/>
  <c r="L486" i="10"/>
  <c r="L488" i="10"/>
  <c r="N113" i="8"/>
  <c r="L413" i="10"/>
  <c r="L455" i="10"/>
  <c r="L415" i="10"/>
  <c r="L458" i="10"/>
  <c r="L503" i="10"/>
  <c r="L373" i="10"/>
  <c r="L504" i="10"/>
  <c r="L510" i="10"/>
  <c r="L514" i="10"/>
  <c r="L389" i="10"/>
  <c r="L393" i="10"/>
  <c r="L395" i="10"/>
  <c r="L397" i="10"/>
  <c r="L399" i="10"/>
  <c r="L506" i="10"/>
  <c r="L511" i="10"/>
  <c r="L386" i="10"/>
  <c r="L390" i="10"/>
  <c r="L371" i="10"/>
  <c r="L483" i="10"/>
  <c r="L507" i="10"/>
  <c r="L384" i="10"/>
  <c r="L372" i="10"/>
  <c r="L374" i="10"/>
  <c r="L376" i="10"/>
  <c r="L378" i="10"/>
  <c r="L508" i="10"/>
  <c r="L512" i="10"/>
  <c r="L387" i="10"/>
  <c r="L391" i="10"/>
  <c r="L394" i="10"/>
  <c r="L396" i="10"/>
  <c r="L398" i="10"/>
  <c r="L489" i="10"/>
  <c r="L491" i="10"/>
  <c r="L493" i="10"/>
  <c r="L495" i="10"/>
  <c r="L497" i="10"/>
  <c r="L499" i="10"/>
  <c r="L501" i="10"/>
  <c r="L485" i="10"/>
  <c r="L490" i="10"/>
  <c r="L492" i="10"/>
  <c r="L494" i="10"/>
  <c r="L496" i="10"/>
  <c r="L498" i="10"/>
  <c r="L500" i="10"/>
  <c r="L502" i="10"/>
  <c r="L509" i="10"/>
  <c r="L513" i="10"/>
  <c r="L388" i="10"/>
  <c r="L392" i="10"/>
  <c r="L383" i="10"/>
  <c r="L342" i="10"/>
  <c r="L320" i="10"/>
  <c r="L321" i="10"/>
  <c r="L322" i="10"/>
  <c r="L323" i="10"/>
  <c r="L324" i="10"/>
  <c r="L325" i="10"/>
  <c r="L326" i="10"/>
  <c r="L327" i="10"/>
  <c r="L328" i="10"/>
  <c r="L329" i="10"/>
  <c r="L330" i="10"/>
  <c r="L331" i="10"/>
  <c r="L332" i="10"/>
  <c r="L333" i="10"/>
  <c r="L334" i="10"/>
  <c r="L335" i="10"/>
  <c r="L336" i="10"/>
  <c r="L337" i="10"/>
  <c r="L338" i="10"/>
  <c r="L339" i="10"/>
  <c r="L340" i="10"/>
  <c r="L356" i="10"/>
  <c r="L345" i="10"/>
  <c r="L349" i="10"/>
  <c r="L353" i="10"/>
  <c r="L357" i="10"/>
  <c r="L361" i="10"/>
  <c r="L365" i="10"/>
  <c r="L369" i="10"/>
  <c r="L487" i="10"/>
  <c r="L377" i="10"/>
  <c r="L346" i="10"/>
  <c r="L350" i="10"/>
  <c r="L354" i="10"/>
  <c r="L358" i="10"/>
  <c r="L362" i="10"/>
  <c r="L366" i="10"/>
  <c r="L344" i="10"/>
  <c r="L375" i="10"/>
  <c r="L380" i="10"/>
  <c r="L364" i="10"/>
  <c r="L505" i="10"/>
  <c r="L379" i="10"/>
  <c r="L347" i="10"/>
  <c r="L351" i="10"/>
  <c r="L355" i="10"/>
  <c r="L359" i="10"/>
  <c r="L363" i="10"/>
  <c r="L367" i="10"/>
  <c r="L348" i="10"/>
  <c r="L381" i="10"/>
  <c r="L341" i="10"/>
  <c r="L352" i="10"/>
  <c r="L360" i="10"/>
  <c r="L368" i="10"/>
  <c r="J11" i="8"/>
  <c r="J150" i="8"/>
  <c r="J124" i="8"/>
  <c r="J49" i="8"/>
  <c r="J144" i="8"/>
  <c r="J133" i="8"/>
  <c r="J120" i="8"/>
  <c r="J152" i="8"/>
  <c r="J130" i="8"/>
  <c r="J149" i="8"/>
  <c r="J113" i="8"/>
  <c r="J48" i="8"/>
  <c r="J139" i="8"/>
  <c r="J126" i="8"/>
  <c r="J117" i="8"/>
  <c r="J107" i="8"/>
  <c r="J98" i="8"/>
  <c r="J89" i="8"/>
  <c r="J154" i="8"/>
  <c r="J146" i="8"/>
  <c r="J138" i="8"/>
  <c r="J127" i="8"/>
  <c r="J151" i="8"/>
  <c r="J129" i="8"/>
  <c r="J86" i="8"/>
  <c r="J136" i="8"/>
  <c r="J128" i="8"/>
  <c r="J115" i="8"/>
  <c r="J148" i="8"/>
  <c r="J135" i="8"/>
  <c r="J123" i="8"/>
  <c r="J153" i="8"/>
  <c r="J145" i="8"/>
  <c r="J118" i="8"/>
  <c r="J105" i="8"/>
  <c r="J95" i="8"/>
  <c r="J76" i="8"/>
  <c r="J84" i="8"/>
  <c r="J61" i="8"/>
  <c r="J69" i="8"/>
  <c r="J37" i="8"/>
  <c r="J45" i="8"/>
  <c r="J5" i="8"/>
  <c r="J14" i="8"/>
  <c r="J22" i="8"/>
  <c r="J143" i="8"/>
  <c r="J116" i="8"/>
  <c r="J104" i="8"/>
  <c r="J94" i="8"/>
  <c r="J77" i="8"/>
  <c r="J85" i="8"/>
  <c r="J62" i="8"/>
  <c r="J70" i="8"/>
  <c r="J38" i="8"/>
  <c r="J46" i="8"/>
  <c r="J6" i="8"/>
  <c r="J15" i="8"/>
  <c r="J23" i="8"/>
  <c r="J140" i="8"/>
  <c r="J112" i="8"/>
  <c r="J103" i="8"/>
  <c r="J93" i="8"/>
  <c r="J78" i="8"/>
  <c r="J72" i="8"/>
  <c r="J63" i="8"/>
  <c r="J55" i="8"/>
  <c r="J39" i="8"/>
  <c r="J34" i="8"/>
  <c r="J7" i="8"/>
  <c r="J16" i="8"/>
  <c r="J24" i="8"/>
  <c r="J134" i="8"/>
  <c r="J111" i="8"/>
  <c r="J102" i="8"/>
  <c r="J92" i="8"/>
  <c r="J79" i="8"/>
  <c r="J56" i="8"/>
  <c r="J64" i="8"/>
  <c r="J53" i="8"/>
  <c r="J40" i="8"/>
  <c r="J30" i="8"/>
  <c r="J8" i="8"/>
  <c r="J17" i="8"/>
  <c r="J25" i="8"/>
  <c r="J132" i="8"/>
  <c r="J110" i="8"/>
  <c r="J100" i="8"/>
  <c r="J90" i="8"/>
  <c r="J80" i="8"/>
  <c r="J57" i="8"/>
  <c r="J65" i="8"/>
  <c r="J51" i="8"/>
  <c r="J41" i="8"/>
  <c r="J31" i="8"/>
  <c r="J9" i="8"/>
  <c r="J18" i="8"/>
  <c r="J26" i="8"/>
  <c r="J147" i="8"/>
  <c r="J125" i="8"/>
  <c r="J109" i="8"/>
  <c r="J99" i="8"/>
  <c r="J73" i="8"/>
  <c r="J81" i="8"/>
  <c r="J58" i="8"/>
  <c r="J66" i="8"/>
  <c r="J50" i="8"/>
  <c r="J42" i="8"/>
  <c r="J32" i="8"/>
  <c r="J10" i="8"/>
  <c r="J19" i="8"/>
  <c r="J27" i="8"/>
  <c r="J142" i="8"/>
  <c r="J87" i="8"/>
  <c r="J121" i="8"/>
  <c r="J108" i="8"/>
  <c r="J97" i="8"/>
  <c r="J74" i="8"/>
  <c r="J82" i="8"/>
  <c r="J59" i="8"/>
  <c r="J67" i="8"/>
  <c r="J35" i="8"/>
  <c r="J43" i="8"/>
  <c r="J29" i="8"/>
  <c r="J12" i="8"/>
  <c r="J20" i="8"/>
  <c r="J3" i="8"/>
  <c r="J106" i="8"/>
  <c r="J4" i="8"/>
  <c r="J96" i="8"/>
  <c r="J13" i="8"/>
  <c r="J75" i="8"/>
  <c r="J21" i="8"/>
  <c r="J83" i="8"/>
  <c r="J60" i="8"/>
  <c r="J68" i="8"/>
  <c r="J36" i="8"/>
  <c r="J119" i="8"/>
  <c r="J44" i="8"/>
  <c r="O151" i="8"/>
  <c r="O124" i="8"/>
  <c r="O49" i="8"/>
  <c r="O153" i="8"/>
  <c r="O130" i="8"/>
  <c r="O150" i="8"/>
  <c r="O11" i="8"/>
  <c r="O142" i="8"/>
  <c r="O147" i="8"/>
  <c r="O48" i="8"/>
  <c r="O152" i="8"/>
  <c r="O129" i="8"/>
  <c r="O149" i="8"/>
  <c r="O113" i="8"/>
  <c r="O86" i="8"/>
  <c r="M401" i="10"/>
  <c r="M403" i="10"/>
  <c r="M405" i="10"/>
  <c r="M407" i="10"/>
  <c r="M409" i="10"/>
  <c r="M411" i="10"/>
  <c r="M413" i="10"/>
  <c r="M415" i="10"/>
  <c r="M417" i="10"/>
  <c r="M419" i="10"/>
  <c r="M421" i="10"/>
  <c r="M423" i="10"/>
  <c r="M425" i="10"/>
  <c r="M427" i="10"/>
  <c r="M430" i="10"/>
  <c r="M432" i="10"/>
  <c r="M434" i="10"/>
  <c r="M436" i="10"/>
  <c r="M438" i="10"/>
  <c r="M402" i="10"/>
  <c r="M404" i="10"/>
  <c r="M406" i="10"/>
  <c r="M408" i="10"/>
  <c r="M410" i="10"/>
  <c r="M412" i="10"/>
  <c r="M414" i="10"/>
  <c r="M416" i="10"/>
  <c r="M418" i="10"/>
  <c r="M420" i="10"/>
  <c r="M422" i="10"/>
  <c r="M424" i="10"/>
  <c r="M426" i="10"/>
  <c r="M428" i="10"/>
  <c r="O148" i="8"/>
  <c r="M431" i="10"/>
  <c r="M433" i="10"/>
  <c r="M435" i="10"/>
  <c r="M437" i="10"/>
  <c r="M439" i="10"/>
  <c r="M441" i="10"/>
  <c r="M443" i="10"/>
  <c r="O87" i="8"/>
  <c r="M445" i="10"/>
  <c r="M458" i="10"/>
  <c r="M444" i="10"/>
  <c r="M446" i="10"/>
  <c r="M447" i="10"/>
  <c r="M453" i="10"/>
  <c r="O154" i="8"/>
  <c r="M442" i="10"/>
  <c r="M448" i="10"/>
  <c r="M449" i="10"/>
  <c r="M456" i="10"/>
  <c r="M461" i="10"/>
  <c r="M463" i="10"/>
  <c r="M465" i="10"/>
  <c r="M467" i="10"/>
  <c r="M469" i="10"/>
  <c r="M471" i="10"/>
  <c r="M473" i="10"/>
  <c r="M475" i="10"/>
  <c r="M477" i="10"/>
  <c r="M479" i="10"/>
  <c r="M481" i="10"/>
  <c r="M483" i="10"/>
  <c r="M485" i="10"/>
  <c r="M487" i="10"/>
  <c r="M489" i="10"/>
  <c r="M491" i="10"/>
  <c r="M493" i="10"/>
  <c r="M495" i="10"/>
  <c r="M497" i="10"/>
  <c r="M499" i="10"/>
  <c r="M501" i="10"/>
  <c r="M503" i="10"/>
  <c r="M505" i="10"/>
  <c r="M507" i="10"/>
  <c r="M440" i="10"/>
  <c r="M450" i="10"/>
  <c r="M459" i="10"/>
  <c r="M451" i="10"/>
  <c r="M454" i="10"/>
  <c r="M457" i="10"/>
  <c r="O146" i="8"/>
  <c r="M452" i="10"/>
  <c r="M460" i="10"/>
  <c r="M462" i="10"/>
  <c r="M464" i="10"/>
  <c r="M466" i="10"/>
  <c r="M468" i="10"/>
  <c r="M470" i="10"/>
  <c r="M472" i="10"/>
  <c r="M474" i="10"/>
  <c r="M476" i="10"/>
  <c r="M478" i="10"/>
  <c r="M480" i="10"/>
  <c r="M482" i="10"/>
  <c r="M484" i="10"/>
  <c r="M486" i="10"/>
  <c r="M488" i="10"/>
  <c r="M490" i="10"/>
  <c r="M492" i="10"/>
  <c r="M494" i="10"/>
  <c r="M496" i="10"/>
  <c r="M498" i="10"/>
  <c r="M500" i="10"/>
  <c r="M502" i="10"/>
  <c r="M504" i="10"/>
  <c r="M506" i="10"/>
  <c r="M508" i="10"/>
  <c r="M510" i="10"/>
  <c r="M512" i="10"/>
  <c r="M514" i="10"/>
  <c r="M387" i="10"/>
  <c r="M389" i="10"/>
  <c r="M391" i="10"/>
  <c r="M509" i="10"/>
  <c r="M513" i="10"/>
  <c r="M388" i="10"/>
  <c r="M392" i="10"/>
  <c r="M383" i="10"/>
  <c r="M511" i="10"/>
  <c r="M386" i="10"/>
  <c r="M390" i="10"/>
  <c r="M455" i="10"/>
  <c r="M384" i="10"/>
  <c r="M372" i="10"/>
  <c r="M374" i="10"/>
  <c r="M376" i="10"/>
  <c r="M394" i="10"/>
  <c r="M399" i="10"/>
  <c r="M371" i="10"/>
  <c r="M348" i="10"/>
  <c r="M352" i="10"/>
  <c r="M356" i="10"/>
  <c r="M360" i="10"/>
  <c r="M364" i="10"/>
  <c r="M368" i="10"/>
  <c r="M396" i="10"/>
  <c r="M342" i="10"/>
  <c r="M320" i="10"/>
  <c r="M321" i="10"/>
  <c r="M322" i="10"/>
  <c r="M323" i="10"/>
  <c r="M324" i="10"/>
  <c r="M325" i="10"/>
  <c r="M326" i="10"/>
  <c r="M327" i="10"/>
  <c r="M328" i="10"/>
  <c r="M329" i="10"/>
  <c r="M330" i="10"/>
  <c r="M331" i="10"/>
  <c r="M332" i="10"/>
  <c r="M333" i="10"/>
  <c r="M334" i="10"/>
  <c r="M335" i="10"/>
  <c r="M336" i="10"/>
  <c r="M337" i="10"/>
  <c r="M338" i="10"/>
  <c r="M339" i="10"/>
  <c r="M340" i="10"/>
  <c r="M345" i="10"/>
  <c r="M349" i="10"/>
  <c r="M353" i="10"/>
  <c r="M357" i="10"/>
  <c r="M361" i="10"/>
  <c r="M365" i="10"/>
  <c r="M369" i="10"/>
  <c r="M344" i="10"/>
  <c r="M398" i="10"/>
  <c r="M393" i="10"/>
  <c r="M395" i="10"/>
  <c r="M377" i="10"/>
  <c r="M378" i="10"/>
  <c r="M346" i="10"/>
  <c r="M350" i="10"/>
  <c r="M354" i="10"/>
  <c r="M358" i="10"/>
  <c r="M362" i="10"/>
  <c r="M366" i="10"/>
  <c r="M375" i="10"/>
  <c r="M380" i="10"/>
  <c r="M397" i="10"/>
  <c r="M373" i="10"/>
  <c r="M379" i="10"/>
  <c r="M347" i="10"/>
  <c r="M351" i="10"/>
  <c r="M355" i="10"/>
  <c r="M359" i="10"/>
  <c r="M363" i="10"/>
  <c r="M367" i="10"/>
  <c r="M381" i="10"/>
  <c r="M341" i="10"/>
  <c r="M149" i="8"/>
  <c r="M113" i="8"/>
  <c r="M86" i="8"/>
  <c r="M151" i="8"/>
  <c r="M124" i="8"/>
  <c r="M148" i="8"/>
  <c r="M153" i="8"/>
  <c r="M130" i="8"/>
  <c r="M87" i="8"/>
  <c r="M150" i="8"/>
  <c r="M11" i="8"/>
  <c r="M142" i="8"/>
  <c r="M147" i="8"/>
  <c r="M48" i="8"/>
  <c r="M154" i="8"/>
  <c r="M146" i="8"/>
  <c r="M36" i="8"/>
  <c r="M152" i="8"/>
  <c r="M129" i="8"/>
  <c r="K402" i="10"/>
  <c r="K404" i="10"/>
  <c r="K406" i="10"/>
  <c r="K408" i="10"/>
  <c r="K410" i="10"/>
  <c r="K412" i="10"/>
  <c r="K414" i="10"/>
  <c r="K416" i="10"/>
  <c r="K418" i="10"/>
  <c r="K420" i="10"/>
  <c r="K422" i="10"/>
  <c r="K424" i="10"/>
  <c r="K426" i="10"/>
  <c r="K428" i="10"/>
  <c r="M49" i="8"/>
  <c r="K401" i="10"/>
  <c r="K403" i="10"/>
  <c r="K405" i="10"/>
  <c r="K407" i="10"/>
  <c r="K409" i="10"/>
  <c r="K411" i="10"/>
  <c r="K413" i="10"/>
  <c r="K415" i="10"/>
  <c r="K417" i="10"/>
  <c r="K419" i="10"/>
  <c r="K421" i="10"/>
  <c r="K423" i="10"/>
  <c r="K425" i="10"/>
  <c r="K427" i="10"/>
  <c r="K432" i="10"/>
  <c r="K442" i="10"/>
  <c r="K443" i="10"/>
  <c r="K447" i="10"/>
  <c r="K448" i="10"/>
  <c r="K456" i="10"/>
  <c r="K461" i="10"/>
  <c r="K463" i="10"/>
  <c r="K465" i="10"/>
  <c r="K467" i="10"/>
  <c r="K469" i="10"/>
  <c r="K471" i="10"/>
  <c r="K473" i="10"/>
  <c r="K475" i="10"/>
  <c r="K477" i="10"/>
  <c r="K479" i="10"/>
  <c r="K481" i="10"/>
  <c r="K483" i="10"/>
  <c r="K485" i="10"/>
  <c r="K487" i="10"/>
  <c r="K489" i="10"/>
  <c r="K491" i="10"/>
  <c r="K493" i="10"/>
  <c r="K495" i="10"/>
  <c r="K497" i="10"/>
  <c r="K499" i="10"/>
  <c r="K501" i="10"/>
  <c r="K437" i="10"/>
  <c r="K440" i="10"/>
  <c r="K441" i="10"/>
  <c r="K449" i="10"/>
  <c r="K450" i="10"/>
  <c r="K459" i="10"/>
  <c r="K434" i="10"/>
  <c r="K451" i="10"/>
  <c r="K454" i="10"/>
  <c r="M73" i="8"/>
  <c r="K431" i="10"/>
  <c r="K439" i="10"/>
  <c r="K457" i="10"/>
  <c r="K436" i="10"/>
  <c r="K452" i="10"/>
  <c r="K460" i="10"/>
  <c r="K462" i="10"/>
  <c r="K464" i="10"/>
  <c r="K466" i="10"/>
  <c r="K468" i="10"/>
  <c r="K470" i="10"/>
  <c r="K472" i="10"/>
  <c r="K474" i="10"/>
  <c r="K476" i="10"/>
  <c r="K478" i="10"/>
  <c r="K480" i="10"/>
  <c r="K482" i="10"/>
  <c r="K484" i="10"/>
  <c r="K486" i="10"/>
  <c r="K488" i="10"/>
  <c r="K433" i="10"/>
  <c r="K455" i="10"/>
  <c r="K438" i="10"/>
  <c r="K458" i="10"/>
  <c r="K504" i="10"/>
  <c r="K510" i="10"/>
  <c r="K514" i="10"/>
  <c r="K389" i="10"/>
  <c r="K393" i="10"/>
  <c r="K395" i="10"/>
  <c r="K397" i="10"/>
  <c r="K399" i="10"/>
  <c r="K505" i="10"/>
  <c r="K444" i="10"/>
  <c r="K446" i="10"/>
  <c r="K507" i="10"/>
  <c r="K384" i="10"/>
  <c r="K372" i="10"/>
  <c r="K374" i="10"/>
  <c r="K376" i="10"/>
  <c r="K378" i="10"/>
  <c r="K344" i="10"/>
  <c r="K453" i="10"/>
  <c r="K508" i="10"/>
  <c r="K512" i="10"/>
  <c r="K387" i="10"/>
  <c r="K391" i="10"/>
  <c r="K394" i="10"/>
  <c r="K396" i="10"/>
  <c r="K398" i="10"/>
  <c r="K430" i="10"/>
  <c r="K435" i="10"/>
  <c r="K490" i="10"/>
  <c r="K492" i="10"/>
  <c r="K494" i="10"/>
  <c r="K496" i="10"/>
  <c r="K498" i="10"/>
  <c r="K500" i="10"/>
  <c r="K502" i="10"/>
  <c r="K509" i="10"/>
  <c r="K513" i="10"/>
  <c r="K388" i="10"/>
  <c r="K392" i="10"/>
  <c r="K445" i="10"/>
  <c r="K503" i="10"/>
  <c r="K373" i="10"/>
  <c r="K375" i="10"/>
  <c r="K377" i="10"/>
  <c r="K379" i="10"/>
  <c r="K345" i="10"/>
  <c r="K349" i="10"/>
  <c r="K353" i="10"/>
  <c r="K357" i="10"/>
  <c r="K361" i="10"/>
  <c r="K365" i="10"/>
  <c r="K369" i="10"/>
  <c r="K342" i="10"/>
  <c r="K327" i="10"/>
  <c r="K334" i="10"/>
  <c r="K506" i="10"/>
  <c r="K390" i="10"/>
  <c r="K383" i="10"/>
  <c r="K371" i="10"/>
  <c r="K320" i="10"/>
  <c r="K329" i="10"/>
  <c r="K337" i="10"/>
  <c r="K386" i="10"/>
  <c r="K346" i="10"/>
  <c r="K350" i="10"/>
  <c r="K354" i="10"/>
  <c r="K358" i="10"/>
  <c r="K362" i="10"/>
  <c r="K366" i="10"/>
  <c r="K322" i="10"/>
  <c r="K328" i="10"/>
  <c r="K335" i="10"/>
  <c r="K511" i="10"/>
  <c r="K380" i="10"/>
  <c r="K323" i="10"/>
  <c r="K340" i="10"/>
  <c r="K347" i="10"/>
  <c r="K351" i="10"/>
  <c r="K355" i="10"/>
  <c r="K359" i="10"/>
  <c r="K363" i="10"/>
  <c r="K367" i="10"/>
  <c r="K324" i="10"/>
  <c r="K331" i="10"/>
  <c r="K336" i="10"/>
  <c r="K381" i="10"/>
  <c r="K341" i="10"/>
  <c r="K321" i="10"/>
  <c r="K326" i="10"/>
  <c r="K330" i="10"/>
  <c r="K333" i="10"/>
  <c r="K339" i="10"/>
  <c r="K348" i="10"/>
  <c r="K352" i="10"/>
  <c r="K356" i="10"/>
  <c r="K360" i="10"/>
  <c r="K364" i="10"/>
  <c r="K368" i="10"/>
  <c r="K325" i="10"/>
  <c r="K332" i="10"/>
  <c r="K338" i="10"/>
  <c r="W151" i="8"/>
  <c r="W124" i="8"/>
  <c r="W49" i="8"/>
  <c r="W153" i="8"/>
  <c r="W130" i="8"/>
  <c r="W11" i="8"/>
  <c r="W142" i="8"/>
  <c r="W150" i="8"/>
  <c r="W147" i="8"/>
  <c r="W48" i="8"/>
  <c r="W152" i="8"/>
  <c r="W129" i="8"/>
  <c r="W149" i="8"/>
  <c r="W113" i="8"/>
  <c r="W86" i="8"/>
  <c r="R402" i="10"/>
  <c r="R404" i="10"/>
  <c r="R406" i="10"/>
  <c r="R408" i="10"/>
  <c r="R410" i="10"/>
  <c r="R412" i="10"/>
  <c r="R414" i="10"/>
  <c r="R416" i="10"/>
  <c r="R418" i="10"/>
  <c r="R420" i="10"/>
  <c r="R422" i="10"/>
  <c r="R424" i="10"/>
  <c r="R426" i="10"/>
  <c r="R428" i="10"/>
  <c r="W148" i="8"/>
  <c r="W87" i="8"/>
  <c r="R431" i="10"/>
  <c r="R433" i="10"/>
  <c r="R435" i="10"/>
  <c r="R437" i="10"/>
  <c r="W154" i="8"/>
  <c r="W146" i="8"/>
  <c r="R401" i="10"/>
  <c r="R403" i="10"/>
  <c r="R405" i="10"/>
  <c r="R407" i="10"/>
  <c r="R409" i="10"/>
  <c r="R411" i="10"/>
  <c r="R413" i="10"/>
  <c r="R415" i="10"/>
  <c r="R417" i="10"/>
  <c r="R419" i="10"/>
  <c r="R421" i="10"/>
  <c r="R423" i="10"/>
  <c r="R425" i="10"/>
  <c r="R427" i="10"/>
  <c r="R430" i="10"/>
  <c r="R432" i="10"/>
  <c r="R434" i="10"/>
  <c r="R436" i="10"/>
  <c r="R438" i="10"/>
  <c r="R440" i="10"/>
  <c r="R442" i="10"/>
  <c r="R444" i="10"/>
  <c r="R454" i="10"/>
  <c r="R457" i="10"/>
  <c r="R452" i="10"/>
  <c r="R455" i="10"/>
  <c r="R460" i="10"/>
  <c r="R462" i="10"/>
  <c r="R464" i="10"/>
  <c r="R466" i="10"/>
  <c r="R468" i="10"/>
  <c r="R470" i="10"/>
  <c r="R472" i="10"/>
  <c r="R474" i="10"/>
  <c r="R476" i="10"/>
  <c r="R478" i="10"/>
  <c r="R480" i="10"/>
  <c r="R482" i="10"/>
  <c r="R484" i="10"/>
  <c r="R486" i="10"/>
  <c r="R488" i="10"/>
  <c r="R490" i="10"/>
  <c r="R492" i="10"/>
  <c r="R494" i="10"/>
  <c r="R496" i="10"/>
  <c r="R498" i="10"/>
  <c r="R500" i="10"/>
  <c r="R502" i="10"/>
  <c r="R504" i="10"/>
  <c r="R506" i="10"/>
  <c r="R443" i="10"/>
  <c r="R445" i="10"/>
  <c r="R446" i="10"/>
  <c r="R441" i="10"/>
  <c r="R447" i="10"/>
  <c r="R448" i="10"/>
  <c r="R453" i="10"/>
  <c r="R458" i="10"/>
  <c r="R439" i="10"/>
  <c r="R449" i="10"/>
  <c r="R450" i="10"/>
  <c r="R456" i="10"/>
  <c r="R459" i="10"/>
  <c r="R461" i="10"/>
  <c r="R463" i="10"/>
  <c r="R465" i="10"/>
  <c r="R467" i="10"/>
  <c r="R469" i="10"/>
  <c r="R471" i="10"/>
  <c r="R473" i="10"/>
  <c r="R475" i="10"/>
  <c r="R477" i="10"/>
  <c r="R479" i="10"/>
  <c r="R481" i="10"/>
  <c r="R483" i="10"/>
  <c r="R485" i="10"/>
  <c r="R487" i="10"/>
  <c r="R489" i="10"/>
  <c r="R491" i="10"/>
  <c r="R493" i="10"/>
  <c r="R495" i="10"/>
  <c r="R497" i="10"/>
  <c r="R499" i="10"/>
  <c r="R501" i="10"/>
  <c r="R503" i="10"/>
  <c r="R505" i="10"/>
  <c r="R507" i="10"/>
  <c r="R509" i="10"/>
  <c r="R511" i="10"/>
  <c r="R513" i="10"/>
  <c r="R386" i="10"/>
  <c r="R388" i="10"/>
  <c r="R390" i="10"/>
  <c r="R392" i="10"/>
  <c r="R508" i="10"/>
  <c r="R512" i="10"/>
  <c r="R387" i="10"/>
  <c r="R391" i="10"/>
  <c r="R451" i="10"/>
  <c r="R383" i="10"/>
  <c r="R510" i="10"/>
  <c r="R514" i="10"/>
  <c r="R389" i="10"/>
  <c r="R373" i="10"/>
  <c r="R375" i="10"/>
  <c r="R393" i="10"/>
  <c r="R394" i="10"/>
  <c r="R380" i="10"/>
  <c r="R374" i="10"/>
  <c r="R366" i="10"/>
  <c r="R399" i="10"/>
  <c r="R372" i="10"/>
  <c r="R379" i="10"/>
  <c r="R347" i="10"/>
  <c r="R351" i="10"/>
  <c r="R355" i="10"/>
  <c r="R359" i="10"/>
  <c r="R363" i="10"/>
  <c r="R367" i="10"/>
  <c r="R346" i="10"/>
  <c r="R396" i="10"/>
  <c r="R381" i="10"/>
  <c r="R358" i="10"/>
  <c r="R362" i="10"/>
  <c r="R348" i="10"/>
  <c r="R352" i="10"/>
  <c r="R356" i="10"/>
  <c r="R360" i="10"/>
  <c r="R364" i="10"/>
  <c r="R368" i="10"/>
  <c r="R341" i="10"/>
  <c r="R398" i="10"/>
  <c r="R397" i="10"/>
  <c r="R378" i="10"/>
  <c r="R354" i="10"/>
  <c r="R344" i="10"/>
  <c r="R395" i="10"/>
  <c r="R384" i="10"/>
  <c r="R371" i="10"/>
  <c r="R345" i="10"/>
  <c r="R349" i="10"/>
  <c r="R353" i="10"/>
  <c r="R357" i="10"/>
  <c r="R361" i="10"/>
  <c r="R365" i="10"/>
  <c r="R369" i="10"/>
  <c r="R342" i="10"/>
  <c r="R320" i="10"/>
  <c r="R321" i="10"/>
  <c r="R322" i="10"/>
  <c r="R323" i="10"/>
  <c r="R324" i="10"/>
  <c r="R325" i="10"/>
  <c r="R326" i="10"/>
  <c r="R327" i="10"/>
  <c r="R328" i="10"/>
  <c r="R329" i="10"/>
  <c r="R330" i="10"/>
  <c r="R331" i="10"/>
  <c r="R332" i="10"/>
  <c r="R333" i="10"/>
  <c r="R334" i="10"/>
  <c r="R335" i="10"/>
  <c r="R336" i="10"/>
  <c r="R337" i="10"/>
  <c r="R338" i="10"/>
  <c r="R339" i="10"/>
  <c r="R340" i="10"/>
  <c r="R376" i="10"/>
  <c r="R377" i="10"/>
  <c r="R350" i="10"/>
  <c r="T288" i="9"/>
  <c r="T43" i="9"/>
  <c r="P78" i="10"/>
  <c r="P80" i="10"/>
  <c r="P82" i="10"/>
  <c r="P84" i="10"/>
  <c r="P86" i="10"/>
  <c r="P88" i="10"/>
  <c r="P90" i="10"/>
  <c r="P92" i="10"/>
  <c r="P94" i="10"/>
  <c r="P96" i="10"/>
  <c r="P98" i="10"/>
  <c r="P100" i="10"/>
  <c r="P102" i="10"/>
  <c r="P104" i="10"/>
  <c r="P106" i="10"/>
  <c r="P108" i="10"/>
  <c r="P110" i="10"/>
  <c r="P112" i="10"/>
  <c r="P114" i="10"/>
  <c r="P116" i="10"/>
  <c r="P118" i="10"/>
  <c r="P120" i="10"/>
  <c r="P122" i="10"/>
  <c r="P124" i="10"/>
  <c r="P126" i="10"/>
  <c r="P128" i="10"/>
  <c r="P130" i="10"/>
  <c r="P132" i="10"/>
  <c r="P134" i="10"/>
  <c r="P136" i="10"/>
  <c r="P138" i="10"/>
  <c r="P140" i="10"/>
  <c r="P142" i="10"/>
  <c r="P144" i="10"/>
  <c r="P146" i="10"/>
  <c r="P148" i="10"/>
  <c r="P150" i="10"/>
  <c r="P152" i="10"/>
  <c r="P154" i="10"/>
  <c r="P79" i="10"/>
  <c r="P87" i="10"/>
  <c r="P95" i="10"/>
  <c r="P103" i="10"/>
  <c r="P111" i="10"/>
  <c r="P119" i="10"/>
  <c r="P127" i="10"/>
  <c r="P135" i="10"/>
  <c r="P143" i="10"/>
  <c r="P151" i="10"/>
  <c r="P83" i="10"/>
  <c r="P91" i="10"/>
  <c r="P99" i="10"/>
  <c r="P107" i="10"/>
  <c r="P115" i="10"/>
  <c r="P123" i="10"/>
  <c r="P81" i="10"/>
  <c r="P89" i="10"/>
  <c r="P97" i="10"/>
  <c r="P105" i="10"/>
  <c r="P113" i="10"/>
  <c r="P121" i="10"/>
  <c r="P125" i="10"/>
  <c r="P156" i="10"/>
  <c r="P77" i="10"/>
  <c r="P85" i="10"/>
  <c r="P93" i="10"/>
  <c r="P101" i="10"/>
  <c r="P109" i="10"/>
  <c r="P117" i="10"/>
  <c r="P133" i="10"/>
  <c r="P141" i="10"/>
  <c r="P149" i="10"/>
  <c r="P157" i="10"/>
  <c r="P155" i="10"/>
  <c r="P158" i="10"/>
  <c r="P160" i="10"/>
  <c r="P162" i="10"/>
  <c r="P164" i="10"/>
  <c r="P166" i="10"/>
  <c r="P159" i="10"/>
  <c r="P175" i="10"/>
  <c r="P176" i="10"/>
  <c r="P180" i="10"/>
  <c r="P183" i="10"/>
  <c r="P188" i="10"/>
  <c r="P191" i="10"/>
  <c r="P196" i="10"/>
  <c r="P199" i="10"/>
  <c r="P129" i="10"/>
  <c r="P177" i="10"/>
  <c r="P137" i="10"/>
  <c r="P147" i="10"/>
  <c r="P181" i="10"/>
  <c r="P186" i="10"/>
  <c r="P189" i="10"/>
  <c r="P194" i="10"/>
  <c r="P197" i="10"/>
  <c r="P202" i="10"/>
  <c r="P204" i="10"/>
  <c r="P206" i="10"/>
  <c r="P208" i="10"/>
  <c r="P210" i="10"/>
  <c r="P212" i="10"/>
  <c r="P214" i="10"/>
  <c r="P216" i="10"/>
  <c r="P218" i="10"/>
  <c r="P220" i="10"/>
  <c r="P222" i="10"/>
  <c r="P131" i="10"/>
  <c r="P178" i="10"/>
  <c r="P167" i="10"/>
  <c r="P168" i="10"/>
  <c r="P179" i="10"/>
  <c r="P184" i="10"/>
  <c r="P187" i="10"/>
  <c r="P192" i="10"/>
  <c r="P195" i="10"/>
  <c r="P200" i="10"/>
  <c r="P145" i="10"/>
  <c r="P165" i="10"/>
  <c r="P169" i="10"/>
  <c r="P170" i="10"/>
  <c r="P153" i="10"/>
  <c r="P211" i="10"/>
  <c r="P227" i="10"/>
  <c r="P228" i="10"/>
  <c r="P231" i="10"/>
  <c r="P232" i="10"/>
  <c r="P235" i="10"/>
  <c r="P173" i="10"/>
  <c r="P185" i="10"/>
  <c r="P193" i="10"/>
  <c r="P201" i="10"/>
  <c r="P205" i="10"/>
  <c r="P224" i="10"/>
  <c r="P236" i="10"/>
  <c r="P238" i="10"/>
  <c r="P240" i="10"/>
  <c r="P242" i="10"/>
  <c r="P244" i="10"/>
  <c r="P246" i="10"/>
  <c r="P248" i="10"/>
  <c r="P250" i="10"/>
  <c r="P252" i="10"/>
  <c r="P254" i="10"/>
  <c r="P256" i="10"/>
  <c r="P258" i="10"/>
  <c r="P260" i="10"/>
  <c r="P262" i="10"/>
  <c r="P264" i="10"/>
  <c r="P266" i="10"/>
  <c r="P161" i="10"/>
  <c r="P223" i="10"/>
  <c r="P139" i="10"/>
  <c r="P163" i="10"/>
  <c r="P172" i="10"/>
  <c r="P182" i="10"/>
  <c r="P190" i="10"/>
  <c r="P198" i="10"/>
  <c r="P209" i="10"/>
  <c r="P221" i="10"/>
  <c r="P203" i="10"/>
  <c r="P219" i="10"/>
  <c r="P225" i="10"/>
  <c r="P226" i="10"/>
  <c r="P229" i="10"/>
  <c r="P230" i="10"/>
  <c r="P233" i="10"/>
  <c r="P234" i="10"/>
  <c r="P171" i="10"/>
  <c r="P174" i="10"/>
  <c r="P207" i="10"/>
  <c r="P215" i="10"/>
  <c r="P217" i="10"/>
  <c r="P243" i="10"/>
  <c r="P268" i="10"/>
  <c r="P237" i="10"/>
  <c r="P253" i="10"/>
  <c r="P251" i="10"/>
  <c r="P259" i="10"/>
  <c r="P261" i="10"/>
  <c r="P245" i="10"/>
  <c r="P257" i="10"/>
  <c r="P263" i="10"/>
  <c r="P213" i="10"/>
  <c r="P239" i="10"/>
  <c r="P255" i="10"/>
  <c r="P265" i="10"/>
  <c r="P272" i="10"/>
  <c r="P276" i="10"/>
  <c r="P280" i="10"/>
  <c r="P284" i="10"/>
  <c r="P288" i="10"/>
  <c r="P292" i="10"/>
  <c r="P296" i="10"/>
  <c r="P300" i="10"/>
  <c r="P304" i="10"/>
  <c r="P308" i="10"/>
  <c r="P312" i="10"/>
  <c r="P316" i="10"/>
  <c r="P31" i="10"/>
  <c r="P38" i="10"/>
  <c r="P51" i="10"/>
  <c r="P54" i="10"/>
  <c r="P271" i="10"/>
  <c r="P275" i="10"/>
  <c r="P279" i="10"/>
  <c r="P283" i="10"/>
  <c r="P287" i="10"/>
  <c r="P291" i="10"/>
  <c r="P295" i="10"/>
  <c r="P299" i="10"/>
  <c r="P303" i="10"/>
  <c r="P307" i="10"/>
  <c r="P311" i="10"/>
  <c r="P315" i="10"/>
  <c r="P32" i="10"/>
  <c r="P45" i="10"/>
  <c r="P48" i="10"/>
  <c r="P247" i="10"/>
  <c r="P249" i="10"/>
  <c r="P267" i="10"/>
  <c r="P270" i="10"/>
  <c r="P274" i="10"/>
  <c r="P278" i="10"/>
  <c r="P282" i="10"/>
  <c r="P286" i="10"/>
  <c r="P290" i="10"/>
  <c r="P294" i="10"/>
  <c r="P298" i="10"/>
  <c r="P302" i="10"/>
  <c r="P306" i="10"/>
  <c r="P310" i="10"/>
  <c r="P314" i="10"/>
  <c r="P318" i="10"/>
  <c r="P27" i="10"/>
  <c r="P35" i="10"/>
  <c r="P43" i="10"/>
  <c r="P46" i="10"/>
  <c r="P59" i="10"/>
  <c r="P273" i="10"/>
  <c r="P277" i="10"/>
  <c r="P281" i="10"/>
  <c r="P285" i="10"/>
  <c r="P289" i="10"/>
  <c r="P293" i="10"/>
  <c r="P297" i="10"/>
  <c r="P301" i="10"/>
  <c r="P305" i="10"/>
  <c r="P309" i="10"/>
  <c r="P313" i="10"/>
  <c r="P317" i="10"/>
  <c r="P28" i="10"/>
  <c r="P36" i="10"/>
  <c r="P40" i="10"/>
  <c r="P53" i="10"/>
  <c r="P56" i="10"/>
  <c r="P269" i="10"/>
  <c r="P29" i="10"/>
  <c r="P37" i="10"/>
  <c r="P47" i="10"/>
  <c r="P50" i="10"/>
  <c r="P44" i="10"/>
  <c r="P55" i="10"/>
  <c r="P63" i="10"/>
  <c r="P67" i="10"/>
  <c r="P11" i="10"/>
  <c r="P20" i="10"/>
  <c r="P25" i="10"/>
  <c r="P34" i="10"/>
  <c r="P58" i="10"/>
  <c r="P62" i="10"/>
  <c r="P66" i="10"/>
  <c r="P52" i="10"/>
  <c r="P23" i="10"/>
  <c r="P319" i="10"/>
  <c r="P19" i="10"/>
  <c r="P22" i="10"/>
  <c r="P30" i="10"/>
  <c r="P33" i="10"/>
  <c r="P39" i="10"/>
  <c r="P57" i="10"/>
  <c r="P41" i="10"/>
  <c r="P241" i="10"/>
  <c r="P76" i="10"/>
  <c r="P42" i="10"/>
  <c r="P49" i="10"/>
  <c r="P61" i="10"/>
  <c r="P65" i="10"/>
  <c r="P26" i="10"/>
  <c r="P73" i="10"/>
  <c r="P21" i="10"/>
  <c r="P24" i="10"/>
  <c r="P60" i="10"/>
  <c r="P64" i="10"/>
  <c r="P18" i="10"/>
  <c r="L80" i="10"/>
  <c r="L83" i="10"/>
  <c r="L88" i="10"/>
  <c r="L91" i="10"/>
  <c r="L96" i="10"/>
  <c r="L99" i="10"/>
  <c r="L104" i="10"/>
  <c r="L107" i="10"/>
  <c r="L112" i="10"/>
  <c r="L115" i="10"/>
  <c r="L120" i="10"/>
  <c r="L123" i="10"/>
  <c r="L128" i="10"/>
  <c r="L131" i="10"/>
  <c r="L136" i="10"/>
  <c r="L139" i="10"/>
  <c r="L144" i="10"/>
  <c r="L147" i="10"/>
  <c r="L152" i="10"/>
  <c r="L79" i="10"/>
  <c r="L84" i="10"/>
  <c r="L87" i="10"/>
  <c r="L92" i="10"/>
  <c r="L95" i="10"/>
  <c r="L100" i="10"/>
  <c r="L103" i="10"/>
  <c r="L108" i="10"/>
  <c r="L111" i="10"/>
  <c r="L116" i="10"/>
  <c r="L119" i="10"/>
  <c r="L124" i="10"/>
  <c r="L126" i="10"/>
  <c r="L127" i="10"/>
  <c r="L129" i="10"/>
  <c r="L138" i="10"/>
  <c r="L146" i="10"/>
  <c r="L81" i="10"/>
  <c r="L89" i="10"/>
  <c r="L97" i="10"/>
  <c r="L105" i="10"/>
  <c r="L113" i="10"/>
  <c r="L121" i="10"/>
  <c r="L155" i="10"/>
  <c r="L160" i="10"/>
  <c r="L162" i="10"/>
  <c r="L164" i="10"/>
  <c r="L166" i="10"/>
  <c r="L168" i="10"/>
  <c r="L170" i="10"/>
  <c r="L172" i="10"/>
  <c r="L174" i="10"/>
  <c r="L176" i="10"/>
  <c r="L178" i="10"/>
  <c r="L134" i="10"/>
  <c r="L142" i="10"/>
  <c r="L150" i="10"/>
  <c r="L158" i="10"/>
  <c r="L135" i="10"/>
  <c r="L143" i="10"/>
  <c r="L137" i="10"/>
  <c r="L145" i="10"/>
  <c r="L153" i="10"/>
  <c r="L156" i="10"/>
  <c r="L93" i="10"/>
  <c r="L132" i="10"/>
  <c r="L141" i="10"/>
  <c r="L148" i="10"/>
  <c r="L181" i="10"/>
  <c r="L189" i="10"/>
  <c r="L197" i="10"/>
  <c r="L78" i="10"/>
  <c r="L82" i="10"/>
  <c r="L110" i="10"/>
  <c r="L114" i="10"/>
  <c r="L151" i="10"/>
  <c r="L184" i="10"/>
  <c r="L192" i="10"/>
  <c r="L200" i="10"/>
  <c r="L101" i="10"/>
  <c r="L125" i="10"/>
  <c r="L157" i="10"/>
  <c r="L167" i="10"/>
  <c r="L179" i="10"/>
  <c r="L187" i="10"/>
  <c r="L195" i="10"/>
  <c r="L86" i="10"/>
  <c r="L90" i="10"/>
  <c r="L118" i="10"/>
  <c r="L122" i="10"/>
  <c r="L140" i="10"/>
  <c r="L165" i="10"/>
  <c r="L169" i="10"/>
  <c r="L182" i="10"/>
  <c r="L190" i="10"/>
  <c r="L198" i="10"/>
  <c r="L203" i="10"/>
  <c r="L205" i="10"/>
  <c r="L207" i="10"/>
  <c r="L209" i="10"/>
  <c r="L211" i="10"/>
  <c r="L213" i="10"/>
  <c r="L215" i="10"/>
  <c r="L217" i="10"/>
  <c r="L219" i="10"/>
  <c r="L221" i="10"/>
  <c r="L223" i="10"/>
  <c r="L77" i="10"/>
  <c r="L109" i="10"/>
  <c r="L154" i="10"/>
  <c r="L163" i="10"/>
  <c r="L171" i="10"/>
  <c r="L185" i="10"/>
  <c r="L193" i="10"/>
  <c r="L201" i="10"/>
  <c r="L94" i="10"/>
  <c r="L98" i="10"/>
  <c r="L130" i="10"/>
  <c r="L133" i="10"/>
  <c r="L161" i="10"/>
  <c r="L173" i="10"/>
  <c r="L180" i="10"/>
  <c r="L188" i="10"/>
  <c r="L196" i="10"/>
  <c r="L149" i="10"/>
  <c r="L183" i="10"/>
  <c r="L191" i="10"/>
  <c r="L199" i="10"/>
  <c r="L224" i="10"/>
  <c r="L210" i="10"/>
  <c r="L222" i="10"/>
  <c r="L225" i="10"/>
  <c r="L229" i="10"/>
  <c r="L233" i="10"/>
  <c r="L106" i="10"/>
  <c r="L175" i="10"/>
  <c r="L204" i="10"/>
  <c r="L220" i="10"/>
  <c r="L237" i="10"/>
  <c r="L239" i="10"/>
  <c r="L241" i="10"/>
  <c r="L243" i="10"/>
  <c r="L245" i="10"/>
  <c r="L247" i="10"/>
  <c r="L249" i="10"/>
  <c r="L251" i="10"/>
  <c r="L253" i="10"/>
  <c r="L255" i="10"/>
  <c r="L257" i="10"/>
  <c r="L259" i="10"/>
  <c r="L261" i="10"/>
  <c r="L263" i="10"/>
  <c r="L265" i="10"/>
  <c r="L267" i="10"/>
  <c r="L269" i="10"/>
  <c r="L218" i="10"/>
  <c r="L226" i="10"/>
  <c r="L230" i="10"/>
  <c r="L234" i="10"/>
  <c r="L208" i="10"/>
  <c r="L216" i="10"/>
  <c r="L85" i="10"/>
  <c r="L102" i="10"/>
  <c r="L177" i="10"/>
  <c r="L212" i="10"/>
  <c r="L194" i="10"/>
  <c r="L206" i="10"/>
  <c r="L238" i="10"/>
  <c r="L254" i="10"/>
  <c r="L272" i="10"/>
  <c r="L274" i="10"/>
  <c r="L276" i="10"/>
  <c r="L278" i="10"/>
  <c r="L280" i="10"/>
  <c r="L282" i="10"/>
  <c r="L284" i="10"/>
  <c r="L286" i="10"/>
  <c r="L288" i="10"/>
  <c r="L290" i="10"/>
  <c r="L292" i="10"/>
  <c r="L294" i="10"/>
  <c r="L296" i="10"/>
  <c r="L298" i="10"/>
  <c r="L300" i="10"/>
  <c r="L302" i="10"/>
  <c r="L304" i="10"/>
  <c r="L306" i="10"/>
  <c r="L308" i="10"/>
  <c r="L310" i="10"/>
  <c r="L312" i="10"/>
  <c r="L314" i="10"/>
  <c r="L316" i="10"/>
  <c r="L318" i="10"/>
  <c r="L76" i="10"/>
  <c r="L19" i="10"/>
  <c r="L21" i="10"/>
  <c r="L23" i="10"/>
  <c r="L25" i="10"/>
  <c r="L27" i="10"/>
  <c r="L29" i="10"/>
  <c r="L31" i="10"/>
  <c r="L33" i="10"/>
  <c r="L35" i="10"/>
  <c r="L37" i="10"/>
  <c r="L39" i="10"/>
  <c r="L41" i="10"/>
  <c r="L43" i="10"/>
  <c r="L45" i="10"/>
  <c r="L47" i="10"/>
  <c r="L49" i="10"/>
  <c r="L51" i="10"/>
  <c r="L53" i="10"/>
  <c r="L55" i="10"/>
  <c r="L57" i="10"/>
  <c r="L59" i="10"/>
  <c r="L202" i="10"/>
  <c r="L227" i="10"/>
  <c r="L248" i="10"/>
  <c r="L270" i="10"/>
  <c r="L236" i="10"/>
  <c r="L246" i="10"/>
  <c r="L258" i="10"/>
  <c r="L264" i="10"/>
  <c r="L271" i="10"/>
  <c r="L273" i="10"/>
  <c r="L275" i="10"/>
  <c r="L277" i="10"/>
  <c r="L279" i="10"/>
  <c r="L281" i="10"/>
  <c r="L283" i="10"/>
  <c r="L285" i="10"/>
  <c r="L287" i="10"/>
  <c r="L289" i="10"/>
  <c r="L291" i="10"/>
  <c r="L293" i="10"/>
  <c r="L295" i="10"/>
  <c r="L297" i="10"/>
  <c r="L299" i="10"/>
  <c r="L301" i="10"/>
  <c r="L303" i="10"/>
  <c r="L305" i="10"/>
  <c r="L307" i="10"/>
  <c r="L309" i="10"/>
  <c r="L311" i="10"/>
  <c r="L313" i="10"/>
  <c r="L315" i="10"/>
  <c r="L317" i="10"/>
  <c r="L319" i="10"/>
  <c r="L73" i="10"/>
  <c r="L18" i="10"/>
  <c r="L20" i="10"/>
  <c r="L22" i="10"/>
  <c r="L24" i="10"/>
  <c r="L26" i="10"/>
  <c r="L28" i="10"/>
  <c r="L30" i="10"/>
  <c r="L32" i="10"/>
  <c r="L34" i="10"/>
  <c r="L36" i="10"/>
  <c r="L232" i="10"/>
  <c r="L235" i="10"/>
  <c r="L240" i="10"/>
  <c r="L256" i="10"/>
  <c r="L266" i="10"/>
  <c r="L228" i="10"/>
  <c r="L231" i="10"/>
  <c r="L250" i="10"/>
  <c r="L268" i="10"/>
  <c r="L52" i="10"/>
  <c r="L61" i="10"/>
  <c r="L63" i="10"/>
  <c r="L65" i="10"/>
  <c r="L67" i="10"/>
  <c r="L46" i="10"/>
  <c r="L117" i="10"/>
  <c r="L159" i="10"/>
  <c r="L260" i="10"/>
  <c r="L214" i="10"/>
  <c r="L242" i="10"/>
  <c r="L186" i="10"/>
  <c r="L244" i="10"/>
  <c r="L44" i="10"/>
  <c r="L60" i="10"/>
  <c r="L62" i="10"/>
  <c r="L64" i="10"/>
  <c r="L66" i="10"/>
  <c r="L262" i="10"/>
  <c r="L38" i="10"/>
  <c r="L54" i="10"/>
  <c r="L48" i="10"/>
  <c r="L40" i="10"/>
  <c r="L58" i="10"/>
  <c r="L50" i="10"/>
  <c r="L42" i="10"/>
  <c r="L252" i="10"/>
  <c r="L56" i="10"/>
  <c r="L11" i="10"/>
  <c r="T197" i="9"/>
  <c r="K77" i="10"/>
  <c r="K79" i="10"/>
  <c r="K81" i="10"/>
  <c r="K83" i="10"/>
  <c r="K85" i="10"/>
  <c r="K87" i="10"/>
  <c r="K89" i="10"/>
  <c r="K91" i="10"/>
  <c r="K93" i="10"/>
  <c r="K95" i="10"/>
  <c r="K97" i="10"/>
  <c r="K99" i="10"/>
  <c r="K101" i="10"/>
  <c r="K103" i="10"/>
  <c r="K105" i="10"/>
  <c r="K107" i="10"/>
  <c r="K109" i="10"/>
  <c r="K111" i="10"/>
  <c r="K113" i="10"/>
  <c r="K115" i="10"/>
  <c r="K117" i="10"/>
  <c r="K119" i="10"/>
  <c r="K121" i="10"/>
  <c r="K123" i="10"/>
  <c r="K125" i="10"/>
  <c r="K127" i="10"/>
  <c r="K129" i="10"/>
  <c r="K131" i="10"/>
  <c r="K133" i="10"/>
  <c r="K135" i="10"/>
  <c r="K137" i="10"/>
  <c r="K139" i="10"/>
  <c r="K141" i="10"/>
  <c r="K143" i="10"/>
  <c r="K145" i="10"/>
  <c r="K147" i="10"/>
  <c r="K149" i="10"/>
  <c r="K151" i="10"/>
  <c r="K153" i="10"/>
  <c r="K80" i="10"/>
  <c r="K88" i="10"/>
  <c r="K96" i="10"/>
  <c r="K104" i="10"/>
  <c r="K112" i="10"/>
  <c r="K120" i="10"/>
  <c r="K128" i="10"/>
  <c r="K136" i="10"/>
  <c r="K144" i="10"/>
  <c r="K152" i="10"/>
  <c r="K84" i="10"/>
  <c r="K92" i="10"/>
  <c r="K100" i="10"/>
  <c r="K108" i="10"/>
  <c r="K116" i="10"/>
  <c r="K124" i="10"/>
  <c r="K82" i="10"/>
  <c r="K90" i="10"/>
  <c r="K98" i="10"/>
  <c r="K106" i="10"/>
  <c r="K114" i="10"/>
  <c r="K122" i="10"/>
  <c r="K130" i="10"/>
  <c r="K154" i="10"/>
  <c r="K157" i="10"/>
  <c r="K134" i="10"/>
  <c r="K142" i="10"/>
  <c r="K150" i="10"/>
  <c r="K158" i="10"/>
  <c r="K159" i="10"/>
  <c r="K161" i="10"/>
  <c r="K163" i="10"/>
  <c r="K165" i="10"/>
  <c r="K167" i="10"/>
  <c r="K78" i="10"/>
  <c r="K110" i="10"/>
  <c r="K126" i="10"/>
  <c r="K178" i="10"/>
  <c r="K184" i="10"/>
  <c r="K192" i="10"/>
  <c r="K200" i="10"/>
  <c r="K179" i="10"/>
  <c r="K187" i="10"/>
  <c r="K195" i="10"/>
  <c r="K86" i="10"/>
  <c r="K118" i="10"/>
  <c r="K140" i="10"/>
  <c r="K146" i="10"/>
  <c r="K156" i="10"/>
  <c r="K168" i="10"/>
  <c r="K169" i="10"/>
  <c r="K182" i="10"/>
  <c r="K190" i="10"/>
  <c r="K198" i="10"/>
  <c r="K203" i="10"/>
  <c r="K205" i="10"/>
  <c r="K207" i="10"/>
  <c r="K209" i="10"/>
  <c r="K211" i="10"/>
  <c r="K213" i="10"/>
  <c r="K215" i="10"/>
  <c r="K217" i="10"/>
  <c r="K219" i="10"/>
  <c r="K221" i="10"/>
  <c r="K223" i="10"/>
  <c r="K155" i="10"/>
  <c r="K166" i="10"/>
  <c r="K170" i="10"/>
  <c r="K171" i="10"/>
  <c r="K185" i="10"/>
  <c r="K193" i="10"/>
  <c r="K201" i="10"/>
  <c r="K94" i="10"/>
  <c r="K164" i="10"/>
  <c r="K172" i="10"/>
  <c r="K173" i="10"/>
  <c r="K180" i="10"/>
  <c r="K188" i="10"/>
  <c r="K196" i="10"/>
  <c r="K162" i="10"/>
  <c r="K174" i="10"/>
  <c r="K175" i="10"/>
  <c r="K183" i="10"/>
  <c r="K191" i="10"/>
  <c r="K199" i="10"/>
  <c r="K210" i="10"/>
  <c r="K222" i="10"/>
  <c r="K225" i="10"/>
  <c r="K229" i="10"/>
  <c r="K233" i="10"/>
  <c r="K204" i="10"/>
  <c r="K220" i="10"/>
  <c r="K237" i="10"/>
  <c r="K239" i="10"/>
  <c r="K241" i="10"/>
  <c r="K243" i="10"/>
  <c r="K245" i="10"/>
  <c r="K247" i="10"/>
  <c r="K249" i="10"/>
  <c r="K251" i="10"/>
  <c r="K253" i="10"/>
  <c r="K255" i="10"/>
  <c r="K257" i="10"/>
  <c r="K259" i="10"/>
  <c r="K261" i="10"/>
  <c r="K263" i="10"/>
  <c r="K265" i="10"/>
  <c r="K267" i="10"/>
  <c r="K132" i="10"/>
  <c r="K218" i="10"/>
  <c r="K226" i="10"/>
  <c r="K230" i="10"/>
  <c r="K234" i="10"/>
  <c r="K208" i="10"/>
  <c r="K216" i="10"/>
  <c r="K102" i="10"/>
  <c r="K148" i="10"/>
  <c r="K160" i="10"/>
  <c r="K177" i="10"/>
  <c r="K214" i="10"/>
  <c r="K227" i="10"/>
  <c r="K231" i="10"/>
  <c r="K235" i="10"/>
  <c r="K181" i="10"/>
  <c r="K186" i="10"/>
  <c r="K189" i="10"/>
  <c r="K194" i="10"/>
  <c r="K197" i="10"/>
  <c r="K202" i="10"/>
  <c r="K206" i="10"/>
  <c r="K228" i="10"/>
  <c r="K176" i="10"/>
  <c r="K212" i="10"/>
  <c r="K248" i="10"/>
  <c r="K270" i="10"/>
  <c r="K242" i="10"/>
  <c r="K232" i="10"/>
  <c r="K240" i="10"/>
  <c r="K256" i="10"/>
  <c r="K266" i="10"/>
  <c r="K250" i="10"/>
  <c r="K268" i="10"/>
  <c r="K244" i="10"/>
  <c r="K254" i="10"/>
  <c r="K271" i="10"/>
  <c r="K275" i="10"/>
  <c r="K279" i="10"/>
  <c r="K283" i="10"/>
  <c r="K287" i="10"/>
  <c r="K291" i="10"/>
  <c r="K295" i="10"/>
  <c r="K299" i="10"/>
  <c r="K303" i="10"/>
  <c r="K307" i="10"/>
  <c r="K311" i="10"/>
  <c r="K315" i="10"/>
  <c r="K76" i="10"/>
  <c r="K73" i="10"/>
  <c r="K18" i="10"/>
  <c r="K19" i="10"/>
  <c r="K20" i="10"/>
  <c r="K21" i="10"/>
  <c r="K22" i="10"/>
  <c r="K23" i="10"/>
  <c r="K24" i="10"/>
  <c r="K25" i="10"/>
  <c r="K26" i="10"/>
  <c r="K34" i="10"/>
  <c r="K46" i="10"/>
  <c r="K49" i="10"/>
  <c r="K258" i="10"/>
  <c r="K260" i="10"/>
  <c r="K319" i="10"/>
  <c r="K27" i="10"/>
  <c r="K35" i="10"/>
  <c r="K40" i="10"/>
  <c r="K43" i="10"/>
  <c r="K56" i="10"/>
  <c r="K59" i="10"/>
  <c r="K138" i="10"/>
  <c r="K236" i="10"/>
  <c r="K238" i="10"/>
  <c r="K224" i="10"/>
  <c r="K262" i="10"/>
  <c r="K273" i="10"/>
  <c r="K277" i="10"/>
  <c r="K281" i="10"/>
  <c r="K285" i="10"/>
  <c r="K289" i="10"/>
  <c r="K293" i="10"/>
  <c r="K297" i="10"/>
  <c r="K301" i="10"/>
  <c r="K305" i="10"/>
  <c r="K309" i="10"/>
  <c r="K313" i="10"/>
  <c r="K317" i="10"/>
  <c r="K30" i="10"/>
  <c r="K38" i="10"/>
  <c r="K41" i="10"/>
  <c r="K54" i="10"/>
  <c r="K57" i="10"/>
  <c r="K246" i="10"/>
  <c r="K269" i="10"/>
  <c r="K31" i="10"/>
  <c r="K48" i="10"/>
  <c r="K51" i="10"/>
  <c r="K252" i="10"/>
  <c r="K264" i="10"/>
  <c r="K272" i="10"/>
  <c r="K276" i="10"/>
  <c r="K280" i="10"/>
  <c r="K284" i="10"/>
  <c r="K288" i="10"/>
  <c r="K292" i="10"/>
  <c r="K296" i="10"/>
  <c r="K300" i="10"/>
  <c r="K304" i="10"/>
  <c r="K308" i="10"/>
  <c r="K312" i="10"/>
  <c r="K316" i="10"/>
  <c r="K32" i="10"/>
  <c r="K42" i="10"/>
  <c r="K45" i="10"/>
  <c r="K58" i="10"/>
  <c r="K28" i="10"/>
  <c r="K37" i="10"/>
  <c r="K47" i="10"/>
  <c r="K50" i="10"/>
  <c r="K62" i="10"/>
  <c r="K66" i="10"/>
  <c r="K36" i="10"/>
  <c r="K39" i="10"/>
  <c r="K61" i="10"/>
  <c r="K33" i="10"/>
  <c r="K65" i="10"/>
  <c r="K29" i="10"/>
  <c r="K53" i="10"/>
  <c r="K60" i="10"/>
  <c r="K64" i="10"/>
  <c r="K11" i="10"/>
  <c r="K63" i="10"/>
  <c r="K44" i="10"/>
  <c r="K55" i="10"/>
  <c r="K274" i="10"/>
  <c r="K278" i="10"/>
  <c r="K282" i="10"/>
  <c r="K286" i="10"/>
  <c r="K290" i="10"/>
  <c r="K294" i="10"/>
  <c r="K298" i="10"/>
  <c r="K302" i="10"/>
  <c r="K306" i="10"/>
  <c r="K310" i="10"/>
  <c r="K314" i="10"/>
  <c r="K318" i="10"/>
  <c r="K52" i="10"/>
  <c r="K67" i="10"/>
  <c r="S69" i="8"/>
  <c r="R81" i="10"/>
  <c r="R89" i="10"/>
  <c r="R97" i="10"/>
  <c r="R105" i="10"/>
  <c r="R113" i="10"/>
  <c r="R121" i="10"/>
  <c r="R129" i="10"/>
  <c r="R137" i="10"/>
  <c r="R145" i="10"/>
  <c r="R153" i="10"/>
  <c r="R84" i="10"/>
  <c r="R92" i="10"/>
  <c r="R100" i="10"/>
  <c r="R108" i="10"/>
  <c r="R116" i="10"/>
  <c r="R124" i="10"/>
  <c r="R132" i="10"/>
  <c r="R140" i="10"/>
  <c r="R148" i="10"/>
  <c r="R77" i="10"/>
  <c r="R85" i="10"/>
  <c r="R93" i="10"/>
  <c r="R101" i="10"/>
  <c r="R109" i="10"/>
  <c r="R117" i="10"/>
  <c r="R125" i="10"/>
  <c r="R80" i="10"/>
  <c r="R88" i="10"/>
  <c r="R96" i="10"/>
  <c r="R104" i="10"/>
  <c r="R112" i="10"/>
  <c r="R120" i="10"/>
  <c r="R83" i="10"/>
  <c r="R91" i="10"/>
  <c r="R99" i="10"/>
  <c r="R107" i="10"/>
  <c r="R115" i="10"/>
  <c r="R134" i="10"/>
  <c r="R135" i="10"/>
  <c r="R142" i="10"/>
  <c r="R143" i="10"/>
  <c r="R150" i="10"/>
  <c r="R151" i="10"/>
  <c r="R155" i="10"/>
  <c r="R158" i="10"/>
  <c r="R160" i="10"/>
  <c r="R162" i="10"/>
  <c r="R164" i="10"/>
  <c r="R166" i="10"/>
  <c r="R168" i="10"/>
  <c r="R170" i="10"/>
  <c r="R172" i="10"/>
  <c r="R174" i="10"/>
  <c r="R176" i="10"/>
  <c r="R178" i="10"/>
  <c r="R180" i="10"/>
  <c r="R182" i="10"/>
  <c r="R184" i="10"/>
  <c r="R186" i="10"/>
  <c r="R188" i="10"/>
  <c r="R190" i="10"/>
  <c r="R192" i="10"/>
  <c r="R194" i="10"/>
  <c r="R196" i="10"/>
  <c r="R198" i="10"/>
  <c r="R200" i="10"/>
  <c r="R78" i="10"/>
  <c r="R82" i="10"/>
  <c r="R86" i="10"/>
  <c r="R90" i="10"/>
  <c r="R94" i="10"/>
  <c r="R98" i="10"/>
  <c r="R102" i="10"/>
  <c r="R106" i="10"/>
  <c r="R110" i="10"/>
  <c r="R114" i="10"/>
  <c r="R118" i="10"/>
  <c r="R122" i="10"/>
  <c r="R123" i="10"/>
  <c r="R126" i="10"/>
  <c r="R127" i="10"/>
  <c r="R128" i="10"/>
  <c r="R130" i="10"/>
  <c r="R131" i="10"/>
  <c r="R139" i="10"/>
  <c r="R147" i="10"/>
  <c r="R154" i="10"/>
  <c r="R159" i="10"/>
  <c r="R161" i="10"/>
  <c r="R163" i="10"/>
  <c r="R165" i="10"/>
  <c r="R167" i="10"/>
  <c r="R169" i="10"/>
  <c r="R171" i="10"/>
  <c r="R173" i="10"/>
  <c r="R175" i="10"/>
  <c r="R133" i="10"/>
  <c r="R141" i="10"/>
  <c r="R157" i="10"/>
  <c r="R152" i="10"/>
  <c r="R185" i="10"/>
  <c r="R193" i="10"/>
  <c r="R201" i="10"/>
  <c r="R203" i="10"/>
  <c r="R205" i="10"/>
  <c r="R207" i="10"/>
  <c r="R209" i="10"/>
  <c r="R211" i="10"/>
  <c r="R213" i="10"/>
  <c r="R215" i="10"/>
  <c r="R217" i="10"/>
  <c r="R219" i="10"/>
  <c r="R221" i="10"/>
  <c r="R223" i="10"/>
  <c r="R225" i="10"/>
  <c r="R227" i="10"/>
  <c r="R229" i="10"/>
  <c r="R231" i="10"/>
  <c r="R233" i="10"/>
  <c r="R235" i="10"/>
  <c r="R95" i="10"/>
  <c r="R138" i="10"/>
  <c r="R177" i="10"/>
  <c r="R183" i="10"/>
  <c r="R191" i="10"/>
  <c r="R199" i="10"/>
  <c r="R103" i="10"/>
  <c r="R136" i="10"/>
  <c r="R146" i="10"/>
  <c r="R181" i="10"/>
  <c r="R189" i="10"/>
  <c r="R197" i="10"/>
  <c r="R202" i="10"/>
  <c r="R204" i="10"/>
  <c r="R206" i="10"/>
  <c r="R208" i="10"/>
  <c r="R210" i="10"/>
  <c r="R79" i="10"/>
  <c r="R111" i="10"/>
  <c r="R156" i="10"/>
  <c r="R149" i="10"/>
  <c r="R222" i="10"/>
  <c r="R224" i="10"/>
  <c r="R228" i="10"/>
  <c r="R232" i="10"/>
  <c r="R220" i="10"/>
  <c r="R236" i="10"/>
  <c r="R238" i="10"/>
  <c r="R240" i="10"/>
  <c r="R242" i="10"/>
  <c r="R244" i="10"/>
  <c r="R246" i="10"/>
  <c r="R248" i="10"/>
  <c r="R250" i="10"/>
  <c r="R252" i="10"/>
  <c r="R254" i="10"/>
  <c r="R256" i="10"/>
  <c r="R258" i="10"/>
  <c r="R260" i="10"/>
  <c r="R87" i="10"/>
  <c r="R179" i="10"/>
  <c r="R187" i="10"/>
  <c r="R195" i="10"/>
  <c r="R218" i="10"/>
  <c r="R144" i="10"/>
  <c r="R119" i="10"/>
  <c r="R214" i="10"/>
  <c r="R226" i="10"/>
  <c r="R234" i="10"/>
  <c r="R239" i="10"/>
  <c r="R255" i="10"/>
  <c r="R265" i="10"/>
  <c r="R212" i="10"/>
  <c r="R230" i="10"/>
  <c r="R249" i="10"/>
  <c r="R267" i="10"/>
  <c r="R268" i="10"/>
  <c r="R271" i="10"/>
  <c r="R273" i="10"/>
  <c r="R275" i="10"/>
  <c r="R277" i="10"/>
  <c r="R279" i="10"/>
  <c r="R281" i="10"/>
  <c r="R283" i="10"/>
  <c r="R285" i="10"/>
  <c r="R287" i="10"/>
  <c r="R289" i="10"/>
  <c r="R291" i="10"/>
  <c r="R293" i="10"/>
  <c r="R295" i="10"/>
  <c r="R297" i="10"/>
  <c r="R299" i="10"/>
  <c r="R301" i="10"/>
  <c r="R303" i="10"/>
  <c r="R305" i="10"/>
  <c r="R307" i="10"/>
  <c r="R309" i="10"/>
  <c r="R311" i="10"/>
  <c r="R313" i="10"/>
  <c r="R315" i="10"/>
  <c r="R317" i="10"/>
  <c r="R319" i="10"/>
  <c r="R73" i="10"/>
  <c r="R18" i="10"/>
  <c r="R20" i="10"/>
  <c r="R22" i="10"/>
  <c r="R24" i="10"/>
  <c r="R216" i="10"/>
  <c r="R247" i="10"/>
  <c r="R269" i="10"/>
  <c r="R241" i="10"/>
  <c r="R262" i="10"/>
  <c r="R270" i="10"/>
  <c r="R272" i="10"/>
  <c r="R274" i="10"/>
  <c r="R276" i="10"/>
  <c r="R278" i="10"/>
  <c r="R280" i="10"/>
  <c r="R282" i="10"/>
  <c r="R284" i="10"/>
  <c r="R286" i="10"/>
  <c r="R288" i="10"/>
  <c r="R290" i="10"/>
  <c r="R292" i="10"/>
  <c r="R294" i="10"/>
  <c r="R296" i="10"/>
  <c r="R298" i="10"/>
  <c r="R300" i="10"/>
  <c r="R302" i="10"/>
  <c r="R304" i="10"/>
  <c r="R306" i="10"/>
  <c r="R308" i="10"/>
  <c r="R310" i="10"/>
  <c r="R312" i="10"/>
  <c r="R314" i="10"/>
  <c r="R316" i="10"/>
  <c r="R251" i="10"/>
  <c r="R259" i="10"/>
  <c r="R261" i="10"/>
  <c r="R264" i="10"/>
  <c r="R243" i="10"/>
  <c r="R30" i="10"/>
  <c r="R44" i="10"/>
  <c r="R47" i="10"/>
  <c r="R245" i="10"/>
  <c r="R31" i="10"/>
  <c r="R38" i="10"/>
  <c r="R41" i="10"/>
  <c r="R54" i="10"/>
  <c r="R57" i="10"/>
  <c r="R60" i="10"/>
  <c r="R62" i="10"/>
  <c r="R64" i="10"/>
  <c r="R66" i="10"/>
  <c r="R263" i="10"/>
  <c r="R253" i="10"/>
  <c r="R26" i="10"/>
  <c r="R34" i="10"/>
  <c r="R39" i="10"/>
  <c r="R52" i="10"/>
  <c r="R55" i="10"/>
  <c r="R257" i="10"/>
  <c r="R318" i="10"/>
  <c r="R27" i="10"/>
  <c r="R35" i="10"/>
  <c r="R46" i="10"/>
  <c r="R49" i="10"/>
  <c r="R61" i="10"/>
  <c r="R63" i="10"/>
  <c r="R65" i="10"/>
  <c r="R67" i="10"/>
  <c r="R28" i="10"/>
  <c r="R36" i="10"/>
  <c r="R40" i="10"/>
  <c r="R43" i="10"/>
  <c r="R56" i="10"/>
  <c r="R59" i="10"/>
  <c r="R76" i="10"/>
  <c r="R23" i="10"/>
  <c r="R51" i="10"/>
  <c r="R25" i="10"/>
  <c r="R50" i="10"/>
  <c r="R266" i="10"/>
  <c r="R37" i="10"/>
  <c r="R58" i="10"/>
  <c r="R11" i="10"/>
  <c r="R237" i="10"/>
  <c r="R29" i="10"/>
  <c r="R45" i="10"/>
  <c r="R21" i="10"/>
  <c r="R48" i="10"/>
  <c r="R19" i="10"/>
  <c r="R33" i="10"/>
  <c r="R53" i="10"/>
  <c r="R32" i="10"/>
  <c r="R42" i="10"/>
  <c r="T251" i="9"/>
  <c r="T120" i="9"/>
  <c r="M77" i="10"/>
  <c r="M82" i="10"/>
  <c r="M85" i="10"/>
  <c r="M90" i="10"/>
  <c r="M93" i="10"/>
  <c r="M98" i="10"/>
  <c r="M101" i="10"/>
  <c r="M106" i="10"/>
  <c r="M109" i="10"/>
  <c r="M114" i="10"/>
  <c r="M117" i="10"/>
  <c r="M122" i="10"/>
  <c r="M125" i="10"/>
  <c r="M130" i="10"/>
  <c r="M133" i="10"/>
  <c r="M138" i="10"/>
  <c r="M141" i="10"/>
  <c r="M146" i="10"/>
  <c r="M149" i="10"/>
  <c r="M154" i="10"/>
  <c r="M78" i="10"/>
  <c r="M81" i="10"/>
  <c r="M86" i="10"/>
  <c r="M89" i="10"/>
  <c r="M94" i="10"/>
  <c r="M97" i="10"/>
  <c r="M102" i="10"/>
  <c r="M105" i="10"/>
  <c r="M110" i="10"/>
  <c r="M113" i="10"/>
  <c r="M118" i="10"/>
  <c r="M121" i="10"/>
  <c r="M126" i="10"/>
  <c r="M129" i="10"/>
  <c r="M79" i="10"/>
  <c r="M84" i="10"/>
  <c r="M87" i="10"/>
  <c r="M92" i="10"/>
  <c r="M95" i="10"/>
  <c r="M100" i="10"/>
  <c r="M103" i="10"/>
  <c r="M108" i="10"/>
  <c r="M111" i="10"/>
  <c r="M116" i="10"/>
  <c r="M119" i="10"/>
  <c r="M123" i="10"/>
  <c r="M131" i="10"/>
  <c r="M139" i="10"/>
  <c r="M147" i="10"/>
  <c r="M159" i="10"/>
  <c r="M161" i="10"/>
  <c r="M163" i="10"/>
  <c r="M165" i="10"/>
  <c r="M167" i="10"/>
  <c r="M169" i="10"/>
  <c r="M171" i="10"/>
  <c r="M173" i="10"/>
  <c r="M175" i="10"/>
  <c r="M177" i="10"/>
  <c r="M179" i="10"/>
  <c r="M181" i="10"/>
  <c r="M183" i="10"/>
  <c r="M185" i="10"/>
  <c r="M187" i="10"/>
  <c r="M189" i="10"/>
  <c r="M191" i="10"/>
  <c r="M193" i="10"/>
  <c r="M195" i="10"/>
  <c r="M197" i="10"/>
  <c r="M199" i="10"/>
  <c r="M201" i="10"/>
  <c r="M132" i="10"/>
  <c r="M140" i="10"/>
  <c r="M148" i="10"/>
  <c r="M155" i="10"/>
  <c r="M160" i="10"/>
  <c r="M162" i="10"/>
  <c r="M164" i="10"/>
  <c r="M166" i="10"/>
  <c r="M168" i="10"/>
  <c r="M170" i="10"/>
  <c r="M172" i="10"/>
  <c r="M174" i="10"/>
  <c r="M176" i="10"/>
  <c r="M134" i="10"/>
  <c r="M142" i="10"/>
  <c r="M80" i="10"/>
  <c r="M88" i="10"/>
  <c r="M96" i="10"/>
  <c r="M104" i="10"/>
  <c r="M112" i="10"/>
  <c r="M120" i="10"/>
  <c r="M135" i="10"/>
  <c r="M136" i="10"/>
  <c r="M143" i="10"/>
  <c r="M144" i="10"/>
  <c r="M151" i="10"/>
  <c r="M152" i="10"/>
  <c r="M91" i="10"/>
  <c r="M158" i="10"/>
  <c r="M186" i="10"/>
  <c r="M194" i="10"/>
  <c r="M202" i="10"/>
  <c r="M204" i="10"/>
  <c r="M206" i="10"/>
  <c r="M208" i="10"/>
  <c r="M210" i="10"/>
  <c r="M212" i="10"/>
  <c r="M214" i="10"/>
  <c r="M216" i="10"/>
  <c r="M218" i="10"/>
  <c r="M220" i="10"/>
  <c r="M222" i="10"/>
  <c r="M224" i="10"/>
  <c r="M226" i="10"/>
  <c r="M228" i="10"/>
  <c r="M230" i="10"/>
  <c r="M232" i="10"/>
  <c r="M234" i="10"/>
  <c r="M236" i="10"/>
  <c r="M137" i="10"/>
  <c r="M178" i="10"/>
  <c r="M99" i="10"/>
  <c r="M184" i="10"/>
  <c r="M192" i="10"/>
  <c r="M200" i="10"/>
  <c r="M128" i="10"/>
  <c r="M150" i="10"/>
  <c r="M156" i="10"/>
  <c r="M157" i="10"/>
  <c r="M107" i="10"/>
  <c r="M145" i="10"/>
  <c r="M182" i="10"/>
  <c r="M190" i="10"/>
  <c r="M198" i="10"/>
  <c r="M203" i="10"/>
  <c r="M205" i="10"/>
  <c r="M207" i="10"/>
  <c r="M209" i="10"/>
  <c r="M211" i="10"/>
  <c r="M124" i="10"/>
  <c r="M153" i="10"/>
  <c r="M127" i="10"/>
  <c r="M223" i="10"/>
  <c r="M180" i="10"/>
  <c r="M188" i="10"/>
  <c r="M196" i="10"/>
  <c r="M221" i="10"/>
  <c r="M219" i="10"/>
  <c r="M225" i="10"/>
  <c r="M229" i="10"/>
  <c r="M233" i="10"/>
  <c r="M217" i="10"/>
  <c r="M237" i="10"/>
  <c r="M239" i="10"/>
  <c r="M241" i="10"/>
  <c r="M243" i="10"/>
  <c r="M245" i="10"/>
  <c r="M247" i="10"/>
  <c r="M249" i="10"/>
  <c r="M251" i="10"/>
  <c r="M253" i="10"/>
  <c r="M255" i="10"/>
  <c r="M257" i="10"/>
  <c r="M259" i="10"/>
  <c r="M215" i="10"/>
  <c r="M83" i="10"/>
  <c r="M227" i="10"/>
  <c r="M244" i="10"/>
  <c r="M269" i="10"/>
  <c r="M238" i="10"/>
  <c r="M254" i="10"/>
  <c r="M272" i="10"/>
  <c r="M274" i="10"/>
  <c r="M276" i="10"/>
  <c r="M278" i="10"/>
  <c r="M280" i="10"/>
  <c r="M282" i="10"/>
  <c r="M284" i="10"/>
  <c r="M286" i="10"/>
  <c r="M288" i="10"/>
  <c r="M290" i="10"/>
  <c r="M292" i="10"/>
  <c r="M294" i="10"/>
  <c r="M296" i="10"/>
  <c r="M298" i="10"/>
  <c r="M300" i="10"/>
  <c r="M302" i="10"/>
  <c r="M304" i="10"/>
  <c r="M306" i="10"/>
  <c r="M308" i="10"/>
  <c r="M310" i="10"/>
  <c r="M312" i="10"/>
  <c r="M314" i="10"/>
  <c r="M316" i="10"/>
  <c r="M318" i="10"/>
  <c r="M76" i="10"/>
  <c r="M19" i="10"/>
  <c r="M21" i="10"/>
  <c r="M23" i="10"/>
  <c r="M25" i="10"/>
  <c r="M252" i="10"/>
  <c r="M260" i="10"/>
  <c r="M262" i="10"/>
  <c r="M265" i="10"/>
  <c r="M213" i="10"/>
  <c r="M246" i="10"/>
  <c r="M258" i="10"/>
  <c r="M264" i="10"/>
  <c r="M267" i="10"/>
  <c r="M271" i="10"/>
  <c r="M273" i="10"/>
  <c r="M275" i="10"/>
  <c r="M277" i="10"/>
  <c r="M279" i="10"/>
  <c r="M281" i="10"/>
  <c r="M283" i="10"/>
  <c r="M285" i="10"/>
  <c r="M287" i="10"/>
  <c r="M289" i="10"/>
  <c r="M291" i="10"/>
  <c r="M293" i="10"/>
  <c r="M295" i="10"/>
  <c r="M297" i="10"/>
  <c r="M299" i="10"/>
  <c r="M301" i="10"/>
  <c r="M303" i="10"/>
  <c r="M305" i="10"/>
  <c r="M307" i="10"/>
  <c r="M309" i="10"/>
  <c r="M311" i="10"/>
  <c r="M313" i="10"/>
  <c r="M315" i="10"/>
  <c r="M317" i="10"/>
  <c r="M235" i="10"/>
  <c r="M240" i="10"/>
  <c r="M256" i="10"/>
  <c r="M266" i="10"/>
  <c r="M268" i="10"/>
  <c r="M33" i="10"/>
  <c r="M39" i="10"/>
  <c r="M42" i="10"/>
  <c r="M55" i="10"/>
  <c r="M58" i="10"/>
  <c r="M263" i="10"/>
  <c r="M73" i="10"/>
  <c r="M18" i="10"/>
  <c r="M20" i="10"/>
  <c r="M22" i="10"/>
  <c r="M24" i="10"/>
  <c r="M26" i="10"/>
  <c r="M34" i="10"/>
  <c r="M49" i="10"/>
  <c r="M52" i="10"/>
  <c r="M61" i="10"/>
  <c r="M63" i="10"/>
  <c r="M65" i="10"/>
  <c r="M67" i="10"/>
  <c r="M115" i="10"/>
  <c r="M270" i="10"/>
  <c r="M242" i="10"/>
  <c r="M29" i="10"/>
  <c r="M37" i="10"/>
  <c r="M47" i="10"/>
  <c r="M50" i="10"/>
  <c r="M30" i="10"/>
  <c r="M41" i="10"/>
  <c r="M44" i="10"/>
  <c r="M57" i="10"/>
  <c r="M60" i="10"/>
  <c r="M62" i="10"/>
  <c r="M64" i="10"/>
  <c r="M66" i="10"/>
  <c r="M231" i="10"/>
  <c r="M31" i="10"/>
  <c r="M38" i="10"/>
  <c r="M51" i="10"/>
  <c r="M54" i="10"/>
  <c r="M261" i="10"/>
  <c r="M28" i="10"/>
  <c r="M40" i="10"/>
  <c r="M43" i="10"/>
  <c r="M319" i="10"/>
  <c r="M27" i="10"/>
  <c r="M36" i="10"/>
  <c r="M46" i="10"/>
  <c r="M56" i="10"/>
  <c r="M11" i="10"/>
  <c r="M32" i="10"/>
  <c r="M59" i="10"/>
  <c r="M250" i="10"/>
  <c r="M35" i="10"/>
  <c r="M45" i="10"/>
  <c r="M48" i="10"/>
  <c r="M53" i="10"/>
  <c r="M248" i="10"/>
  <c r="J156" i="35"/>
  <c r="L156" i="35" s="1"/>
  <c r="K30" i="35"/>
  <c r="F183" i="35"/>
  <c r="F176" i="35"/>
  <c r="F79" i="35"/>
  <c r="J79" i="35" s="1"/>
  <c r="F127" i="35" s="1"/>
  <c r="J127" i="35" s="1"/>
  <c r="L127" i="35" s="1"/>
  <c r="F181" i="35"/>
  <c r="F76" i="35"/>
  <c r="J76" i="35" s="1"/>
  <c r="F177" i="35"/>
  <c r="F59" i="35"/>
  <c r="F175" i="35"/>
  <c r="F155" i="35"/>
  <c r="F169" i="35"/>
  <c r="J169" i="35" s="1"/>
  <c r="L169" i="35" s="1"/>
  <c r="F125" i="35"/>
  <c r="J125" i="35" s="1"/>
  <c r="L125" i="35" s="1"/>
  <c r="F151" i="35"/>
  <c r="F114" i="35"/>
  <c r="J114" i="35" s="1"/>
  <c r="L114" i="35" s="1"/>
  <c r="F131" i="35"/>
  <c r="J131" i="35" s="1"/>
  <c r="L131" i="35" s="1"/>
  <c r="L47" i="35"/>
  <c r="F129" i="35"/>
  <c r="J129" i="35" s="1"/>
  <c r="L129" i="35" s="1"/>
  <c r="F96" i="35"/>
  <c r="J96" i="35" s="1"/>
  <c r="L96" i="35" s="1"/>
  <c r="L78" i="35"/>
  <c r="F110" i="35"/>
  <c r="J110" i="35" s="1"/>
  <c r="L110" i="35" s="1"/>
  <c r="L83" i="35"/>
  <c r="F100" i="35"/>
  <c r="K12" i="35"/>
  <c r="T3" i="8" s="1"/>
  <c r="L85" i="35"/>
  <c r="F49" i="35"/>
  <c r="F82" i="35"/>
  <c r="J82" i="35" s="1"/>
  <c r="F74" i="35"/>
  <c r="J74" i="35" s="1"/>
  <c r="F7" i="29"/>
  <c r="F75" i="35"/>
  <c r="J75" i="35" s="1"/>
  <c r="K7" i="35"/>
  <c r="J115" i="35"/>
  <c r="L115" i="35" s="1"/>
  <c r="F63" i="35"/>
  <c r="J126" i="35"/>
  <c r="L126" i="35" s="1"/>
  <c r="L43" i="35"/>
  <c r="F36" i="35"/>
  <c r="K7" i="10"/>
  <c r="K9" i="10"/>
  <c r="L7" i="10"/>
  <c r="L9" i="10"/>
  <c r="R9" i="10"/>
  <c r="R7" i="10"/>
  <c r="M7" i="10"/>
  <c r="M9" i="10"/>
  <c r="P7" i="10"/>
  <c r="P3" i="10"/>
  <c r="P70" i="10"/>
  <c r="P9" i="10"/>
  <c r="P71" i="10"/>
  <c r="P69" i="10"/>
  <c r="P10" i="10"/>
  <c r="P72" i="10"/>
  <c r="P16" i="10"/>
  <c r="P12" i="10"/>
  <c r="P6" i="10"/>
  <c r="P15" i="10"/>
  <c r="P75" i="10"/>
  <c r="P4" i="10"/>
  <c r="P13" i="10"/>
  <c r="P74" i="10"/>
  <c r="F10" i="29"/>
  <c r="P5" i="10"/>
  <c r="P8" i="10"/>
  <c r="P385" i="10"/>
  <c r="P14" i="10"/>
  <c r="M112" i="8"/>
  <c r="F22" i="35"/>
  <c r="J22" i="35" s="1"/>
  <c r="L22" i="35" s="1"/>
  <c r="W132" i="8"/>
  <c r="M31" i="8"/>
  <c r="W69" i="8"/>
  <c r="R4" i="10"/>
  <c r="W43" i="8"/>
  <c r="W127" i="8"/>
  <c r="L8" i="35"/>
  <c r="M60" i="8"/>
  <c r="K3" i="10"/>
  <c r="M144" i="8"/>
  <c r="K75" i="10"/>
  <c r="M116" i="8"/>
  <c r="M10" i="8"/>
  <c r="M69" i="8"/>
  <c r="M97" i="8"/>
  <c r="M119" i="8"/>
  <c r="M22" i="8"/>
  <c r="M136" i="8"/>
  <c r="K13" i="10"/>
  <c r="K14" i="10"/>
  <c r="M3" i="8"/>
  <c r="M30" i="8"/>
  <c r="M57" i="8"/>
  <c r="M107" i="8"/>
  <c r="M74" i="8"/>
  <c r="M118" i="8"/>
  <c r="K15" i="10"/>
  <c r="M134" i="8"/>
  <c r="M77" i="8"/>
  <c r="M140" i="8"/>
  <c r="M35" i="8"/>
  <c r="M89" i="8"/>
  <c r="F6" i="29"/>
  <c r="M4" i="8"/>
  <c r="M38" i="8"/>
  <c r="M94" i="8"/>
  <c r="D82" i="2"/>
  <c r="R14" i="8"/>
  <c r="K70" i="10"/>
  <c r="M24" i="8"/>
  <c r="M51" i="8"/>
  <c r="M70" i="8"/>
  <c r="M90" i="8"/>
  <c r="M108" i="8"/>
  <c r="M123" i="8"/>
  <c r="F48" i="35"/>
  <c r="R117" i="8"/>
  <c r="R3" i="8"/>
  <c r="R55" i="8"/>
  <c r="M5" i="8"/>
  <c r="M13" i="8"/>
  <c r="M117" i="8"/>
  <c r="M39" i="8"/>
  <c r="M61" i="8"/>
  <c r="M78" i="8"/>
  <c r="M98" i="8"/>
  <c r="R19" i="8"/>
  <c r="R125" i="8"/>
  <c r="R20" i="8"/>
  <c r="R119" i="8"/>
  <c r="K71" i="10"/>
  <c r="M7" i="8"/>
  <c r="M50" i="8"/>
  <c r="M15" i="8"/>
  <c r="M126" i="8"/>
  <c r="M32" i="8"/>
  <c r="M40" i="8"/>
  <c r="M62" i="8"/>
  <c r="M79" i="8"/>
  <c r="M99" i="8"/>
  <c r="R21" i="8"/>
  <c r="K12" i="10"/>
  <c r="M14" i="8"/>
  <c r="M21" i="8"/>
  <c r="M111" i="8"/>
  <c r="M43" i="8"/>
  <c r="M65" i="8"/>
  <c r="M82" i="8"/>
  <c r="M103" i="8"/>
  <c r="M145" i="8"/>
  <c r="R57" i="8"/>
  <c r="J65" i="35"/>
  <c r="L65" i="35" s="1"/>
  <c r="K10" i="10"/>
  <c r="K74" i="10"/>
  <c r="M20" i="8"/>
  <c r="M27" i="8"/>
  <c r="M133" i="8"/>
  <c r="M46" i="8"/>
  <c r="M68" i="8"/>
  <c r="M85" i="8"/>
  <c r="M106" i="8"/>
  <c r="R9" i="8"/>
  <c r="R61" i="8"/>
  <c r="R5" i="10"/>
  <c r="W99" i="8"/>
  <c r="W70" i="8"/>
  <c r="W85" i="8"/>
  <c r="R46" i="8"/>
  <c r="R78" i="8"/>
  <c r="R69" i="10"/>
  <c r="W4" i="8"/>
  <c r="W107" i="8"/>
  <c r="W6" i="8"/>
  <c r="F13" i="29"/>
  <c r="W65" i="8"/>
  <c r="W55" i="8"/>
  <c r="W83" i="8"/>
  <c r="W20" i="8"/>
  <c r="W117" i="8"/>
  <c r="W17" i="8"/>
  <c r="W133" i="8"/>
  <c r="W35" i="8"/>
  <c r="W138" i="8"/>
  <c r="J81" i="35"/>
  <c r="R93" i="8"/>
  <c r="R116" i="8"/>
  <c r="W82" i="8"/>
  <c r="W25" i="8"/>
  <c r="W42" i="8"/>
  <c r="R36" i="8"/>
  <c r="R4" i="8"/>
  <c r="R96" i="8"/>
  <c r="W119" i="8"/>
  <c r="W81" i="8"/>
  <c r="W76" i="8"/>
  <c r="W104" i="8"/>
  <c r="W45" i="8"/>
  <c r="W31" i="8"/>
  <c r="W18" i="8"/>
  <c r="W103" i="8"/>
  <c r="W15" i="8"/>
  <c r="W108" i="8"/>
  <c r="R6" i="10"/>
  <c r="R72" i="10"/>
  <c r="W115" i="8"/>
  <c r="W74" i="8"/>
  <c r="W98" i="8"/>
  <c r="W44" i="8"/>
  <c r="W121" i="8"/>
  <c r="W16" i="8"/>
  <c r="W66" i="8"/>
  <c r="W8" i="8"/>
  <c r="W73" i="8"/>
  <c r="R14" i="10"/>
  <c r="R3" i="10"/>
  <c r="R74" i="10"/>
  <c r="R15" i="10"/>
  <c r="R10" i="10"/>
  <c r="W118" i="8"/>
  <c r="W106" i="8"/>
  <c r="W109" i="8"/>
  <c r="W32" i="8"/>
  <c r="W68" i="8"/>
  <c r="W39" i="8"/>
  <c r="W62" i="8"/>
  <c r="W3" i="8"/>
  <c r="W79" i="8"/>
  <c r="W23" i="8"/>
  <c r="W57" i="8"/>
  <c r="W110" i="8"/>
  <c r="R75" i="10"/>
  <c r="R12" i="10"/>
  <c r="W90" i="8"/>
  <c r="F29" i="35"/>
  <c r="J29" i="35" s="1"/>
  <c r="L29" i="35" s="1"/>
  <c r="W143" i="8"/>
  <c r="W112" i="8"/>
  <c r="W97" i="8"/>
  <c r="W105" i="8"/>
  <c r="W134" i="8"/>
  <c r="W64" i="8"/>
  <c r="W37" i="8"/>
  <c r="W61" i="8"/>
  <c r="W72" i="8"/>
  <c r="W21" i="8"/>
  <c r="W58" i="8"/>
  <c r="R70" i="10"/>
  <c r="W93" i="8"/>
  <c r="W92" i="8"/>
  <c r="W111" i="8"/>
  <c r="W60" i="8"/>
  <c r="W36" i="8"/>
  <c r="W24" i="8"/>
  <c r="W19" i="8"/>
  <c r="F66" i="35"/>
  <c r="W67" i="8"/>
  <c r="F12" i="29"/>
  <c r="R136" i="8"/>
  <c r="R133" i="8"/>
  <c r="R128" i="8"/>
  <c r="R90" i="8"/>
  <c r="R89" i="8"/>
  <c r="R105" i="8"/>
  <c r="R69" i="8"/>
  <c r="R58" i="8"/>
  <c r="R25" i="8"/>
  <c r="R8" i="8"/>
  <c r="R63" i="8"/>
  <c r="R51" i="8"/>
  <c r="R106" i="8"/>
  <c r="R40" i="8"/>
  <c r="R22" i="8"/>
  <c r="R7" i="8"/>
  <c r="R12" i="8"/>
  <c r="R132" i="8"/>
  <c r="R126" i="8"/>
  <c r="R127" i="8"/>
  <c r="R83" i="8"/>
  <c r="R82" i="8"/>
  <c r="R102" i="8"/>
  <c r="R65" i="8"/>
  <c r="R34" i="8"/>
  <c r="R23" i="8"/>
  <c r="R6" i="8"/>
  <c r="R56" i="8"/>
  <c r="R45" i="8"/>
  <c r="R73" i="8"/>
  <c r="R38" i="8"/>
  <c r="R18" i="8"/>
  <c r="R29" i="8"/>
  <c r="R115" i="8"/>
  <c r="R110" i="8"/>
  <c r="R108" i="8"/>
  <c r="R107" i="8"/>
  <c r="R84" i="8"/>
  <c r="R72" i="8"/>
  <c r="R97" i="8"/>
  <c r="R17" i="8"/>
  <c r="R100" i="8"/>
  <c r="R92" i="8"/>
  <c r="R39" i="8"/>
  <c r="R121" i="8"/>
  <c r="R68" i="8"/>
  <c r="R5" i="8"/>
  <c r="R104" i="8"/>
  <c r="R103" i="8"/>
  <c r="R134" i="8"/>
  <c r="R81" i="8"/>
  <c r="R70" i="8"/>
  <c r="R77" i="8"/>
  <c r="R15" i="8"/>
  <c r="R80" i="8"/>
  <c r="R85" i="8"/>
  <c r="R37" i="8"/>
  <c r="R59" i="8"/>
  <c r="R53" i="8"/>
  <c r="F28" i="35"/>
  <c r="J28" i="35" s="1"/>
  <c r="L28" i="35" s="1"/>
  <c r="R140" i="8"/>
  <c r="R99" i="8"/>
  <c r="R98" i="8"/>
  <c r="R123" i="8"/>
  <c r="R76" i="8"/>
  <c r="R66" i="8"/>
  <c r="R30" i="8"/>
  <c r="R13" i="8"/>
  <c r="R74" i="8"/>
  <c r="R67" i="8"/>
  <c r="R35" i="8"/>
  <c r="R44" i="8"/>
  <c r="R31" i="8"/>
  <c r="R24" i="8"/>
  <c r="R138" i="8"/>
  <c r="R139" i="8"/>
  <c r="R95" i="8"/>
  <c r="R94" i="8"/>
  <c r="R111" i="8"/>
  <c r="R75" i="8"/>
  <c r="R62" i="8"/>
  <c r="R27" i="8"/>
  <c r="R10" i="8"/>
  <c r="R64" i="8"/>
  <c r="R60" i="8"/>
  <c r="R109" i="8"/>
  <c r="R42" i="8"/>
  <c r="R26" i="8"/>
  <c r="R16" i="8"/>
  <c r="L70" i="35"/>
  <c r="R13" i="10"/>
  <c r="R8" i="10"/>
  <c r="W7" i="8"/>
  <c r="W51" i="8"/>
  <c r="W123" i="8"/>
  <c r="R16" i="10"/>
  <c r="R71" i="10"/>
  <c r="R385" i="10"/>
  <c r="W14" i="8"/>
  <c r="W75" i="8"/>
  <c r="W80" i="8"/>
  <c r="W135" i="8"/>
  <c r="R41" i="8"/>
  <c r="R135" i="8"/>
  <c r="R50" i="8"/>
  <c r="R144" i="8"/>
  <c r="R43" i="8"/>
  <c r="R32" i="8"/>
  <c r="R79" i="8"/>
  <c r="R145" i="8"/>
  <c r="W145" i="8"/>
  <c r="W126" i="8"/>
  <c r="W77" i="8"/>
  <c r="W100" i="8"/>
  <c r="W63" i="8"/>
  <c r="W95" i="8"/>
  <c r="W56" i="8"/>
  <c r="W41" i="8"/>
  <c r="W29" i="8"/>
  <c r="W12" i="8"/>
  <c r="W30" i="8"/>
  <c r="W13" i="8"/>
  <c r="W144" i="8"/>
  <c r="W140" i="8"/>
  <c r="W136" i="8"/>
  <c r="W116" i="8"/>
  <c r="W46" i="8"/>
  <c r="W96" i="8"/>
  <c r="W59" i="8"/>
  <c r="W89" i="8"/>
  <c r="W53" i="8"/>
  <c r="W40" i="8"/>
  <c r="W26" i="8"/>
  <c r="W9" i="8"/>
  <c r="W27" i="8"/>
  <c r="W10" i="8"/>
  <c r="W128" i="8"/>
  <c r="W125" i="8"/>
  <c r="W102" i="8"/>
  <c r="W139" i="8"/>
  <c r="W84" i="8"/>
  <c r="W34" i="8"/>
  <c r="W120" i="8"/>
  <c r="W78" i="8"/>
  <c r="W50" i="8"/>
  <c r="W38" i="8"/>
  <c r="W94" i="8"/>
  <c r="W22" i="8"/>
  <c r="W5" i="8"/>
  <c r="R143" i="8"/>
  <c r="S138" i="8"/>
  <c r="S123" i="8"/>
  <c r="S20" i="8"/>
  <c r="S102" i="8"/>
  <c r="S29" i="8"/>
  <c r="S103" i="8"/>
  <c r="S45" i="8"/>
  <c r="S132" i="8"/>
  <c r="S133" i="8"/>
  <c r="S126" i="8"/>
  <c r="S139" i="8"/>
  <c r="S106" i="8"/>
  <c r="S96" i="8"/>
  <c r="S83" i="8"/>
  <c r="S74" i="8"/>
  <c r="S64" i="8"/>
  <c r="S56" i="8"/>
  <c r="S44" i="8"/>
  <c r="S36" i="8"/>
  <c r="S53" i="8"/>
  <c r="S25" i="8"/>
  <c r="S8" i="8"/>
  <c r="S26" i="8"/>
  <c r="S9" i="8"/>
  <c r="S120" i="8"/>
  <c r="S134" i="8"/>
  <c r="S105" i="8"/>
  <c r="S95" i="8"/>
  <c r="S82" i="8"/>
  <c r="S73" i="8"/>
  <c r="S63" i="8"/>
  <c r="S55" i="8"/>
  <c r="S43" i="8"/>
  <c r="S35" i="8"/>
  <c r="S46" i="8"/>
  <c r="S23" i="8"/>
  <c r="S6" i="8"/>
  <c r="S24" i="8"/>
  <c r="S7" i="8"/>
  <c r="S116" i="8"/>
  <c r="S127" i="8"/>
  <c r="S104" i="8"/>
  <c r="S94" i="8"/>
  <c r="S81" i="8"/>
  <c r="S70" i="8"/>
  <c r="S62" i="8"/>
  <c r="S42" i="8"/>
  <c r="S140" i="8"/>
  <c r="S21" i="8"/>
  <c r="S4" i="8"/>
  <c r="S22" i="8"/>
  <c r="S5" i="8"/>
  <c r="S143" i="8"/>
  <c r="S111" i="8"/>
  <c r="S99" i="8"/>
  <c r="S89" i="8"/>
  <c r="S77" i="8"/>
  <c r="S67" i="8"/>
  <c r="S59" i="8"/>
  <c r="S119" i="8"/>
  <c r="S39" i="8"/>
  <c r="S144" i="8"/>
  <c r="S135" i="8"/>
  <c r="S15" i="8"/>
  <c r="S50" i="8"/>
  <c r="S16" i="8"/>
  <c r="S34" i="8"/>
  <c r="S108" i="8"/>
  <c r="S98" i="8"/>
  <c r="S85" i="8"/>
  <c r="S76" i="8"/>
  <c r="S66" i="8"/>
  <c r="S58" i="8"/>
  <c r="S51" i="8"/>
  <c r="S38" i="8"/>
  <c r="S136" i="8"/>
  <c r="S30" i="8"/>
  <c r="S13" i="8"/>
  <c r="S31" i="8"/>
  <c r="S14" i="8"/>
  <c r="S112" i="8"/>
  <c r="S90" i="8"/>
  <c r="S61" i="8"/>
  <c r="S37" i="8"/>
  <c r="S17" i="8"/>
  <c r="S3" i="8"/>
  <c r="S121" i="8"/>
  <c r="S84" i="8"/>
  <c r="S60" i="8"/>
  <c r="S128" i="8"/>
  <c r="S10" i="8"/>
  <c r="L46" i="35"/>
  <c r="S117" i="8"/>
  <c r="S79" i="8"/>
  <c r="S57" i="8"/>
  <c r="S118" i="8"/>
  <c r="S125" i="8"/>
  <c r="S107" i="8"/>
  <c r="S78" i="8"/>
  <c r="S115" i="8"/>
  <c r="S32" i="8"/>
  <c r="S110" i="8"/>
  <c r="S97" i="8"/>
  <c r="S68" i="8"/>
  <c r="S41" i="8"/>
  <c r="S27" i="8"/>
  <c r="S18" i="8"/>
  <c r="S145" i="8"/>
  <c r="S93" i="8"/>
  <c r="S65" i="8"/>
  <c r="S40" i="8"/>
  <c r="S19" i="8"/>
  <c r="S12" i="8"/>
  <c r="S75" i="8"/>
  <c r="M135" i="8"/>
  <c r="M143" i="8"/>
  <c r="M115" i="8"/>
  <c r="M102" i="8"/>
  <c r="M93" i="8"/>
  <c r="M81" i="8"/>
  <c r="M64" i="8"/>
  <c r="M56" i="8"/>
  <c r="M42" i="8"/>
  <c r="M110" i="8"/>
  <c r="M138" i="8"/>
  <c r="M19" i="8"/>
  <c r="M29" i="8"/>
  <c r="M12" i="8"/>
  <c r="M128" i="8"/>
  <c r="M109" i="8"/>
  <c r="M100" i="8"/>
  <c r="M92" i="8"/>
  <c r="M80" i="8"/>
  <c r="M72" i="8"/>
  <c r="M63" i="8"/>
  <c r="M55" i="8"/>
  <c r="M41" i="8"/>
  <c r="M34" i="8"/>
  <c r="M139" i="8"/>
  <c r="M53" i="8"/>
  <c r="M17" i="8"/>
  <c r="M26" i="8"/>
  <c r="M9" i="8"/>
  <c r="K72" i="10"/>
  <c r="M132" i="8"/>
  <c r="M105" i="8"/>
  <c r="M96" i="8"/>
  <c r="M84" i="8"/>
  <c r="M76" i="8"/>
  <c r="M67" i="8"/>
  <c r="M59" i="8"/>
  <c r="M45" i="8"/>
  <c r="M37" i="8"/>
  <c r="M121" i="8"/>
  <c r="M127" i="8"/>
  <c r="M25" i="8"/>
  <c r="M8" i="8"/>
  <c r="M18" i="8"/>
  <c r="K385" i="10"/>
  <c r="K69" i="10"/>
  <c r="K5" i="10"/>
  <c r="K8" i="10"/>
  <c r="M125" i="8"/>
  <c r="M104" i="8"/>
  <c r="M95" i="8"/>
  <c r="M83" i="8"/>
  <c r="M75" i="8"/>
  <c r="M66" i="8"/>
  <c r="M58" i="8"/>
  <c r="M44" i="8"/>
  <c r="M120" i="8"/>
  <c r="M23" i="8"/>
  <c r="M6" i="8"/>
  <c r="M16" i="8"/>
  <c r="K16" i="10"/>
  <c r="K4" i="10"/>
  <c r="K6" i="10"/>
  <c r="K18" i="34"/>
  <c r="M18" i="34" s="1"/>
  <c r="M29" i="34"/>
  <c r="K12" i="34"/>
  <c r="M12" i="34" s="1"/>
  <c r="K13" i="34"/>
  <c r="M13" i="34" s="1"/>
  <c r="K21" i="34"/>
  <c r="K17" i="34"/>
  <c r="M17" i="34" s="1"/>
  <c r="M5" i="34"/>
  <c r="K11" i="34"/>
  <c r="M11" i="34" s="1"/>
  <c r="M33" i="34"/>
  <c r="T256" i="9"/>
  <c r="T282" i="9"/>
  <c r="T103" i="9"/>
  <c r="T248" i="9"/>
  <c r="T278" i="9"/>
  <c r="T166" i="9"/>
  <c r="T204" i="9"/>
  <c r="T47" i="9"/>
  <c r="T156" i="9"/>
  <c r="T233" i="9"/>
  <c r="T150" i="9"/>
  <c r="T75" i="9"/>
  <c r="T30" i="9"/>
  <c r="T292" i="9"/>
  <c r="T229" i="9"/>
  <c r="T201" i="9"/>
  <c r="T200" i="9"/>
  <c r="T22" i="9"/>
  <c r="S72" i="8"/>
  <c r="S80" i="8"/>
  <c r="S92" i="8"/>
  <c r="S100" i="8"/>
  <c r="S109" i="8"/>
  <c r="T302" i="9"/>
  <c r="T284" i="9"/>
  <c r="T280" i="9"/>
  <c r="T274" i="9"/>
  <c r="T270" i="9"/>
  <c r="T247" i="9"/>
  <c r="T245" i="9"/>
  <c r="T225" i="9"/>
  <c r="T221" i="9"/>
  <c r="T219" i="9"/>
  <c r="T192" i="9"/>
  <c r="T279" i="9"/>
  <c r="T224" i="9"/>
  <c r="T131" i="9"/>
  <c r="T111" i="9"/>
  <c r="T87" i="9"/>
  <c r="T267" i="9"/>
  <c r="T176" i="9"/>
  <c r="T170" i="9"/>
  <c r="T160" i="9"/>
  <c r="T154" i="9"/>
  <c r="T128" i="9"/>
  <c r="T49" i="9"/>
  <c r="T45" i="9"/>
  <c r="T14" i="9"/>
  <c r="T6" i="9"/>
  <c r="T185" i="9"/>
  <c r="T133" i="9"/>
  <c r="T299" i="9"/>
  <c r="T40" i="9"/>
  <c r="T48" i="9"/>
  <c r="T64" i="9"/>
  <c r="T298" i="9"/>
  <c r="T294" i="9"/>
  <c r="T276" i="9"/>
  <c r="T272" i="9"/>
  <c r="T266" i="9"/>
  <c r="T262" i="9"/>
  <c r="T243" i="9"/>
  <c r="T257" i="9"/>
  <c r="T217" i="9"/>
  <c r="T213" i="9"/>
  <c r="T211" i="9"/>
  <c r="T184" i="9"/>
  <c r="T208" i="9"/>
  <c r="T147" i="9"/>
  <c r="T127" i="9"/>
  <c r="T107" i="9"/>
  <c r="T99" i="9"/>
  <c r="T174" i="9"/>
  <c r="T164" i="9"/>
  <c r="T158" i="9"/>
  <c r="T148" i="9"/>
  <c r="T136" i="9"/>
  <c r="T220" i="9"/>
  <c r="T63" i="9"/>
  <c r="T59" i="9"/>
  <c r="T41" i="9"/>
  <c r="T26" i="9"/>
  <c r="T39" i="9"/>
  <c r="T189" i="9"/>
  <c r="T129" i="9"/>
  <c r="T169" i="9"/>
  <c r="T141" i="9"/>
  <c r="T125" i="9"/>
  <c r="T240" i="9"/>
  <c r="T296" i="9"/>
  <c r="T290" i="9"/>
  <c r="T286" i="9"/>
  <c r="T268" i="9"/>
  <c r="T264" i="9"/>
  <c r="T258" i="9"/>
  <c r="T235" i="9"/>
  <c r="T249" i="9"/>
  <c r="T241" i="9"/>
  <c r="T209" i="9"/>
  <c r="T205" i="9"/>
  <c r="T203" i="9"/>
  <c r="T180" i="9"/>
  <c r="T287" i="9"/>
  <c r="T271" i="9"/>
  <c r="T232" i="9"/>
  <c r="T143" i="9"/>
  <c r="T123" i="9"/>
  <c r="T91" i="9"/>
  <c r="T83" i="9"/>
  <c r="T283" i="9"/>
  <c r="T168" i="9"/>
  <c r="T162" i="9"/>
  <c r="T152" i="9"/>
  <c r="T144" i="9"/>
  <c r="T112" i="9"/>
  <c r="T149" i="9"/>
  <c r="T65" i="9"/>
  <c r="T61" i="9"/>
  <c r="T55" i="9"/>
  <c r="T51" i="9"/>
  <c r="T38" i="9"/>
  <c r="T10" i="9"/>
  <c r="T121" i="9"/>
  <c r="T153" i="9"/>
  <c r="T109" i="9"/>
  <c r="T69" i="9"/>
  <c r="T193" i="9"/>
  <c r="T70" i="9"/>
  <c r="T196" i="9"/>
  <c r="T44" i="9"/>
  <c r="F24" i="35"/>
  <c r="J24" i="35" s="1"/>
  <c r="F8" i="29"/>
  <c r="O145" i="8"/>
  <c r="O144" i="8"/>
  <c r="O143" i="8"/>
  <c r="O140" i="8"/>
  <c r="O139" i="8"/>
  <c r="O138" i="8"/>
  <c r="O136" i="8"/>
  <c r="O135" i="8"/>
  <c r="O134" i="8"/>
  <c r="O133" i="8"/>
  <c r="O132" i="8"/>
  <c r="O128" i="8"/>
  <c r="O127" i="8"/>
  <c r="O126" i="8"/>
  <c r="O125" i="8"/>
  <c r="O123" i="8"/>
  <c r="O121" i="8"/>
  <c r="O120" i="8"/>
  <c r="O119" i="8"/>
  <c r="O118" i="8"/>
  <c r="O117" i="8"/>
  <c r="O116" i="8"/>
  <c r="O115" i="8"/>
  <c r="O112" i="8"/>
  <c r="O111" i="8"/>
  <c r="O110" i="8"/>
  <c r="O108" i="8"/>
  <c r="O104" i="8"/>
  <c r="O99" i="8"/>
  <c r="O95" i="8"/>
  <c r="O90" i="8"/>
  <c r="O83" i="8"/>
  <c r="O79" i="8"/>
  <c r="O50" i="8"/>
  <c r="O32" i="8"/>
  <c r="O107" i="8"/>
  <c r="O103" i="8"/>
  <c r="O98" i="8"/>
  <c r="O94" i="8"/>
  <c r="O89" i="8"/>
  <c r="O82" i="8"/>
  <c r="O78" i="8"/>
  <c r="O105" i="8"/>
  <c r="O96" i="8"/>
  <c r="O84" i="8"/>
  <c r="O76" i="8"/>
  <c r="O75" i="8"/>
  <c r="O70" i="8"/>
  <c r="O66" i="8"/>
  <c r="O62" i="8"/>
  <c r="O58" i="8"/>
  <c r="O46" i="8"/>
  <c r="O102" i="8"/>
  <c r="O93" i="8"/>
  <c r="O81" i="8"/>
  <c r="O72" i="8"/>
  <c r="O67" i="8"/>
  <c r="O63" i="8"/>
  <c r="O59" i="8"/>
  <c r="O55" i="8"/>
  <c r="O45" i="8"/>
  <c r="O44" i="8"/>
  <c r="O43" i="8"/>
  <c r="O42" i="8"/>
  <c r="O41" i="8"/>
  <c r="O40" i="8"/>
  <c r="O39" i="8"/>
  <c r="O38" i="8"/>
  <c r="O37" i="8"/>
  <c r="O36" i="8"/>
  <c r="O35" i="8"/>
  <c r="O34" i="8"/>
  <c r="O31" i="8"/>
  <c r="O30" i="8"/>
  <c r="O29" i="8"/>
  <c r="O27" i="8"/>
  <c r="O26" i="8"/>
  <c r="O25" i="8"/>
  <c r="O24" i="8"/>
  <c r="O23" i="8"/>
  <c r="O22" i="8"/>
  <c r="O21" i="8"/>
  <c r="O20" i="8"/>
  <c r="O19" i="8"/>
  <c r="O18" i="8"/>
  <c r="O17" i="8"/>
  <c r="O16" i="8"/>
  <c r="O15" i="8"/>
  <c r="O14" i="8"/>
  <c r="O13" i="8"/>
  <c r="O12" i="8"/>
  <c r="O10" i="8"/>
  <c r="O9" i="8"/>
  <c r="O8" i="8"/>
  <c r="O7" i="8"/>
  <c r="O6" i="8"/>
  <c r="O5" i="8"/>
  <c r="O4" i="8"/>
  <c r="O3" i="8"/>
  <c r="O109" i="8"/>
  <c r="O92" i="8"/>
  <c r="O97" i="8"/>
  <c r="O77" i="8"/>
  <c r="O74" i="8"/>
  <c r="O65" i="8"/>
  <c r="O64" i="8"/>
  <c r="O57" i="8"/>
  <c r="O56" i="8"/>
  <c r="O69" i="8"/>
  <c r="O60" i="8"/>
  <c r="O106" i="8"/>
  <c r="O100" i="8"/>
  <c r="O73" i="8"/>
  <c r="M385" i="10"/>
  <c r="O85" i="8"/>
  <c r="M71" i="10"/>
  <c r="M14" i="10"/>
  <c r="M8" i="10"/>
  <c r="M4" i="10"/>
  <c r="O80" i="8"/>
  <c r="M75" i="10"/>
  <c r="M70" i="10"/>
  <c r="M13" i="10"/>
  <c r="M6" i="10"/>
  <c r="M3" i="10"/>
  <c r="O61" i="8"/>
  <c r="O53" i="8"/>
  <c r="O51" i="8"/>
  <c r="M74" i="10"/>
  <c r="M69" i="10"/>
  <c r="M16" i="10"/>
  <c r="M12" i="10"/>
  <c r="O68" i="8"/>
  <c r="F38" i="35"/>
  <c r="M72" i="10"/>
  <c r="M15" i="10"/>
  <c r="M5" i="10"/>
  <c r="F61" i="35"/>
  <c r="M10" i="10"/>
  <c r="F40" i="35"/>
  <c r="F25" i="35"/>
  <c r="J25" i="35" s="1"/>
  <c r="L11" i="35"/>
  <c r="U145" i="8"/>
  <c r="U144" i="8"/>
  <c r="U143" i="8"/>
  <c r="U140" i="8"/>
  <c r="U139" i="8"/>
  <c r="U138" i="8"/>
  <c r="U136" i="8"/>
  <c r="U135" i="8"/>
  <c r="U134" i="8"/>
  <c r="U133" i="8"/>
  <c r="U132" i="8"/>
  <c r="U128" i="8"/>
  <c r="U127" i="8"/>
  <c r="U126" i="8"/>
  <c r="U125" i="8"/>
  <c r="U123" i="8"/>
  <c r="U121" i="8"/>
  <c r="U120" i="8"/>
  <c r="U119" i="8"/>
  <c r="U118" i="8"/>
  <c r="U117" i="8"/>
  <c r="U116" i="8"/>
  <c r="U115" i="8"/>
  <c r="U112" i="8"/>
  <c r="U111" i="8"/>
  <c r="U110" i="8"/>
  <c r="J11" i="29"/>
  <c r="U109" i="8"/>
  <c r="U105" i="8"/>
  <c r="U100" i="8"/>
  <c r="U96" i="8"/>
  <c r="U92" i="8"/>
  <c r="U84" i="8"/>
  <c r="U80" i="8"/>
  <c r="U76" i="8"/>
  <c r="U53" i="8"/>
  <c r="U32" i="8"/>
  <c r="U31" i="8"/>
  <c r="U108" i="8"/>
  <c r="U104" i="8"/>
  <c r="U99" i="8"/>
  <c r="U95" i="8"/>
  <c r="U90" i="8"/>
  <c r="U83" i="8"/>
  <c r="U79" i="8"/>
  <c r="U75" i="8"/>
  <c r="U74" i="8"/>
  <c r="U73" i="8"/>
  <c r="U72" i="8"/>
  <c r="U107" i="8"/>
  <c r="U98" i="8"/>
  <c r="U89" i="8"/>
  <c r="U78" i="8"/>
  <c r="U68" i="8"/>
  <c r="U64" i="8"/>
  <c r="U60" i="8"/>
  <c r="U56" i="8"/>
  <c r="U51" i="8"/>
  <c r="U50" i="8"/>
  <c r="U45" i="8"/>
  <c r="U44" i="8"/>
  <c r="U43" i="8"/>
  <c r="U42" i="8"/>
  <c r="U41" i="8"/>
  <c r="U40" i="8"/>
  <c r="U39" i="8"/>
  <c r="U38" i="8"/>
  <c r="U37" i="8"/>
  <c r="U36" i="8"/>
  <c r="U35" i="8"/>
  <c r="U102" i="8"/>
  <c r="U93" i="8"/>
  <c r="U81" i="8"/>
  <c r="U69" i="8"/>
  <c r="U65" i="8"/>
  <c r="U61" i="8"/>
  <c r="U57" i="8"/>
  <c r="U46" i="8"/>
  <c r="U30" i="8"/>
  <c r="U29" i="8"/>
  <c r="U27" i="8"/>
  <c r="U26" i="8"/>
  <c r="U25" i="8"/>
  <c r="U24" i="8"/>
  <c r="U23" i="8"/>
  <c r="U22" i="8"/>
  <c r="U21" i="8"/>
  <c r="U20" i="8"/>
  <c r="U19" i="8"/>
  <c r="U18" i="8"/>
  <c r="U17" i="8"/>
  <c r="U16" i="8"/>
  <c r="U15" i="8"/>
  <c r="U14" i="8"/>
  <c r="U13" i="8"/>
  <c r="U12" i="8"/>
  <c r="U10" i="8"/>
  <c r="U9" i="8"/>
  <c r="U8" i="8"/>
  <c r="U7" i="8"/>
  <c r="U6" i="8"/>
  <c r="U5" i="8"/>
  <c r="U4" i="8"/>
  <c r="U3" i="8"/>
  <c r="U67" i="8"/>
  <c r="U59" i="8"/>
  <c r="U103" i="8"/>
  <c r="U97" i="8"/>
  <c r="U82" i="8"/>
  <c r="U77" i="8"/>
  <c r="U66" i="8"/>
  <c r="U58" i="8"/>
  <c r="U63" i="8"/>
  <c r="U62" i="8"/>
  <c r="U106" i="8"/>
  <c r="U34" i="8"/>
  <c r="U94" i="8"/>
  <c r="U85" i="8"/>
  <c r="J80" i="35"/>
  <c r="L13" i="35"/>
  <c r="U55" i="8"/>
  <c r="F26" i="35"/>
  <c r="J26" i="35" s="1"/>
  <c r="U70" i="8"/>
  <c r="F41" i="35"/>
  <c r="T252" i="9"/>
  <c r="T244" i="9"/>
  <c r="T236" i="9"/>
  <c r="T255" i="9"/>
  <c r="T239" i="9"/>
  <c r="T303" i="9"/>
  <c r="T253" i="9"/>
  <c r="T237" i="9"/>
  <c r="T231" i="9"/>
  <c r="T223" i="9"/>
  <c r="T215" i="9"/>
  <c r="T207" i="9"/>
  <c r="T199" i="9"/>
  <c r="T188" i="9"/>
  <c r="T295" i="9"/>
  <c r="T263" i="9"/>
  <c r="T216" i="9"/>
  <c r="T135" i="9"/>
  <c r="T119" i="9"/>
  <c r="T95" i="9"/>
  <c r="T79" i="9"/>
  <c r="T140" i="9"/>
  <c r="T132" i="9"/>
  <c r="T124" i="9"/>
  <c r="T116" i="9"/>
  <c r="T108" i="9"/>
  <c r="T173" i="9"/>
  <c r="T157" i="9"/>
  <c r="T34" i="9"/>
  <c r="T18" i="9"/>
  <c r="T2" i="9"/>
  <c r="T275" i="9"/>
  <c r="T228" i="9"/>
  <c r="T137" i="9"/>
  <c r="T259" i="9"/>
  <c r="T52" i="9"/>
  <c r="T177" i="9"/>
  <c r="T56" i="9"/>
  <c r="J101" i="35"/>
  <c r="L101" i="35" s="1"/>
  <c r="N145" i="8"/>
  <c r="N143" i="8"/>
  <c r="N136" i="8"/>
  <c r="N132" i="8"/>
  <c r="N125" i="8"/>
  <c r="N119" i="8"/>
  <c r="N115" i="8"/>
  <c r="N109" i="8"/>
  <c r="N108" i="8"/>
  <c r="N107" i="8"/>
  <c r="N106" i="8"/>
  <c r="N105" i="8"/>
  <c r="N104" i="8"/>
  <c r="N103" i="8"/>
  <c r="N102" i="8"/>
  <c r="N100" i="8"/>
  <c r="N99" i="8"/>
  <c r="N98" i="8"/>
  <c r="N97" i="8"/>
  <c r="N96" i="8"/>
  <c r="N95" i="8"/>
  <c r="N94" i="8"/>
  <c r="N93" i="8"/>
  <c r="N92" i="8"/>
  <c r="N90" i="8"/>
  <c r="N89" i="8"/>
  <c r="N85" i="8"/>
  <c r="N84" i="8"/>
  <c r="N83" i="8"/>
  <c r="N82" i="8"/>
  <c r="N81" i="8"/>
  <c r="N80" i="8"/>
  <c r="N79" i="8"/>
  <c r="N78" i="8"/>
  <c r="N77" i="8"/>
  <c r="N76" i="8"/>
  <c r="N138" i="8"/>
  <c r="N133" i="8"/>
  <c r="N126" i="8"/>
  <c r="N120" i="8"/>
  <c r="N116" i="8"/>
  <c r="N110" i="8"/>
  <c r="N53" i="8"/>
  <c r="N51" i="8"/>
  <c r="N50" i="8"/>
  <c r="N46" i="8"/>
  <c r="N139" i="8"/>
  <c r="N127" i="8"/>
  <c r="N117" i="8"/>
  <c r="N34" i="8"/>
  <c r="N144" i="8"/>
  <c r="N140" i="8"/>
  <c r="N128" i="8"/>
  <c r="N118" i="8"/>
  <c r="N75" i="8"/>
  <c r="N74" i="8"/>
  <c r="N73" i="8"/>
  <c r="N72" i="8"/>
  <c r="N67" i="8"/>
  <c r="N63" i="8"/>
  <c r="N59" i="8"/>
  <c r="N55" i="8"/>
  <c r="N45" i="8"/>
  <c r="N44" i="8"/>
  <c r="N43" i="8"/>
  <c r="N42" i="8"/>
  <c r="N41" i="8"/>
  <c r="N40" i="8"/>
  <c r="N39" i="8"/>
  <c r="N38" i="8"/>
  <c r="N37" i="8"/>
  <c r="N36" i="8"/>
  <c r="N35" i="8"/>
  <c r="N31" i="8"/>
  <c r="N30" i="8"/>
  <c r="N29" i="8"/>
  <c r="N27" i="8"/>
  <c r="N26" i="8"/>
  <c r="N25" i="8"/>
  <c r="N24" i="8"/>
  <c r="N23" i="8"/>
  <c r="N22" i="8"/>
  <c r="N21" i="8"/>
  <c r="N20" i="8"/>
  <c r="N19" i="8"/>
  <c r="N18" i="8"/>
  <c r="N17" i="8"/>
  <c r="N16" i="8"/>
  <c r="N15" i="8"/>
  <c r="N14" i="8"/>
  <c r="N13" i="8"/>
  <c r="N12" i="8"/>
  <c r="N10" i="8"/>
  <c r="N9" i="8"/>
  <c r="N8" i="8"/>
  <c r="N7" i="8"/>
  <c r="N6" i="8"/>
  <c r="N5" i="8"/>
  <c r="N4" i="8"/>
  <c r="N3" i="8"/>
  <c r="N134" i="8"/>
  <c r="N123" i="8"/>
  <c r="N111" i="8"/>
  <c r="N68" i="8"/>
  <c r="N64" i="8"/>
  <c r="N60" i="8"/>
  <c r="N56" i="8"/>
  <c r="N32" i="8"/>
  <c r="N121" i="8"/>
  <c r="N65" i="8"/>
  <c r="N57" i="8"/>
  <c r="N135" i="8"/>
  <c r="N66" i="8"/>
  <c r="N58" i="8"/>
  <c r="N62" i="8"/>
  <c r="N69" i="8"/>
  <c r="L72" i="10"/>
  <c r="L10" i="10"/>
  <c r="L5" i="10"/>
  <c r="L71" i="10"/>
  <c r="L14" i="10"/>
  <c r="L8" i="10"/>
  <c r="L4" i="10"/>
  <c r="N112" i="8"/>
  <c r="L75" i="10"/>
  <c r="L70" i="10"/>
  <c r="L13" i="10"/>
  <c r="L6" i="10"/>
  <c r="L3" i="10"/>
  <c r="N70" i="8"/>
  <c r="N61" i="8"/>
  <c r="L385" i="10"/>
  <c r="L69" i="10"/>
  <c r="L12" i="10"/>
  <c r="L9" i="35"/>
  <c r="F23" i="35"/>
  <c r="J23" i="35" s="1"/>
  <c r="L23" i="35" s="1"/>
  <c r="L74" i="10"/>
  <c r="L16" i="10"/>
  <c r="F60" i="35"/>
  <c r="F37" i="35"/>
  <c r="Q145" i="8"/>
  <c r="Q144" i="8"/>
  <c r="Q143" i="8"/>
  <c r="Q140" i="8"/>
  <c r="Q139" i="8"/>
  <c r="Q138" i="8"/>
  <c r="Q136" i="8"/>
  <c r="Q135" i="8"/>
  <c r="Q134" i="8"/>
  <c r="Q133" i="8"/>
  <c r="Q132" i="8"/>
  <c r="Q128" i="8"/>
  <c r="Q127" i="8"/>
  <c r="Q126" i="8"/>
  <c r="Q125" i="8"/>
  <c r="Q123" i="8"/>
  <c r="Q121" i="8"/>
  <c r="Q120" i="8"/>
  <c r="Q119" i="8"/>
  <c r="Q118" i="8"/>
  <c r="Q117" i="8"/>
  <c r="Q116" i="8"/>
  <c r="Q115" i="8"/>
  <c r="Q112" i="8"/>
  <c r="Q111" i="8"/>
  <c r="Q110" i="8"/>
  <c r="Q107" i="8"/>
  <c r="Q103" i="8"/>
  <c r="Q98" i="8"/>
  <c r="Q94" i="8"/>
  <c r="Q89" i="8"/>
  <c r="Q82" i="8"/>
  <c r="Q78" i="8"/>
  <c r="Q46" i="8"/>
  <c r="Q32" i="8"/>
  <c r="Q106" i="8"/>
  <c r="Q102" i="8"/>
  <c r="Q97" i="8"/>
  <c r="Q93" i="8"/>
  <c r="Q85" i="8"/>
  <c r="Q81" i="8"/>
  <c r="Q77" i="8"/>
  <c r="Q104" i="8"/>
  <c r="Q95" i="8"/>
  <c r="Q83" i="8"/>
  <c r="Q72" i="8"/>
  <c r="Q70" i="8"/>
  <c r="Q66" i="8"/>
  <c r="Q62" i="8"/>
  <c r="Q58" i="8"/>
  <c r="Q34" i="8"/>
  <c r="Q109" i="8"/>
  <c r="Q100" i="8"/>
  <c r="Q92" i="8"/>
  <c r="Q80" i="8"/>
  <c r="Q73" i="8"/>
  <c r="Q67" i="8"/>
  <c r="Q63" i="8"/>
  <c r="Q59" i="8"/>
  <c r="Q55" i="8"/>
  <c r="Q45" i="8"/>
  <c r="Q44" i="8"/>
  <c r="Q43" i="8"/>
  <c r="Q42" i="8"/>
  <c r="Q41" i="8"/>
  <c r="Q40" i="8"/>
  <c r="Q39" i="8"/>
  <c r="Q38" i="8"/>
  <c r="Q37" i="8"/>
  <c r="Q36" i="8"/>
  <c r="Q35" i="8"/>
  <c r="Q31" i="8"/>
  <c r="Q30" i="8"/>
  <c r="Q29" i="8"/>
  <c r="Q27" i="8"/>
  <c r="Q26" i="8"/>
  <c r="Q25" i="8"/>
  <c r="Q24" i="8"/>
  <c r="Q23" i="8"/>
  <c r="Q22" i="8"/>
  <c r="Q21" i="8"/>
  <c r="Q20" i="8"/>
  <c r="Q19" i="8"/>
  <c r="Q18" i="8"/>
  <c r="Q17" i="8"/>
  <c r="Q16" i="8"/>
  <c r="Q15" i="8"/>
  <c r="Q14" i="8"/>
  <c r="Q13" i="8"/>
  <c r="Q12" i="8"/>
  <c r="Q10" i="8"/>
  <c r="Q9" i="8"/>
  <c r="Q8" i="8"/>
  <c r="Q7" i="8"/>
  <c r="Q6" i="8"/>
  <c r="Q5" i="8"/>
  <c r="Q4" i="8"/>
  <c r="Q99" i="8"/>
  <c r="Q79" i="8"/>
  <c r="Q74" i="8"/>
  <c r="Q64" i="8"/>
  <c r="Q56" i="8"/>
  <c r="Q105" i="8"/>
  <c r="Q84" i="8"/>
  <c r="Q65" i="8"/>
  <c r="Q57" i="8"/>
  <c r="Q53" i="8"/>
  <c r="Q51" i="8"/>
  <c r="Q50" i="8"/>
  <c r="Q96" i="8"/>
  <c r="Q90" i="8"/>
  <c r="Q69" i="8"/>
  <c r="Q60" i="8"/>
  <c r="Q76" i="8"/>
  <c r="Q68" i="8"/>
  <c r="L39" i="35"/>
  <c r="Q61" i="8"/>
  <c r="Q108" i="8"/>
  <c r="Q75" i="8"/>
  <c r="L3" i="35"/>
  <c r="T301" i="9"/>
  <c r="T297" i="9"/>
  <c r="T293" i="9"/>
  <c r="T289" i="9"/>
  <c r="T285" i="9"/>
  <c r="T281" i="9"/>
  <c r="T277" i="9"/>
  <c r="T273" i="9"/>
  <c r="T269" i="9"/>
  <c r="T265" i="9"/>
  <c r="T261" i="9"/>
  <c r="T254" i="9"/>
  <c r="T250" i="9"/>
  <c r="T246" i="9"/>
  <c r="T242" i="9"/>
  <c r="T238" i="9"/>
  <c r="T234" i="9"/>
  <c r="T300" i="9"/>
  <c r="T175" i="9"/>
  <c r="T171" i="9"/>
  <c r="T167" i="9"/>
  <c r="T163" i="9"/>
  <c r="T159" i="9"/>
  <c r="T155" i="9"/>
  <c r="T151" i="9"/>
  <c r="T226" i="9"/>
  <c r="T218" i="9"/>
  <c r="T210" i="9"/>
  <c r="T202" i="9"/>
  <c r="T194" i="9"/>
  <c r="T190" i="9"/>
  <c r="T186" i="9"/>
  <c r="T182" i="9"/>
  <c r="T178" i="9"/>
  <c r="T191" i="9"/>
  <c r="T187" i="9"/>
  <c r="T183" i="9"/>
  <c r="T179" i="9"/>
  <c r="T146" i="9"/>
  <c r="T142" i="9"/>
  <c r="T138" i="9"/>
  <c r="T134" i="9"/>
  <c r="T130" i="9"/>
  <c r="T126" i="9"/>
  <c r="T122" i="9"/>
  <c r="T118" i="9"/>
  <c r="T114" i="9"/>
  <c r="T110" i="9"/>
  <c r="T106" i="9"/>
  <c r="T102" i="9"/>
  <c r="T98" i="9"/>
  <c r="T94" i="9"/>
  <c r="T90" i="9"/>
  <c r="T86" i="9"/>
  <c r="T82" i="9"/>
  <c r="T78" i="9"/>
  <c r="T74" i="9"/>
  <c r="T105" i="9"/>
  <c r="T101" i="9"/>
  <c r="T97" i="9"/>
  <c r="T93" i="9"/>
  <c r="T89" i="9"/>
  <c r="T85" i="9"/>
  <c r="T81" i="9"/>
  <c r="T77" i="9"/>
  <c r="T73" i="9"/>
  <c r="T222" i="9"/>
  <c r="T206" i="9"/>
  <c r="T66" i="9"/>
  <c r="T62" i="9"/>
  <c r="T58" i="9"/>
  <c r="T54" i="9"/>
  <c r="T50" i="9"/>
  <c r="T46" i="9"/>
  <c r="T42" i="9"/>
  <c r="T37" i="9"/>
  <c r="T33" i="9"/>
  <c r="T29" i="9"/>
  <c r="T25" i="9"/>
  <c r="T21" i="9"/>
  <c r="T17" i="9"/>
  <c r="T13" i="9"/>
  <c r="T9" i="9"/>
  <c r="T5" i="9"/>
  <c r="T36" i="9"/>
  <c r="T32" i="9"/>
  <c r="T28" i="9"/>
  <c r="T24" i="9"/>
  <c r="T20" i="9"/>
  <c r="T16" i="9"/>
  <c r="T12" i="9"/>
  <c r="T8" i="9"/>
  <c r="T4" i="9"/>
  <c r="T230" i="9"/>
  <c r="T198" i="9"/>
  <c r="T71" i="9"/>
  <c r="T67" i="9"/>
  <c r="T104" i="9"/>
  <c r="T96" i="9"/>
  <c r="T88" i="9"/>
  <c r="T80" i="9"/>
  <c r="T72" i="9"/>
  <c r="T214" i="9"/>
  <c r="T35" i="9"/>
  <c r="T31" i="9"/>
  <c r="T27" i="9"/>
  <c r="T23" i="9"/>
  <c r="T19" i="9"/>
  <c r="T15" i="9"/>
  <c r="T11" i="9"/>
  <c r="T7" i="9"/>
  <c r="T3" i="9"/>
  <c r="T92" i="9"/>
  <c r="T76" i="9"/>
  <c r="T100" i="9"/>
  <c r="T84" i="9"/>
  <c r="T68" i="9"/>
  <c r="T145" i="9"/>
  <c r="T113" i="9"/>
  <c r="T60" i="9"/>
  <c r="T181" i="9"/>
  <c r="T117" i="9"/>
  <c r="T291" i="9"/>
  <c r="T212" i="9"/>
  <c r="T161" i="9"/>
  <c r="F21" i="35"/>
  <c r="L35" i="35"/>
  <c r="L14" i="29" l="1"/>
  <c r="F27" i="29"/>
  <c r="L11" i="29"/>
  <c r="F24" i="29"/>
  <c r="J181" i="35"/>
  <c r="L181" i="35" s="1"/>
  <c r="J176" i="35"/>
  <c r="L176" i="35" s="1"/>
  <c r="J183" i="35"/>
  <c r="L183" i="35" s="1"/>
  <c r="J175" i="35"/>
  <c r="L175" i="35" s="1"/>
  <c r="J177" i="35"/>
  <c r="L177" i="35" s="1"/>
  <c r="J13" i="29"/>
  <c r="J8" i="29"/>
  <c r="J10" i="29"/>
  <c r="J7" i="29"/>
  <c r="F20" i="29" s="1"/>
  <c r="J6" i="29"/>
  <c r="J66" i="35"/>
  <c r="L66" i="35" s="1"/>
  <c r="J60" i="35"/>
  <c r="L60" i="35" s="1"/>
  <c r="J61" i="35"/>
  <c r="L61" i="35" s="1"/>
  <c r="J63" i="35"/>
  <c r="L63" i="35" s="1"/>
  <c r="J59" i="35"/>
  <c r="L59" i="35" s="1"/>
  <c r="J37" i="35"/>
  <c r="L37" i="35" s="1"/>
  <c r="J38" i="35"/>
  <c r="L38" i="35" s="1"/>
  <c r="J36" i="35"/>
  <c r="L36" i="35" s="1"/>
  <c r="J40" i="35"/>
  <c r="L40" i="35" s="1"/>
  <c r="J41" i="35"/>
  <c r="L41" i="35" s="1"/>
  <c r="J48" i="35"/>
  <c r="L48" i="35" s="1"/>
  <c r="J49" i="35"/>
  <c r="L49" i="35" s="1"/>
  <c r="J21" i="35"/>
  <c r="L21" i="35" s="1"/>
  <c r="U172" i="9"/>
  <c r="U290" i="9"/>
  <c r="U194" i="9"/>
  <c r="U162" i="9"/>
  <c r="U130" i="9"/>
  <c r="U98" i="9"/>
  <c r="U66" i="9"/>
  <c r="U34" i="9"/>
  <c r="U301" i="9"/>
  <c r="U269" i="9"/>
  <c r="U237" i="9"/>
  <c r="U205" i="9"/>
  <c r="U173" i="9"/>
  <c r="U109" i="9"/>
  <c r="U41" i="9"/>
  <c r="U9" i="9"/>
  <c r="U276" i="9"/>
  <c r="U244" i="9"/>
  <c r="U212" i="9"/>
  <c r="U180" i="9"/>
  <c r="U144" i="9"/>
  <c r="U112" i="9"/>
  <c r="U80" i="9"/>
  <c r="U48" i="9"/>
  <c r="U255" i="9"/>
  <c r="U223" i="9"/>
  <c r="U191" i="9"/>
  <c r="U159" i="9"/>
  <c r="U127" i="9"/>
  <c r="U95" i="9"/>
  <c r="U31" i="9"/>
  <c r="U286" i="9"/>
  <c r="U254" i="9"/>
  <c r="U222" i="9"/>
  <c r="U190" i="9"/>
  <c r="U158" i="9"/>
  <c r="U126" i="9"/>
  <c r="U94" i="9"/>
  <c r="U62" i="9"/>
  <c r="U30" i="9"/>
  <c r="U297" i="9"/>
  <c r="U265" i="9"/>
  <c r="U233" i="9"/>
  <c r="U201" i="9"/>
  <c r="U169" i="9"/>
  <c r="U137" i="9"/>
  <c r="U105" i="9"/>
  <c r="U69" i="9"/>
  <c r="U37" i="9"/>
  <c r="U5" i="9"/>
  <c r="U272" i="9"/>
  <c r="U240" i="9"/>
  <c r="U208" i="9"/>
  <c r="U176" i="9"/>
  <c r="U140" i="9"/>
  <c r="U108" i="9"/>
  <c r="U76" i="9"/>
  <c r="U44" i="9"/>
  <c r="U12" i="9"/>
  <c r="U283" i="9"/>
  <c r="U251" i="9"/>
  <c r="U219" i="9"/>
  <c r="U187" i="9"/>
  <c r="U155" i="9"/>
  <c r="U123" i="9"/>
  <c r="U91" i="9"/>
  <c r="U59" i="9"/>
  <c r="U27" i="9"/>
  <c r="U258" i="9"/>
  <c r="U282" i="9"/>
  <c r="U250" i="9"/>
  <c r="U218" i="9"/>
  <c r="U186" i="9"/>
  <c r="U154" i="9"/>
  <c r="U122" i="9"/>
  <c r="U90" i="9"/>
  <c r="U58" i="9"/>
  <c r="U26" i="9"/>
  <c r="U293" i="9"/>
  <c r="U261" i="9"/>
  <c r="U229" i="9"/>
  <c r="U197" i="9"/>
  <c r="U165" i="9"/>
  <c r="U133" i="9"/>
  <c r="U97" i="9"/>
  <c r="U65" i="9"/>
  <c r="U33" i="9"/>
  <c r="U300" i="9"/>
  <c r="U268" i="9"/>
  <c r="U236" i="9"/>
  <c r="U204" i="9"/>
  <c r="U168" i="9"/>
  <c r="U136" i="9"/>
  <c r="U104" i="9"/>
  <c r="U72" i="9"/>
  <c r="U40" i="9"/>
  <c r="U8" i="9"/>
  <c r="U279" i="9"/>
  <c r="U247" i="9"/>
  <c r="U215" i="9"/>
  <c r="U183" i="9"/>
  <c r="U151" i="9"/>
  <c r="U119" i="9"/>
  <c r="U87" i="9"/>
  <c r="U55" i="9"/>
  <c r="U23" i="9"/>
  <c r="U73" i="9"/>
  <c r="U63" i="9"/>
  <c r="U101" i="9"/>
  <c r="U278" i="9"/>
  <c r="U246" i="9"/>
  <c r="U214" i="9"/>
  <c r="U182" i="9"/>
  <c r="U150" i="9"/>
  <c r="U118" i="9"/>
  <c r="U86" i="9"/>
  <c r="U54" i="9"/>
  <c r="U22" i="9"/>
  <c r="U289" i="9"/>
  <c r="U257" i="9"/>
  <c r="U225" i="9"/>
  <c r="U193" i="9"/>
  <c r="U161" i="9"/>
  <c r="U129" i="9"/>
  <c r="U93" i="9"/>
  <c r="U61" i="9"/>
  <c r="U29" i="9"/>
  <c r="U296" i="9"/>
  <c r="U264" i="9"/>
  <c r="U232" i="9"/>
  <c r="U200" i="9"/>
  <c r="U164" i="9"/>
  <c r="U132" i="9"/>
  <c r="U100" i="9"/>
  <c r="U68" i="9"/>
  <c r="U36" i="9"/>
  <c r="U4" i="9"/>
  <c r="U275" i="9"/>
  <c r="U243" i="9"/>
  <c r="U211" i="9"/>
  <c r="U179" i="9"/>
  <c r="U147" i="9"/>
  <c r="U115" i="9"/>
  <c r="U83" i="9"/>
  <c r="U51" i="9"/>
  <c r="U19" i="9"/>
  <c r="U16" i="9"/>
  <c r="U2" i="9"/>
  <c r="U274" i="9"/>
  <c r="U242" i="9"/>
  <c r="U210" i="9"/>
  <c r="U178" i="9"/>
  <c r="U146" i="9"/>
  <c r="U114" i="9"/>
  <c r="U82" i="9"/>
  <c r="U50" i="9"/>
  <c r="U18" i="9"/>
  <c r="U285" i="9"/>
  <c r="U253" i="9"/>
  <c r="U221" i="9"/>
  <c r="U189" i="9"/>
  <c r="U157" i="9"/>
  <c r="U125" i="9"/>
  <c r="U89" i="9"/>
  <c r="U57" i="9"/>
  <c r="U25" i="9"/>
  <c r="U292" i="9"/>
  <c r="U260" i="9"/>
  <c r="U228" i="9"/>
  <c r="U196" i="9"/>
  <c r="U160" i="9"/>
  <c r="U128" i="9"/>
  <c r="U96" i="9"/>
  <c r="U64" i="9"/>
  <c r="U32" i="9"/>
  <c r="U303" i="9"/>
  <c r="U271" i="9"/>
  <c r="U239" i="9"/>
  <c r="U207" i="9"/>
  <c r="U175" i="9"/>
  <c r="U143" i="9"/>
  <c r="U111" i="9"/>
  <c r="U79" i="9"/>
  <c r="U47" i="9"/>
  <c r="U15" i="9"/>
  <c r="U302" i="9"/>
  <c r="U270" i="9"/>
  <c r="U238" i="9"/>
  <c r="U206" i="9"/>
  <c r="U174" i="9"/>
  <c r="U142" i="9"/>
  <c r="U110" i="9"/>
  <c r="U78" i="9"/>
  <c r="U46" i="9"/>
  <c r="U14" i="9"/>
  <c r="U281" i="9"/>
  <c r="U249" i="9"/>
  <c r="U217" i="9"/>
  <c r="U185" i="9"/>
  <c r="U153" i="9"/>
  <c r="U121" i="9"/>
  <c r="U85" i="9"/>
  <c r="U53" i="9"/>
  <c r="U21" i="9"/>
  <c r="U288" i="9"/>
  <c r="U256" i="9"/>
  <c r="U224" i="9"/>
  <c r="U192" i="9"/>
  <c r="U156" i="9"/>
  <c r="U124" i="9"/>
  <c r="U92" i="9"/>
  <c r="U60" i="9"/>
  <c r="U28" i="9"/>
  <c r="U299" i="9"/>
  <c r="U267" i="9"/>
  <c r="U235" i="9"/>
  <c r="U203" i="9"/>
  <c r="U171" i="9"/>
  <c r="U139" i="9"/>
  <c r="U107" i="9"/>
  <c r="U75" i="9"/>
  <c r="U43" i="9"/>
  <c r="U11" i="9"/>
  <c r="U141" i="9"/>
  <c r="U287" i="9"/>
  <c r="U298" i="9"/>
  <c r="U266" i="9"/>
  <c r="U234" i="9"/>
  <c r="U202" i="9"/>
  <c r="U170" i="9"/>
  <c r="U138" i="9"/>
  <c r="U106" i="9"/>
  <c r="U74" i="9"/>
  <c r="U42" i="9"/>
  <c r="U10" i="9"/>
  <c r="U277" i="9"/>
  <c r="U245" i="9"/>
  <c r="U213" i="9"/>
  <c r="U181" i="9"/>
  <c r="U149" i="9"/>
  <c r="U117" i="9"/>
  <c r="U81" i="9"/>
  <c r="U49" i="9"/>
  <c r="U17" i="9"/>
  <c r="U284" i="9"/>
  <c r="U252" i="9"/>
  <c r="U220" i="9"/>
  <c r="U188" i="9"/>
  <c r="U152" i="9"/>
  <c r="U120" i="9"/>
  <c r="U88" i="9"/>
  <c r="U56" i="9"/>
  <c r="U24" i="9"/>
  <c r="U295" i="9"/>
  <c r="U263" i="9"/>
  <c r="U231" i="9"/>
  <c r="U199" i="9"/>
  <c r="U167" i="9"/>
  <c r="U135" i="9"/>
  <c r="U103" i="9"/>
  <c r="U71" i="9"/>
  <c r="U39" i="9"/>
  <c r="U7" i="9"/>
  <c r="U226" i="9"/>
  <c r="U294" i="9"/>
  <c r="U262" i="9"/>
  <c r="U230" i="9"/>
  <c r="U198" i="9"/>
  <c r="U166" i="9"/>
  <c r="U134" i="9"/>
  <c r="U102" i="9"/>
  <c r="U70" i="9"/>
  <c r="U38" i="9"/>
  <c r="U6" i="9"/>
  <c r="U273" i="9"/>
  <c r="U241" i="9"/>
  <c r="U209" i="9"/>
  <c r="U177" i="9"/>
  <c r="U145" i="9"/>
  <c r="U113" i="9"/>
  <c r="U77" i="9"/>
  <c r="U45" i="9"/>
  <c r="U13" i="9"/>
  <c r="U280" i="9"/>
  <c r="U248" i="9"/>
  <c r="U216" i="9"/>
  <c r="U184" i="9"/>
  <c r="U148" i="9"/>
  <c r="U116" i="9"/>
  <c r="U84" i="9"/>
  <c r="U52" i="9"/>
  <c r="U20" i="9"/>
  <c r="U291" i="9"/>
  <c r="U259" i="9"/>
  <c r="U227" i="9"/>
  <c r="U195" i="9"/>
  <c r="U163" i="9"/>
  <c r="U131" i="9"/>
  <c r="U99" i="9"/>
  <c r="U67" i="9"/>
  <c r="U35" i="9"/>
  <c r="U3" i="9"/>
  <c r="T153" i="8"/>
  <c r="T145" i="8"/>
  <c r="T134" i="8"/>
  <c r="T125" i="8"/>
  <c r="T116" i="8"/>
  <c r="T107" i="8"/>
  <c r="T98" i="8"/>
  <c r="T89" i="8"/>
  <c r="T80" i="8"/>
  <c r="T72" i="8"/>
  <c r="T63" i="8"/>
  <c r="T55" i="8"/>
  <c r="T44" i="8"/>
  <c r="T36" i="8"/>
  <c r="T14" i="8"/>
  <c r="T22" i="8"/>
  <c r="T5" i="8"/>
  <c r="P150" i="8"/>
  <c r="P11" i="8"/>
  <c r="P142" i="8"/>
  <c r="T152" i="8"/>
  <c r="T144" i="8"/>
  <c r="T133" i="8"/>
  <c r="T124" i="8"/>
  <c r="T115" i="8"/>
  <c r="T106" i="8"/>
  <c r="T97" i="8"/>
  <c r="T87" i="8"/>
  <c r="T79" i="8"/>
  <c r="T70" i="8"/>
  <c r="T62" i="8"/>
  <c r="T53" i="8"/>
  <c r="T43" i="8"/>
  <c r="T151" i="8"/>
  <c r="T143" i="8"/>
  <c r="T132" i="8"/>
  <c r="T123" i="8"/>
  <c r="T113" i="8"/>
  <c r="T105" i="8"/>
  <c r="T96" i="8"/>
  <c r="T86" i="8"/>
  <c r="T78" i="8"/>
  <c r="T69" i="8"/>
  <c r="T61" i="8"/>
  <c r="T51" i="8"/>
  <c r="T42" i="8"/>
  <c r="T34" i="8"/>
  <c r="T16" i="8"/>
  <c r="T24" i="8"/>
  <c r="T7" i="8"/>
  <c r="P152" i="8"/>
  <c r="P129" i="8"/>
  <c r="T150" i="8"/>
  <c r="T140" i="8"/>
  <c r="T130" i="8"/>
  <c r="T121" i="8"/>
  <c r="T112" i="8"/>
  <c r="T104" i="8"/>
  <c r="T95" i="8"/>
  <c r="T85" i="8"/>
  <c r="T77" i="8"/>
  <c r="T68" i="8"/>
  <c r="T60" i="8"/>
  <c r="T50" i="8"/>
  <c r="T41" i="8"/>
  <c r="T32" i="8"/>
  <c r="T17" i="8"/>
  <c r="T25" i="8"/>
  <c r="T8" i="8"/>
  <c r="P149" i="8"/>
  <c r="P113" i="8"/>
  <c r="P86" i="8"/>
  <c r="T149" i="8"/>
  <c r="T139" i="8"/>
  <c r="T129" i="8"/>
  <c r="T120" i="8"/>
  <c r="T111" i="8"/>
  <c r="T103" i="8"/>
  <c r="T94" i="8"/>
  <c r="T84" i="8"/>
  <c r="T76" i="8"/>
  <c r="T67" i="8"/>
  <c r="T59" i="8"/>
  <c r="T49" i="8"/>
  <c r="T40" i="8"/>
  <c r="T31" i="8"/>
  <c r="T18" i="8"/>
  <c r="T26" i="8"/>
  <c r="T9" i="8"/>
  <c r="P154" i="8"/>
  <c r="P146" i="8"/>
  <c r="T11" i="8"/>
  <c r="T142" i="8"/>
  <c r="T148" i="8"/>
  <c r="T138" i="8"/>
  <c r="T128" i="8"/>
  <c r="T119" i="8"/>
  <c r="T110" i="8"/>
  <c r="T102" i="8"/>
  <c r="T93" i="8"/>
  <c r="T83" i="8"/>
  <c r="T75" i="8"/>
  <c r="T66" i="8"/>
  <c r="T58" i="8"/>
  <c r="T48" i="8"/>
  <c r="T39" i="8"/>
  <c r="T30" i="8"/>
  <c r="T19" i="8"/>
  <c r="T27" i="8"/>
  <c r="T10" i="8"/>
  <c r="P151" i="8"/>
  <c r="P124" i="8"/>
  <c r="P49" i="8"/>
  <c r="T147" i="8"/>
  <c r="T136" i="8"/>
  <c r="T127" i="8"/>
  <c r="T118" i="8"/>
  <c r="T109" i="8"/>
  <c r="T100" i="8"/>
  <c r="T92" i="8"/>
  <c r="T82" i="8"/>
  <c r="T74" i="8"/>
  <c r="T65" i="8"/>
  <c r="T57" i="8"/>
  <c r="T46" i="8"/>
  <c r="T38" i="8"/>
  <c r="T29" i="8"/>
  <c r="T20" i="8"/>
  <c r="T12" i="8"/>
  <c r="P148" i="8"/>
  <c r="T126" i="8"/>
  <c r="T56" i="8"/>
  <c r="T4" i="8"/>
  <c r="P48" i="8"/>
  <c r="T117" i="8"/>
  <c r="T45" i="8"/>
  <c r="T6" i="8"/>
  <c r="N401" i="10"/>
  <c r="N403" i="10"/>
  <c r="N405" i="10"/>
  <c r="N407" i="10"/>
  <c r="N409" i="10"/>
  <c r="N411" i="10"/>
  <c r="N413" i="10"/>
  <c r="N415" i="10"/>
  <c r="N417" i="10"/>
  <c r="N419" i="10"/>
  <c r="N421" i="10"/>
  <c r="N423" i="10"/>
  <c r="N425" i="10"/>
  <c r="N427" i="10"/>
  <c r="T108" i="8"/>
  <c r="T37" i="8"/>
  <c r="P153" i="8"/>
  <c r="P130" i="8"/>
  <c r="N430" i="10"/>
  <c r="N432" i="10"/>
  <c r="N434" i="10"/>
  <c r="N436" i="10"/>
  <c r="N438" i="10"/>
  <c r="N440" i="10"/>
  <c r="N442" i="10"/>
  <c r="N444" i="10"/>
  <c r="N446" i="10"/>
  <c r="N448" i="10"/>
  <c r="N450" i="10"/>
  <c r="T99" i="8"/>
  <c r="T35" i="8"/>
  <c r="P87" i="8"/>
  <c r="T90" i="8"/>
  <c r="T13" i="8"/>
  <c r="T154" i="8"/>
  <c r="T81" i="8"/>
  <c r="T15" i="8"/>
  <c r="N402" i="10"/>
  <c r="N404" i="10"/>
  <c r="N406" i="10"/>
  <c r="N408" i="10"/>
  <c r="N410" i="10"/>
  <c r="N412" i="10"/>
  <c r="N414" i="10"/>
  <c r="N416" i="10"/>
  <c r="N418" i="10"/>
  <c r="N420" i="10"/>
  <c r="N422" i="10"/>
  <c r="N424" i="10"/>
  <c r="N426" i="10"/>
  <c r="N428" i="10"/>
  <c r="T146" i="8"/>
  <c r="T73" i="8"/>
  <c r="T21" i="8"/>
  <c r="N431" i="10"/>
  <c r="N433" i="10"/>
  <c r="N435" i="10"/>
  <c r="N437" i="10"/>
  <c r="N439" i="10"/>
  <c r="N441" i="10"/>
  <c r="N443" i="10"/>
  <c r="N445" i="10"/>
  <c r="N447" i="10"/>
  <c r="N449" i="10"/>
  <c r="N451" i="10"/>
  <c r="N453" i="10"/>
  <c r="N455" i="10"/>
  <c r="N457" i="10"/>
  <c r="N459" i="10"/>
  <c r="P147" i="8"/>
  <c r="N458" i="10"/>
  <c r="N456" i="10"/>
  <c r="N461" i="10"/>
  <c r="N463" i="10"/>
  <c r="N465" i="10"/>
  <c r="N467" i="10"/>
  <c r="N469" i="10"/>
  <c r="N471" i="10"/>
  <c r="N473" i="10"/>
  <c r="N475" i="10"/>
  <c r="N477" i="10"/>
  <c r="N479" i="10"/>
  <c r="N481" i="10"/>
  <c r="N483" i="10"/>
  <c r="N485" i="10"/>
  <c r="N487" i="10"/>
  <c r="N489" i="10"/>
  <c r="N491" i="10"/>
  <c r="N493" i="10"/>
  <c r="N495" i="10"/>
  <c r="N497" i="10"/>
  <c r="N499" i="10"/>
  <c r="N501" i="10"/>
  <c r="N503" i="10"/>
  <c r="N505" i="10"/>
  <c r="N507" i="10"/>
  <c r="N509" i="10"/>
  <c r="N511" i="10"/>
  <c r="N513" i="10"/>
  <c r="N386" i="10"/>
  <c r="N388" i="10"/>
  <c r="N390" i="10"/>
  <c r="N392" i="10"/>
  <c r="T135" i="8"/>
  <c r="T64" i="8"/>
  <c r="N454" i="10"/>
  <c r="T23" i="8"/>
  <c r="N452" i="10"/>
  <c r="N460" i="10"/>
  <c r="N462" i="10"/>
  <c r="N464" i="10"/>
  <c r="N466" i="10"/>
  <c r="N468" i="10"/>
  <c r="N470" i="10"/>
  <c r="N472" i="10"/>
  <c r="N474" i="10"/>
  <c r="N476" i="10"/>
  <c r="N478" i="10"/>
  <c r="N480" i="10"/>
  <c r="N482" i="10"/>
  <c r="N488" i="10"/>
  <c r="N490" i="10"/>
  <c r="N492" i="10"/>
  <c r="N494" i="10"/>
  <c r="N496" i="10"/>
  <c r="N498" i="10"/>
  <c r="N500" i="10"/>
  <c r="N502" i="10"/>
  <c r="N393" i="10"/>
  <c r="N395" i="10"/>
  <c r="N397" i="10"/>
  <c r="N399" i="10"/>
  <c r="N380" i="10"/>
  <c r="N346" i="10"/>
  <c r="N348" i="10"/>
  <c r="N350" i="10"/>
  <c r="N352" i="10"/>
  <c r="N354" i="10"/>
  <c r="N356" i="10"/>
  <c r="N358" i="10"/>
  <c r="N360" i="10"/>
  <c r="N362" i="10"/>
  <c r="N364" i="10"/>
  <c r="N366" i="10"/>
  <c r="N368" i="10"/>
  <c r="N506" i="10"/>
  <c r="N486" i="10"/>
  <c r="N508" i="10"/>
  <c r="N512" i="10"/>
  <c r="N387" i="10"/>
  <c r="N391" i="10"/>
  <c r="N394" i="10"/>
  <c r="N396" i="10"/>
  <c r="N398" i="10"/>
  <c r="N383" i="10"/>
  <c r="N381" i="10"/>
  <c r="N345" i="10"/>
  <c r="N347" i="10"/>
  <c r="N349" i="10"/>
  <c r="N351" i="10"/>
  <c r="N353" i="10"/>
  <c r="N355" i="10"/>
  <c r="N357" i="10"/>
  <c r="N359" i="10"/>
  <c r="N361" i="10"/>
  <c r="N363" i="10"/>
  <c r="N365" i="10"/>
  <c r="N367" i="10"/>
  <c r="N369" i="10"/>
  <c r="N484" i="10"/>
  <c r="N372" i="10"/>
  <c r="N341" i="10"/>
  <c r="N504" i="10"/>
  <c r="N344" i="10"/>
  <c r="N342" i="10"/>
  <c r="N320" i="10"/>
  <c r="N321" i="10"/>
  <c r="N322" i="10"/>
  <c r="N323" i="10"/>
  <c r="N324" i="10"/>
  <c r="N325" i="10"/>
  <c r="N326" i="10"/>
  <c r="N327" i="10"/>
  <c r="N328" i="10"/>
  <c r="N329" i="10"/>
  <c r="N330" i="10"/>
  <c r="N331" i="10"/>
  <c r="N332" i="10"/>
  <c r="N333" i="10"/>
  <c r="N334" i="10"/>
  <c r="N335" i="10"/>
  <c r="N336" i="10"/>
  <c r="N337" i="10"/>
  <c r="N338" i="10"/>
  <c r="N339" i="10"/>
  <c r="N340" i="10"/>
  <c r="N384" i="10"/>
  <c r="N376" i="10"/>
  <c r="N373" i="10"/>
  <c r="N371" i="10"/>
  <c r="N389" i="10"/>
  <c r="N374" i="10"/>
  <c r="N377" i="10"/>
  <c r="N378" i="10"/>
  <c r="N514" i="10"/>
  <c r="N375" i="10"/>
  <c r="N510" i="10"/>
  <c r="N379" i="10"/>
  <c r="I153" i="8"/>
  <c r="I142" i="8"/>
  <c r="I11" i="8"/>
  <c r="I147" i="8"/>
  <c r="I152" i="8"/>
  <c r="I130" i="8"/>
  <c r="I87" i="8"/>
  <c r="I149" i="8"/>
  <c r="I113" i="8"/>
  <c r="I48" i="8"/>
  <c r="I154" i="8"/>
  <c r="I146" i="8"/>
  <c r="I151" i="8"/>
  <c r="I129" i="8"/>
  <c r="I86" i="8"/>
  <c r="H431" i="10"/>
  <c r="H433" i="10"/>
  <c r="H435" i="10"/>
  <c r="H437" i="10"/>
  <c r="H439" i="10"/>
  <c r="I124" i="8"/>
  <c r="I150" i="8"/>
  <c r="H401" i="10"/>
  <c r="H403" i="10"/>
  <c r="H405" i="10"/>
  <c r="H407" i="10"/>
  <c r="H409" i="10"/>
  <c r="H411" i="10"/>
  <c r="H413" i="10"/>
  <c r="H415" i="10"/>
  <c r="H417" i="10"/>
  <c r="H419" i="10"/>
  <c r="H421" i="10"/>
  <c r="H423" i="10"/>
  <c r="H425" i="10"/>
  <c r="H427" i="10"/>
  <c r="I148" i="8"/>
  <c r="I49" i="8"/>
  <c r="H430" i="10"/>
  <c r="H432" i="10"/>
  <c r="H434" i="10"/>
  <c r="H436" i="10"/>
  <c r="H438" i="10"/>
  <c r="H440" i="10"/>
  <c r="H442" i="10"/>
  <c r="H444" i="10"/>
  <c r="H446" i="10"/>
  <c r="H448" i="10"/>
  <c r="T448" i="10" s="1"/>
  <c r="H450" i="10"/>
  <c r="H414" i="10"/>
  <c r="H457" i="10"/>
  <c r="H416" i="10"/>
  <c r="H452" i="10"/>
  <c r="H460" i="10"/>
  <c r="H462" i="10"/>
  <c r="H464" i="10"/>
  <c r="H466" i="10"/>
  <c r="H468" i="10"/>
  <c r="H470" i="10"/>
  <c r="T470" i="10" s="1"/>
  <c r="H472" i="10"/>
  <c r="H474" i="10"/>
  <c r="H476" i="10"/>
  <c r="H478" i="10"/>
  <c r="H480" i="10"/>
  <c r="H482" i="10"/>
  <c r="H402" i="10"/>
  <c r="H418" i="10"/>
  <c r="H455" i="10"/>
  <c r="H404" i="10"/>
  <c r="H420" i="10"/>
  <c r="H458" i="10"/>
  <c r="H406" i="10"/>
  <c r="T406" i="10" s="1"/>
  <c r="H422" i="10"/>
  <c r="H445" i="10"/>
  <c r="H453" i="10"/>
  <c r="T453" i="10" s="1"/>
  <c r="H408" i="10"/>
  <c r="H424" i="10"/>
  <c r="H443" i="10"/>
  <c r="H447" i="10"/>
  <c r="T447" i="10" s="1"/>
  <c r="H456" i="10"/>
  <c r="T456" i="10" s="1"/>
  <c r="H461" i="10"/>
  <c r="T461" i="10" s="1"/>
  <c r="H463" i="10"/>
  <c r="T463" i="10" s="1"/>
  <c r="H465" i="10"/>
  <c r="T465" i="10" s="1"/>
  <c r="H467" i="10"/>
  <c r="T467" i="10" s="1"/>
  <c r="H469" i="10"/>
  <c r="T469" i="10" s="1"/>
  <c r="H471" i="10"/>
  <c r="T471" i="10" s="1"/>
  <c r="H473" i="10"/>
  <c r="T473" i="10" s="1"/>
  <c r="H475" i="10"/>
  <c r="T475" i="10" s="1"/>
  <c r="H477" i="10"/>
  <c r="T477" i="10" s="1"/>
  <c r="H479" i="10"/>
  <c r="T479" i="10" s="1"/>
  <c r="H481" i="10"/>
  <c r="T481" i="10" s="1"/>
  <c r="H483" i="10"/>
  <c r="T483" i="10" s="1"/>
  <c r="H485" i="10"/>
  <c r="T485" i="10" s="1"/>
  <c r="H487" i="10"/>
  <c r="T487" i="10" s="1"/>
  <c r="H410" i="10"/>
  <c r="T410" i="10" s="1"/>
  <c r="H426" i="10"/>
  <c r="H441" i="10"/>
  <c r="T441" i="10" s="1"/>
  <c r="H449" i="10"/>
  <c r="H459" i="10"/>
  <c r="H507" i="10"/>
  <c r="H384" i="10"/>
  <c r="T384" i="10" s="1"/>
  <c r="H372" i="10"/>
  <c r="H451" i="10"/>
  <c r="H508" i="10"/>
  <c r="T508" i="10" s="1"/>
  <c r="H512" i="10"/>
  <c r="H387" i="10"/>
  <c r="H391" i="10"/>
  <c r="H394" i="10"/>
  <c r="H396" i="10"/>
  <c r="H398" i="10"/>
  <c r="H489" i="10"/>
  <c r="T489" i="10" s="1"/>
  <c r="H490" i="10"/>
  <c r="H491" i="10"/>
  <c r="H492" i="10"/>
  <c r="H493" i="10"/>
  <c r="H494" i="10"/>
  <c r="T494" i="10" s="1"/>
  <c r="H495" i="10"/>
  <c r="H496" i="10"/>
  <c r="H497" i="10"/>
  <c r="H498" i="10"/>
  <c r="H499" i="10"/>
  <c r="T499" i="10" s="1"/>
  <c r="H500" i="10"/>
  <c r="H501" i="10"/>
  <c r="H502" i="10"/>
  <c r="H509" i="10"/>
  <c r="H513" i="10"/>
  <c r="H388" i="10"/>
  <c r="H392" i="10"/>
  <c r="H412" i="10"/>
  <c r="H503" i="10"/>
  <c r="H373" i="10"/>
  <c r="H375" i="10"/>
  <c r="H377" i="10"/>
  <c r="H488" i="10"/>
  <c r="H504" i="10"/>
  <c r="H510" i="10"/>
  <c r="H514" i="10"/>
  <c r="H389" i="10"/>
  <c r="H393" i="10"/>
  <c r="H395" i="10"/>
  <c r="H397" i="10"/>
  <c r="H399" i="10"/>
  <c r="H383" i="10"/>
  <c r="H454" i="10"/>
  <c r="H505" i="10"/>
  <c r="H428" i="10"/>
  <c r="H484" i="10"/>
  <c r="T484" i="10" s="1"/>
  <c r="H506" i="10"/>
  <c r="H511" i="10"/>
  <c r="T511" i="10" s="1"/>
  <c r="H386" i="10"/>
  <c r="H390" i="10"/>
  <c r="H380" i="10"/>
  <c r="H371" i="10"/>
  <c r="H321" i="10"/>
  <c r="H329" i="10"/>
  <c r="H337" i="10"/>
  <c r="H340" i="10"/>
  <c r="T340" i="10" s="1"/>
  <c r="H362" i="10"/>
  <c r="T362" i="10" s="1"/>
  <c r="H376" i="10"/>
  <c r="H378" i="10"/>
  <c r="T378" i="10" s="1"/>
  <c r="H347" i="10"/>
  <c r="H351" i="10"/>
  <c r="H355" i="10"/>
  <c r="T355" i="10" s="1"/>
  <c r="H359" i="10"/>
  <c r="T359" i="10" s="1"/>
  <c r="H363" i="10"/>
  <c r="H367" i="10"/>
  <c r="H322" i="10"/>
  <c r="T322" i="10" s="1"/>
  <c r="H330" i="10"/>
  <c r="H338" i="10"/>
  <c r="H323" i="10"/>
  <c r="H339" i="10"/>
  <c r="T339" i="10" s="1"/>
  <c r="H333" i="10"/>
  <c r="H358" i="10"/>
  <c r="T358" i="10" s="1"/>
  <c r="H366" i="10"/>
  <c r="T366" i="10" s="1"/>
  <c r="H336" i="10"/>
  <c r="H374" i="10"/>
  <c r="T374" i="10" s="1"/>
  <c r="H379" i="10"/>
  <c r="H381" i="10"/>
  <c r="H331" i="10"/>
  <c r="T331" i="10" s="1"/>
  <c r="H332" i="10"/>
  <c r="T332" i="10" s="1"/>
  <c r="H354" i="10"/>
  <c r="T354" i="10" s="1"/>
  <c r="H328" i="10"/>
  <c r="T328" i="10" s="1"/>
  <c r="H348" i="10"/>
  <c r="T348" i="10" s="1"/>
  <c r="H352" i="10"/>
  <c r="H356" i="10"/>
  <c r="H360" i="10"/>
  <c r="H364" i="10"/>
  <c r="H368" i="10"/>
  <c r="H324" i="10"/>
  <c r="T324" i="10" s="1"/>
  <c r="H325" i="10"/>
  <c r="H341" i="10"/>
  <c r="T341" i="10" s="1"/>
  <c r="H335" i="10"/>
  <c r="H350" i="10"/>
  <c r="T350" i="10" s="1"/>
  <c r="H320" i="10"/>
  <c r="H486" i="10"/>
  <c r="T486" i="10" s="1"/>
  <c r="H345" i="10"/>
  <c r="H349" i="10"/>
  <c r="H353" i="10"/>
  <c r="H357" i="10"/>
  <c r="H361" i="10"/>
  <c r="H365" i="10"/>
  <c r="H369" i="10"/>
  <c r="H326" i="10"/>
  <c r="H334" i="10"/>
  <c r="H342" i="10"/>
  <c r="H327" i="10"/>
  <c r="H344" i="10"/>
  <c r="H346" i="10"/>
  <c r="H81" i="10"/>
  <c r="H89" i="10"/>
  <c r="H97" i="10"/>
  <c r="H105" i="10"/>
  <c r="H113" i="10"/>
  <c r="H121" i="10"/>
  <c r="H129" i="10"/>
  <c r="H137" i="10"/>
  <c r="H145" i="10"/>
  <c r="H153" i="10"/>
  <c r="H84" i="10"/>
  <c r="H92" i="10"/>
  <c r="H100" i="10"/>
  <c r="H108" i="10"/>
  <c r="H116" i="10"/>
  <c r="H124" i="10"/>
  <c r="H132" i="10"/>
  <c r="H140" i="10"/>
  <c r="H148" i="10"/>
  <c r="H77" i="10"/>
  <c r="H85" i="10"/>
  <c r="H93" i="10"/>
  <c r="H101" i="10"/>
  <c r="H109" i="10"/>
  <c r="H117" i="10"/>
  <c r="H125" i="10"/>
  <c r="H80" i="10"/>
  <c r="H88" i="10"/>
  <c r="H96" i="10"/>
  <c r="H104" i="10"/>
  <c r="H112" i="10"/>
  <c r="H120" i="10"/>
  <c r="H83" i="10"/>
  <c r="H91" i="10"/>
  <c r="H99" i="10"/>
  <c r="H107" i="10"/>
  <c r="H115" i="10"/>
  <c r="H134" i="10"/>
  <c r="H142" i="10"/>
  <c r="H150" i="10"/>
  <c r="H158" i="10"/>
  <c r="H136" i="10"/>
  <c r="H144" i="10"/>
  <c r="H152" i="10"/>
  <c r="H159" i="10"/>
  <c r="H161" i="10"/>
  <c r="H163" i="10"/>
  <c r="H165" i="10"/>
  <c r="H167" i="10"/>
  <c r="H169" i="10"/>
  <c r="H171" i="10"/>
  <c r="H173" i="10"/>
  <c r="H175" i="10"/>
  <c r="H177" i="10"/>
  <c r="H179" i="10"/>
  <c r="H126" i="10"/>
  <c r="H138" i="10"/>
  <c r="H146" i="10"/>
  <c r="H79" i="10"/>
  <c r="H87" i="10"/>
  <c r="H95" i="10"/>
  <c r="H103" i="10"/>
  <c r="H111" i="10"/>
  <c r="H119" i="10"/>
  <c r="H123" i="10"/>
  <c r="H127" i="10"/>
  <c r="H130" i="10"/>
  <c r="H131" i="10"/>
  <c r="H139" i="10"/>
  <c r="H78" i="10"/>
  <c r="H82" i="10"/>
  <c r="H86" i="10"/>
  <c r="H90" i="10"/>
  <c r="H94" i="10"/>
  <c r="H98" i="10"/>
  <c r="H102" i="10"/>
  <c r="H106" i="10"/>
  <c r="H110" i="10"/>
  <c r="H114" i="10"/>
  <c r="H118" i="10"/>
  <c r="H122" i="10"/>
  <c r="H128" i="10"/>
  <c r="H155" i="10"/>
  <c r="H166" i="10"/>
  <c r="H170" i="10"/>
  <c r="H185" i="10"/>
  <c r="H193" i="10"/>
  <c r="H201" i="10"/>
  <c r="H154" i="10"/>
  <c r="H164" i="10"/>
  <c r="H172" i="10"/>
  <c r="H180" i="10"/>
  <c r="H188" i="10"/>
  <c r="H196" i="10"/>
  <c r="H133" i="10"/>
  <c r="H162" i="10"/>
  <c r="H174" i="10"/>
  <c r="H183" i="10"/>
  <c r="H191" i="10"/>
  <c r="H199" i="10"/>
  <c r="H135" i="10"/>
  <c r="H149" i="10"/>
  <c r="H160" i="10"/>
  <c r="H176" i="10"/>
  <c r="H186" i="10"/>
  <c r="H194" i="10"/>
  <c r="H202" i="10"/>
  <c r="H204" i="10"/>
  <c r="H206" i="10"/>
  <c r="H208" i="10"/>
  <c r="H210" i="10"/>
  <c r="H212" i="10"/>
  <c r="H214" i="10"/>
  <c r="H216" i="10"/>
  <c r="H218" i="10"/>
  <c r="H220" i="10"/>
  <c r="H222" i="10"/>
  <c r="H224" i="10"/>
  <c r="H181" i="10"/>
  <c r="H189" i="10"/>
  <c r="H197" i="10"/>
  <c r="H141" i="10"/>
  <c r="H178" i="10"/>
  <c r="H184" i="10"/>
  <c r="H192" i="10"/>
  <c r="H200" i="10"/>
  <c r="H182" i="10"/>
  <c r="H190" i="10"/>
  <c r="H198" i="10"/>
  <c r="H217" i="10"/>
  <c r="H187" i="10"/>
  <c r="H195" i="10"/>
  <c r="H203" i="10"/>
  <c r="H215" i="10"/>
  <c r="H227" i="10"/>
  <c r="H231" i="10"/>
  <c r="H235" i="10"/>
  <c r="H156" i="10"/>
  <c r="H207" i="10"/>
  <c r="H213" i="10"/>
  <c r="H238" i="10"/>
  <c r="H240" i="10"/>
  <c r="H242" i="10"/>
  <c r="H244" i="10"/>
  <c r="H246" i="10"/>
  <c r="H248" i="10"/>
  <c r="H250" i="10"/>
  <c r="H252" i="10"/>
  <c r="H254" i="10"/>
  <c r="H256" i="10"/>
  <c r="H258" i="10"/>
  <c r="H260" i="10"/>
  <c r="H262" i="10"/>
  <c r="H264" i="10"/>
  <c r="H266" i="10"/>
  <c r="H268" i="10"/>
  <c r="H270" i="10"/>
  <c r="H228" i="10"/>
  <c r="H232" i="10"/>
  <c r="H236" i="10"/>
  <c r="H211" i="10"/>
  <c r="H143" i="10"/>
  <c r="H147" i="10"/>
  <c r="H151" i="10"/>
  <c r="H157" i="10"/>
  <c r="H168" i="10"/>
  <c r="H221" i="10"/>
  <c r="H229" i="10"/>
  <c r="H241" i="10"/>
  <c r="H259" i="10"/>
  <c r="H263" i="10"/>
  <c r="H271" i="10"/>
  <c r="H273" i="10"/>
  <c r="H275" i="10"/>
  <c r="H277" i="10"/>
  <c r="H279" i="10"/>
  <c r="H281" i="10"/>
  <c r="H283" i="10"/>
  <c r="H285" i="10"/>
  <c r="H287" i="10"/>
  <c r="H289" i="10"/>
  <c r="H291" i="10"/>
  <c r="H293" i="10"/>
  <c r="H295" i="10"/>
  <c r="H297" i="10"/>
  <c r="H299" i="10"/>
  <c r="H301" i="10"/>
  <c r="H303" i="10"/>
  <c r="H305" i="10"/>
  <c r="H307" i="10"/>
  <c r="H309" i="10"/>
  <c r="H311" i="10"/>
  <c r="H313" i="10"/>
  <c r="H315" i="10"/>
  <c r="H317" i="10"/>
  <c r="H319" i="10"/>
  <c r="H73" i="10"/>
  <c r="H18" i="10"/>
  <c r="H20" i="10"/>
  <c r="H22" i="10"/>
  <c r="H24" i="10"/>
  <c r="H26" i="10"/>
  <c r="H28" i="10"/>
  <c r="H30" i="10"/>
  <c r="H32" i="10"/>
  <c r="H34" i="10"/>
  <c r="H36" i="10"/>
  <c r="H38" i="10"/>
  <c r="H40" i="10"/>
  <c r="H42" i="10"/>
  <c r="H44" i="10"/>
  <c r="H46" i="10"/>
  <c r="H48" i="10"/>
  <c r="H50" i="10"/>
  <c r="H52" i="10"/>
  <c r="H54" i="10"/>
  <c r="H56" i="10"/>
  <c r="H58" i="10"/>
  <c r="H60" i="10"/>
  <c r="H226" i="10"/>
  <c r="H251" i="10"/>
  <c r="H257" i="10"/>
  <c r="H265" i="10"/>
  <c r="H223" i="10"/>
  <c r="H225" i="10"/>
  <c r="H234" i="10"/>
  <c r="H249" i="10"/>
  <c r="H269" i="10"/>
  <c r="H272" i="10"/>
  <c r="H274" i="10"/>
  <c r="H276" i="10"/>
  <c r="H278" i="10"/>
  <c r="H280" i="10"/>
  <c r="H282" i="10"/>
  <c r="H284" i="10"/>
  <c r="H286" i="10"/>
  <c r="H288" i="10"/>
  <c r="H290" i="10"/>
  <c r="H292" i="10"/>
  <c r="H294" i="10"/>
  <c r="H296" i="10"/>
  <c r="H298" i="10"/>
  <c r="H300" i="10"/>
  <c r="H302" i="10"/>
  <c r="H304" i="10"/>
  <c r="H306" i="10"/>
  <c r="H308" i="10"/>
  <c r="H310" i="10"/>
  <c r="H312" i="10"/>
  <c r="H314" i="10"/>
  <c r="H316" i="10"/>
  <c r="H318" i="10"/>
  <c r="H76" i="10"/>
  <c r="H19" i="10"/>
  <c r="H21" i="10"/>
  <c r="H23" i="10"/>
  <c r="H25" i="10"/>
  <c r="H27" i="10"/>
  <c r="H29" i="10"/>
  <c r="H31" i="10"/>
  <c r="H33" i="10"/>
  <c r="H35" i="10"/>
  <c r="H37" i="10"/>
  <c r="H230" i="10"/>
  <c r="H243" i="10"/>
  <c r="H219" i="10"/>
  <c r="H237" i="10"/>
  <c r="H253" i="10"/>
  <c r="H47" i="10"/>
  <c r="H62" i="10"/>
  <c r="H64" i="10"/>
  <c r="H66" i="10"/>
  <c r="I145" i="8"/>
  <c r="I143" i="8"/>
  <c r="I132" i="8"/>
  <c r="I118" i="8"/>
  <c r="I106" i="8"/>
  <c r="I93" i="8"/>
  <c r="I92" i="8"/>
  <c r="I78" i="8"/>
  <c r="I72" i="8"/>
  <c r="I63" i="8"/>
  <c r="I55" i="8"/>
  <c r="I39" i="8"/>
  <c r="I34" i="8"/>
  <c r="I7" i="8"/>
  <c r="I16" i="8"/>
  <c r="H209" i="10"/>
  <c r="H267" i="10"/>
  <c r="H41" i="10"/>
  <c r="H57" i="10"/>
  <c r="I144" i="8"/>
  <c r="I139" i="8"/>
  <c r="I128" i="8"/>
  <c r="I119" i="8"/>
  <c r="I107" i="8"/>
  <c r="I94" i="8"/>
  <c r="I90" i="8"/>
  <c r="I79" i="8"/>
  <c r="I56" i="8"/>
  <c r="I64" i="8"/>
  <c r="I53" i="8"/>
  <c r="I40" i="8"/>
  <c r="I30" i="8"/>
  <c r="I8" i="8"/>
  <c r="I17" i="8"/>
  <c r="H255" i="10"/>
  <c r="H233" i="10"/>
  <c r="H205" i="10"/>
  <c r="H261" i="10"/>
  <c r="H39" i="10"/>
  <c r="H55" i="10"/>
  <c r="H61" i="10"/>
  <c r="H63" i="10"/>
  <c r="H65" i="10"/>
  <c r="H67" i="10"/>
  <c r="I134" i="8"/>
  <c r="I127" i="8"/>
  <c r="I115" i="8"/>
  <c r="I110" i="8"/>
  <c r="I97" i="8"/>
  <c r="I74" i="8"/>
  <c r="I82" i="8"/>
  <c r="I59" i="8"/>
  <c r="I67" i="8"/>
  <c r="I35" i="8"/>
  <c r="I43" i="8"/>
  <c r="I29" i="8"/>
  <c r="I12" i="8"/>
  <c r="I20" i="8"/>
  <c r="H239" i="10"/>
  <c r="H49" i="10"/>
  <c r="I135" i="8"/>
  <c r="I123" i="8"/>
  <c r="I103" i="8"/>
  <c r="I111" i="8"/>
  <c r="I98" i="8"/>
  <c r="I75" i="8"/>
  <c r="I83" i="8"/>
  <c r="I60" i="8"/>
  <c r="I68" i="8"/>
  <c r="I36" i="8"/>
  <c r="I44" i="8"/>
  <c r="H245" i="10"/>
  <c r="H43" i="10"/>
  <c r="H59" i="10"/>
  <c r="I136" i="8"/>
  <c r="I116" i="8"/>
  <c r="I104" i="8"/>
  <c r="I112" i="8"/>
  <c r="I99" i="8"/>
  <c r="I76" i="8"/>
  <c r="I84" i="8"/>
  <c r="I61" i="8"/>
  <c r="I69" i="8"/>
  <c r="I37" i="8"/>
  <c r="I45" i="8"/>
  <c r="I5" i="8"/>
  <c r="I14" i="8"/>
  <c r="H247" i="10"/>
  <c r="I125" i="8"/>
  <c r="I102" i="8"/>
  <c r="I81" i="8"/>
  <c r="I51" i="8"/>
  <c r="I4" i="8"/>
  <c r="I21" i="8"/>
  <c r="H75" i="10"/>
  <c r="H7" i="10"/>
  <c r="H3" i="10"/>
  <c r="I117" i="8"/>
  <c r="I57" i="8"/>
  <c r="I9" i="8"/>
  <c r="H5" i="10"/>
  <c r="I70" i="8"/>
  <c r="H53" i="10"/>
  <c r="I126" i="8"/>
  <c r="I95" i="8"/>
  <c r="I85" i="8"/>
  <c r="I50" i="8"/>
  <c r="I6" i="8"/>
  <c r="I22" i="8"/>
  <c r="H11" i="10"/>
  <c r="H8" i="10"/>
  <c r="H45" i="10"/>
  <c r="I38" i="8"/>
  <c r="I23" i="8"/>
  <c r="H9" i="10"/>
  <c r="H72" i="10"/>
  <c r="I3" i="8"/>
  <c r="H15" i="10"/>
  <c r="I96" i="8"/>
  <c r="I138" i="8"/>
  <c r="I120" i="8"/>
  <c r="I100" i="8"/>
  <c r="I58" i="8"/>
  <c r="I41" i="8"/>
  <c r="I10" i="8"/>
  <c r="I24" i="8"/>
  <c r="H385" i="10"/>
  <c r="H69" i="10"/>
  <c r="H10" i="10"/>
  <c r="I108" i="8"/>
  <c r="I31" i="8"/>
  <c r="H14" i="10"/>
  <c r="I19" i="8"/>
  <c r="H51" i="10"/>
  <c r="I121" i="8"/>
  <c r="I89" i="8"/>
  <c r="I62" i="8"/>
  <c r="I42" i="8"/>
  <c r="I13" i="8"/>
  <c r="I25" i="8"/>
  <c r="H70" i="10"/>
  <c r="H16" i="10"/>
  <c r="H12" i="10"/>
  <c r="I133" i="8"/>
  <c r="I18" i="8"/>
  <c r="I27" i="8"/>
  <c r="I80" i="8"/>
  <c r="H74" i="10"/>
  <c r="I140" i="8"/>
  <c r="I105" i="8"/>
  <c r="I73" i="8"/>
  <c r="I65" i="8"/>
  <c r="I46" i="8"/>
  <c r="I15" i="8"/>
  <c r="I26" i="8"/>
  <c r="H71" i="10"/>
  <c r="H4" i="10"/>
  <c r="H13" i="10"/>
  <c r="I66" i="8"/>
  <c r="I109" i="8"/>
  <c r="H6" i="10"/>
  <c r="I77" i="8"/>
  <c r="I32" i="8"/>
  <c r="N156" i="10"/>
  <c r="N158" i="10"/>
  <c r="N77" i="10"/>
  <c r="N82" i="10"/>
  <c r="N85" i="10"/>
  <c r="N90" i="10"/>
  <c r="N93" i="10"/>
  <c r="N98" i="10"/>
  <c r="N101" i="10"/>
  <c r="N106" i="10"/>
  <c r="N109" i="10"/>
  <c r="N114" i="10"/>
  <c r="N117" i="10"/>
  <c r="N122" i="10"/>
  <c r="N125" i="10"/>
  <c r="N130" i="10"/>
  <c r="N133" i="10"/>
  <c r="N138" i="10"/>
  <c r="N141" i="10"/>
  <c r="N146" i="10"/>
  <c r="N149" i="10"/>
  <c r="N78" i="10"/>
  <c r="N81" i="10"/>
  <c r="N86" i="10"/>
  <c r="N89" i="10"/>
  <c r="N94" i="10"/>
  <c r="N97" i="10"/>
  <c r="N102" i="10"/>
  <c r="N105" i="10"/>
  <c r="N110" i="10"/>
  <c r="N113" i="10"/>
  <c r="N118" i="10"/>
  <c r="N121" i="10"/>
  <c r="N79" i="10"/>
  <c r="N83" i="10"/>
  <c r="N87" i="10"/>
  <c r="N91" i="10"/>
  <c r="N95" i="10"/>
  <c r="N99" i="10"/>
  <c r="N103" i="10"/>
  <c r="N107" i="10"/>
  <c r="N111" i="10"/>
  <c r="N115" i="10"/>
  <c r="N119" i="10"/>
  <c r="N137" i="10"/>
  <c r="N145" i="10"/>
  <c r="N153" i="10"/>
  <c r="N157" i="10"/>
  <c r="N132" i="10"/>
  <c r="N140" i="10"/>
  <c r="N148" i="10"/>
  <c r="N84" i="10"/>
  <c r="N92" i="10"/>
  <c r="N100" i="10"/>
  <c r="N108" i="10"/>
  <c r="N116" i="10"/>
  <c r="N134" i="10"/>
  <c r="N142" i="10"/>
  <c r="N150" i="10"/>
  <c r="N104" i="10"/>
  <c r="N123" i="10"/>
  <c r="N129" i="10"/>
  <c r="N177" i="10"/>
  <c r="N126" i="10"/>
  <c r="N143" i="10"/>
  <c r="N147" i="10"/>
  <c r="N181" i="10"/>
  <c r="N186" i="10"/>
  <c r="N189" i="10"/>
  <c r="N194" i="10"/>
  <c r="N197" i="10"/>
  <c r="N202" i="10"/>
  <c r="N204" i="10"/>
  <c r="N206" i="10"/>
  <c r="N208" i="10"/>
  <c r="N210" i="10"/>
  <c r="N212" i="10"/>
  <c r="N214" i="10"/>
  <c r="N216" i="10"/>
  <c r="N218" i="10"/>
  <c r="N220" i="10"/>
  <c r="N222" i="10"/>
  <c r="N224" i="10"/>
  <c r="N226" i="10"/>
  <c r="N228" i="10"/>
  <c r="N230" i="10"/>
  <c r="N232" i="10"/>
  <c r="N234" i="10"/>
  <c r="N80" i="10"/>
  <c r="N112" i="10"/>
  <c r="N131" i="10"/>
  <c r="N151" i="10"/>
  <c r="N178" i="10"/>
  <c r="N136" i="10"/>
  <c r="N167" i="10"/>
  <c r="N168" i="10"/>
  <c r="N179" i="10"/>
  <c r="N184" i="10"/>
  <c r="N187" i="10"/>
  <c r="N192" i="10"/>
  <c r="N195" i="10"/>
  <c r="N200" i="10"/>
  <c r="N88" i="10"/>
  <c r="N120" i="10"/>
  <c r="N128" i="10"/>
  <c r="N155" i="10"/>
  <c r="N165" i="10"/>
  <c r="N166" i="10"/>
  <c r="N169" i="10"/>
  <c r="N170" i="10"/>
  <c r="N139" i="10"/>
  <c r="N154" i="10"/>
  <c r="N163" i="10"/>
  <c r="N164" i="10"/>
  <c r="N171" i="10"/>
  <c r="N172" i="10"/>
  <c r="N182" i="10"/>
  <c r="N185" i="10"/>
  <c r="N190" i="10"/>
  <c r="N193" i="10"/>
  <c r="N198" i="10"/>
  <c r="N201" i="10"/>
  <c r="N203" i="10"/>
  <c r="N96" i="10"/>
  <c r="N159" i="10"/>
  <c r="N173" i="10"/>
  <c r="N176" i="10"/>
  <c r="N205" i="10"/>
  <c r="N236" i="10"/>
  <c r="N238" i="10"/>
  <c r="N240" i="10"/>
  <c r="N242" i="10"/>
  <c r="N244" i="10"/>
  <c r="N246" i="10"/>
  <c r="N248" i="10"/>
  <c r="N250" i="10"/>
  <c r="N252" i="10"/>
  <c r="N254" i="10"/>
  <c r="N256" i="10"/>
  <c r="N258" i="10"/>
  <c r="N260" i="10"/>
  <c r="N262" i="10"/>
  <c r="N264" i="10"/>
  <c r="N266" i="10"/>
  <c r="N268" i="10"/>
  <c r="N270" i="10"/>
  <c r="N127" i="10"/>
  <c r="N161" i="10"/>
  <c r="N183" i="10"/>
  <c r="N191" i="10"/>
  <c r="N199" i="10"/>
  <c r="N223" i="10"/>
  <c r="N180" i="10"/>
  <c r="N188" i="10"/>
  <c r="N196" i="10"/>
  <c r="N209" i="10"/>
  <c r="N221" i="10"/>
  <c r="N175" i="10"/>
  <c r="N219" i="10"/>
  <c r="N225" i="10"/>
  <c r="N229" i="10"/>
  <c r="N233" i="10"/>
  <c r="N135" i="10"/>
  <c r="N144" i="10"/>
  <c r="N152" i="10"/>
  <c r="N217" i="10"/>
  <c r="N237" i="10"/>
  <c r="N239" i="10"/>
  <c r="N241" i="10"/>
  <c r="N243" i="10"/>
  <c r="N245" i="10"/>
  <c r="N247" i="10"/>
  <c r="N249" i="10"/>
  <c r="N251" i="10"/>
  <c r="N253" i="10"/>
  <c r="N255" i="10"/>
  <c r="N160" i="10"/>
  <c r="N174" i="10"/>
  <c r="N124" i="10"/>
  <c r="N162" i="10"/>
  <c r="N213" i="10"/>
  <c r="N231" i="10"/>
  <c r="N269" i="10"/>
  <c r="N207" i="10"/>
  <c r="N211" i="10"/>
  <c r="N257" i="10"/>
  <c r="N263" i="10"/>
  <c r="N265" i="10"/>
  <c r="N267" i="10"/>
  <c r="N271" i="10"/>
  <c r="N273" i="10"/>
  <c r="N275" i="10"/>
  <c r="N277" i="10"/>
  <c r="N279" i="10"/>
  <c r="N281" i="10"/>
  <c r="N283" i="10"/>
  <c r="N285" i="10"/>
  <c r="N287" i="10"/>
  <c r="N289" i="10"/>
  <c r="N291" i="10"/>
  <c r="N293" i="10"/>
  <c r="N295" i="10"/>
  <c r="N297" i="10"/>
  <c r="N299" i="10"/>
  <c r="N301" i="10"/>
  <c r="N303" i="10"/>
  <c r="N305" i="10"/>
  <c r="N307" i="10"/>
  <c r="N309" i="10"/>
  <c r="N311" i="10"/>
  <c r="N313" i="10"/>
  <c r="N315" i="10"/>
  <c r="N317" i="10"/>
  <c r="N319" i="10"/>
  <c r="N215" i="10"/>
  <c r="N261" i="10"/>
  <c r="N32" i="10"/>
  <c r="N45" i="10"/>
  <c r="N48" i="10"/>
  <c r="N76" i="10"/>
  <c r="N19" i="10"/>
  <c r="N21" i="10"/>
  <c r="N23" i="10"/>
  <c r="N25" i="10"/>
  <c r="N33" i="10"/>
  <c r="N39" i="10"/>
  <c r="N42" i="10"/>
  <c r="N55" i="10"/>
  <c r="N58" i="10"/>
  <c r="N28" i="10"/>
  <c r="N36" i="10"/>
  <c r="N40" i="10"/>
  <c r="N53" i="10"/>
  <c r="N56" i="10"/>
  <c r="N259" i="10"/>
  <c r="N29" i="10"/>
  <c r="N37" i="10"/>
  <c r="N47" i="10"/>
  <c r="N50" i="10"/>
  <c r="N235" i="10"/>
  <c r="N30" i="10"/>
  <c r="N41" i="10"/>
  <c r="N44" i="10"/>
  <c r="N57" i="10"/>
  <c r="N60" i="10"/>
  <c r="N62" i="10"/>
  <c r="N64" i="10"/>
  <c r="N66" i="10"/>
  <c r="N20" i="10"/>
  <c r="N34" i="10"/>
  <c r="N43" i="10"/>
  <c r="N54" i="10"/>
  <c r="N22" i="10"/>
  <c r="N227" i="10"/>
  <c r="N49" i="10"/>
  <c r="N61" i="10"/>
  <c r="N65" i="10"/>
  <c r="N272" i="10"/>
  <c r="N276" i="10"/>
  <c r="N282" i="10"/>
  <c r="N286" i="10"/>
  <c r="N290" i="10"/>
  <c r="N294" i="10"/>
  <c r="N298" i="10"/>
  <c r="N304" i="10"/>
  <c r="N308" i="10"/>
  <c r="N312" i="10"/>
  <c r="N316" i="10"/>
  <c r="N31" i="10"/>
  <c r="N51" i="10"/>
  <c r="N59" i="10"/>
  <c r="N67" i="10"/>
  <c r="N73" i="10"/>
  <c r="N24" i="10"/>
  <c r="N27" i="10"/>
  <c r="N46" i="10"/>
  <c r="N280" i="10"/>
  <c r="N18" i="10"/>
  <c r="N63" i="10"/>
  <c r="N11" i="10"/>
  <c r="N38" i="10"/>
  <c r="N302" i="10"/>
  <c r="N274" i="10"/>
  <c r="N278" i="10"/>
  <c r="N284" i="10"/>
  <c r="N288" i="10"/>
  <c r="N292" i="10"/>
  <c r="N296" i="10"/>
  <c r="N300" i="10"/>
  <c r="N306" i="10"/>
  <c r="N310" i="10"/>
  <c r="N314" i="10"/>
  <c r="N318" i="10"/>
  <c r="N26" i="10"/>
  <c r="N35" i="10"/>
  <c r="N52" i="10"/>
  <c r="F166" i="35"/>
  <c r="F97" i="35"/>
  <c r="F111" i="35"/>
  <c r="J165" i="35" s="1"/>
  <c r="L165" i="35" s="1"/>
  <c r="F152" i="35"/>
  <c r="J152" i="35" s="1"/>
  <c r="L152" i="35" s="1"/>
  <c r="F174" i="35"/>
  <c r="L79" i="35"/>
  <c r="F62" i="35"/>
  <c r="F178" i="35"/>
  <c r="F154" i="35"/>
  <c r="F168" i="35"/>
  <c r="J168" i="35" s="1"/>
  <c r="L168" i="35" s="1"/>
  <c r="F147" i="35"/>
  <c r="F161" i="35"/>
  <c r="F150" i="35"/>
  <c r="F164" i="35"/>
  <c r="F148" i="35"/>
  <c r="F162" i="35"/>
  <c r="F153" i="35"/>
  <c r="F167" i="35"/>
  <c r="F146" i="35"/>
  <c r="F160" i="35"/>
  <c r="N7" i="10"/>
  <c r="F106" i="35"/>
  <c r="F121" i="35"/>
  <c r="J121" i="35" s="1"/>
  <c r="L121" i="35" s="1"/>
  <c r="F113" i="35"/>
  <c r="J113" i="35" s="1"/>
  <c r="L113" i="35" s="1"/>
  <c r="F130" i="35"/>
  <c r="J130" i="35" s="1"/>
  <c r="L130" i="35" s="1"/>
  <c r="F109" i="35"/>
  <c r="J109" i="35" s="1"/>
  <c r="L109" i="35" s="1"/>
  <c r="F124" i="35"/>
  <c r="J124" i="35" s="1"/>
  <c r="L124" i="35" s="1"/>
  <c r="F107" i="35"/>
  <c r="F122" i="35"/>
  <c r="J122" i="35" s="1"/>
  <c r="L122" i="35" s="1"/>
  <c r="F112" i="35"/>
  <c r="F128" i="35"/>
  <c r="J128" i="35" s="1"/>
  <c r="L128" i="35" s="1"/>
  <c r="N9" i="10"/>
  <c r="F105" i="35"/>
  <c r="L74" i="35"/>
  <c r="L75" i="35"/>
  <c r="F92" i="35"/>
  <c r="L81" i="35"/>
  <c r="F98" i="35"/>
  <c r="F91" i="35"/>
  <c r="J155" i="35"/>
  <c r="L155" i="35" s="1"/>
  <c r="J100" i="35"/>
  <c r="L100" i="35" s="1"/>
  <c r="L80" i="35"/>
  <c r="F95" i="35"/>
  <c r="L76" i="35"/>
  <c r="F93" i="35"/>
  <c r="L82" i="35"/>
  <c r="F99" i="35"/>
  <c r="J12" i="29"/>
  <c r="F25" i="29" s="1"/>
  <c r="L7" i="29"/>
  <c r="F77" i="35"/>
  <c r="J77" i="35" s="1"/>
  <c r="F5" i="29"/>
  <c r="F71" i="35"/>
  <c r="F34" i="35"/>
  <c r="F20" i="35"/>
  <c r="F57" i="35"/>
  <c r="K23" i="35"/>
  <c r="M21" i="34"/>
  <c r="M24" i="34" s="1"/>
  <c r="J151" i="35"/>
  <c r="L151" i="35" s="1"/>
  <c r="M19" i="34"/>
  <c r="M14" i="34"/>
  <c r="K29" i="35"/>
  <c r="L26" i="35"/>
  <c r="K24" i="35"/>
  <c r="L24" i="35"/>
  <c r="F9" i="29"/>
  <c r="P144" i="8"/>
  <c r="P140" i="8"/>
  <c r="P135" i="8"/>
  <c r="P128" i="8"/>
  <c r="P123" i="8"/>
  <c r="P118" i="8"/>
  <c r="P112" i="8"/>
  <c r="P109" i="8"/>
  <c r="P108" i="8"/>
  <c r="P107" i="8"/>
  <c r="P106" i="8"/>
  <c r="P105" i="8"/>
  <c r="P104" i="8"/>
  <c r="P103" i="8"/>
  <c r="P102" i="8"/>
  <c r="P100" i="8"/>
  <c r="P99" i="8"/>
  <c r="P98" i="8"/>
  <c r="P97" i="8"/>
  <c r="P96" i="8"/>
  <c r="P95" i="8"/>
  <c r="P94" i="8"/>
  <c r="P93" i="8"/>
  <c r="P92" i="8"/>
  <c r="P90" i="8"/>
  <c r="P89" i="8"/>
  <c r="P85" i="8"/>
  <c r="P84" i="8"/>
  <c r="P83" i="8"/>
  <c r="P82" i="8"/>
  <c r="P81" i="8"/>
  <c r="P80" i="8"/>
  <c r="P79" i="8"/>
  <c r="P78" i="8"/>
  <c r="P77" i="8"/>
  <c r="P76" i="8"/>
  <c r="P136" i="8"/>
  <c r="P132" i="8"/>
  <c r="P125" i="8"/>
  <c r="P119" i="8"/>
  <c r="P115" i="8"/>
  <c r="P53" i="8"/>
  <c r="P51" i="8"/>
  <c r="P50" i="8"/>
  <c r="P46" i="8"/>
  <c r="P145" i="8"/>
  <c r="P133" i="8"/>
  <c r="P120" i="8"/>
  <c r="P110" i="8"/>
  <c r="P34" i="8"/>
  <c r="P143" i="8"/>
  <c r="P134" i="8"/>
  <c r="P121" i="8"/>
  <c r="P111" i="8"/>
  <c r="P75" i="8"/>
  <c r="P74" i="8"/>
  <c r="P73" i="8"/>
  <c r="P72" i="8"/>
  <c r="P139" i="8"/>
  <c r="P126" i="8"/>
  <c r="P117" i="8"/>
  <c r="P67" i="8"/>
  <c r="P63" i="8"/>
  <c r="P59" i="8"/>
  <c r="P55" i="8"/>
  <c r="P45" i="8"/>
  <c r="P44" i="8"/>
  <c r="P43" i="8"/>
  <c r="P42" i="8"/>
  <c r="P41" i="8"/>
  <c r="P40" i="8"/>
  <c r="P39" i="8"/>
  <c r="P38" i="8"/>
  <c r="P37" i="8"/>
  <c r="P36" i="8"/>
  <c r="P35" i="8"/>
  <c r="P32" i="8"/>
  <c r="P31" i="8"/>
  <c r="P30" i="8"/>
  <c r="P29" i="8"/>
  <c r="P27" i="8"/>
  <c r="P26" i="8"/>
  <c r="P25" i="8"/>
  <c r="P24" i="8"/>
  <c r="P23" i="8"/>
  <c r="P22" i="8"/>
  <c r="P21" i="8"/>
  <c r="P20" i="8"/>
  <c r="P19" i="8"/>
  <c r="P18" i="8"/>
  <c r="P17" i="8"/>
  <c r="P16" i="8"/>
  <c r="P15" i="8"/>
  <c r="P14" i="8"/>
  <c r="P13" i="8"/>
  <c r="P12" i="8"/>
  <c r="P10" i="8"/>
  <c r="P9" i="8"/>
  <c r="P8" i="8"/>
  <c r="P7" i="8"/>
  <c r="P6" i="8"/>
  <c r="P5" i="8"/>
  <c r="P4" i="8"/>
  <c r="P3" i="8"/>
  <c r="P68" i="8"/>
  <c r="P64" i="8"/>
  <c r="P60" i="8"/>
  <c r="P56" i="8"/>
  <c r="P138" i="8"/>
  <c r="P66" i="8"/>
  <c r="P65" i="8"/>
  <c r="P58" i="8"/>
  <c r="P57" i="8"/>
  <c r="P116" i="8"/>
  <c r="N385" i="10"/>
  <c r="P69" i="8"/>
  <c r="P62" i="8"/>
  <c r="P127" i="8"/>
  <c r="P70" i="8"/>
  <c r="N75" i="10"/>
  <c r="N70" i="10"/>
  <c r="N13" i="10"/>
  <c r="N6" i="10"/>
  <c r="N3" i="10"/>
  <c r="N74" i="10"/>
  <c r="N69" i="10"/>
  <c r="N16" i="10"/>
  <c r="N12" i="10"/>
  <c r="N72" i="10"/>
  <c r="N15" i="10"/>
  <c r="N10" i="10"/>
  <c r="N5" i="10"/>
  <c r="N8" i="10"/>
  <c r="P61" i="8"/>
  <c r="N14" i="10"/>
  <c r="N71" i="10"/>
  <c r="N4" i="10"/>
  <c r="L18" i="35"/>
  <c r="K25" i="35"/>
  <c r="L25" i="35"/>
  <c r="J20" i="29" l="1"/>
  <c r="L20" i="29" s="1"/>
  <c r="J25" i="29"/>
  <c r="L25" i="29" s="1"/>
  <c r="J24" i="29"/>
  <c r="L24" i="29" s="1"/>
  <c r="J27" i="29"/>
  <c r="L27" i="29" s="1"/>
  <c r="L10" i="29"/>
  <c r="F23" i="29"/>
  <c r="L8" i="29"/>
  <c r="F21" i="29"/>
  <c r="L6" i="29"/>
  <c r="F19" i="29"/>
  <c r="L13" i="29"/>
  <c r="F26" i="29"/>
  <c r="J178" i="35"/>
  <c r="L178" i="35" s="1"/>
  <c r="J174" i="35"/>
  <c r="L174" i="35" s="1"/>
  <c r="J9" i="29"/>
  <c r="J57" i="35"/>
  <c r="L57" i="35" s="1"/>
  <c r="J71" i="35"/>
  <c r="J62" i="35"/>
  <c r="L62" i="35" s="1"/>
  <c r="T386" i="10"/>
  <c r="T458" i="10"/>
  <c r="J34" i="35"/>
  <c r="K35" i="35" s="1"/>
  <c r="T345" i="10"/>
  <c r="T501" i="10"/>
  <c r="T459" i="10"/>
  <c r="T425" i="10"/>
  <c r="T409" i="10"/>
  <c r="T361" i="10"/>
  <c r="T504" i="10"/>
  <c r="T388" i="10"/>
  <c r="J20" i="35"/>
  <c r="L20" i="35" s="1"/>
  <c r="T13" i="10"/>
  <c r="T330" i="10"/>
  <c r="T379" i="10"/>
  <c r="T338" i="10"/>
  <c r="T364" i="10"/>
  <c r="T373" i="10"/>
  <c r="T391" i="10"/>
  <c r="T438" i="10"/>
  <c r="T365" i="10"/>
  <c r="T371" i="10"/>
  <c r="T491" i="10"/>
  <c r="T335" i="10"/>
  <c r="T342" i="10"/>
  <c r="T349" i="10"/>
  <c r="T333" i="10"/>
  <c r="T506" i="10"/>
  <c r="T505" i="10"/>
  <c r="T514" i="10"/>
  <c r="T380" i="10"/>
  <c r="T454" i="10"/>
  <c r="T490" i="10"/>
  <c r="T327" i="10"/>
  <c r="T325" i="10"/>
  <c r="T395" i="10"/>
  <c r="T510" i="10"/>
  <c r="T392" i="10"/>
  <c r="T426" i="10"/>
  <c r="T356" i="10"/>
  <c r="T412" i="10"/>
  <c r="T357" i="10"/>
  <c r="T399" i="10"/>
  <c r="T381" i="10"/>
  <c r="T419" i="10"/>
  <c r="T403" i="10"/>
  <c r="T367" i="10"/>
  <c r="T513" i="10"/>
  <c r="T496" i="10"/>
  <c r="T502" i="10"/>
  <c r="T394" i="10"/>
  <c r="T507" i="10"/>
  <c r="T320" i="10"/>
  <c r="T360" i="10"/>
  <c r="T323" i="10"/>
  <c r="T351" i="10"/>
  <c r="T428" i="10"/>
  <c r="T512" i="10"/>
  <c r="T422" i="10"/>
  <c r="T450" i="10"/>
  <c r="T434" i="10"/>
  <c r="T421" i="10"/>
  <c r="T405" i="10"/>
  <c r="T398" i="10"/>
  <c r="T372" i="10"/>
  <c r="T444" i="10"/>
  <c r="T397" i="10"/>
  <c r="T377" i="10"/>
  <c r="T495" i="10"/>
  <c r="T404" i="10"/>
  <c r="T457" i="10"/>
  <c r="T432" i="10"/>
  <c r="T353" i="10"/>
  <c r="T488" i="10"/>
  <c r="T443" i="10"/>
  <c r="T420" i="10"/>
  <c r="T476" i="10"/>
  <c r="T460" i="10"/>
  <c r="T509" i="10"/>
  <c r="T396" i="10"/>
  <c r="T368" i="10"/>
  <c r="T337" i="10"/>
  <c r="T408" i="10"/>
  <c r="T416" i="10"/>
  <c r="T329" i="10"/>
  <c r="T393" i="10"/>
  <c r="T493" i="10"/>
  <c r="T369" i="10"/>
  <c r="T321" i="10"/>
  <c r="T500" i="10"/>
  <c r="T352" i="10"/>
  <c r="T480" i="10"/>
  <c r="T464" i="10"/>
  <c r="T431" i="10"/>
  <c r="T413" i="10"/>
  <c r="T437" i="10"/>
  <c r="T482" i="10"/>
  <c r="T466" i="10"/>
  <c r="T415" i="10"/>
  <c r="T424" i="10"/>
  <c r="T474" i="10"/>
  <c r="T452" i="10"/>
  <c r="T389" i="10"/>
  <c r="T492" i="10"/>
  <c r="T449" i="10"/>
  <c r="T414" i="10"/>
  <c r="T423" i="10"/>
  <c r="T407" i="10"/>
  <c r="T336" i="10"/>
  <c r="T383" i="10"/>
  <c r="T497" i="10"/>
  <c r="T451" i="10"/>
  <c r="T440" i="10"/>
  <c r="T433" i="10"/>
  <c r="T442" i="10"/>
  <c r="T455" i="10"/>
  <c r="T472" i="10"/>
  <c r="T468" i="10"/>
  <c r="T435" i="10"/>
  <c r="T446" i="10"/>
  <c r="T430" i="10"/>
  <c r="T417" i="10"/>
  <c r="T401" i="10"/>
  <c r="T363" i="10"/>
  <c r="T334" i="10"/>
  <c r="T375" i="10"/>
  <c r="T427" i="10"/>
  <c r="T411" i="10"/>
  <c r="T326" i="10"/>
  <c r="T418" i="10"/>
  <c r="T503" i="10"/>
  <c r="T387" i="10"/>
  <c r="T445" i="10"/>
  <c r="T402" i="10"/>
  <c r="T436" i="10"/>
  <c r="T347" i="10"/>
  <c r="J111" i="35"/>
  <c r="L111" i="35" s="1"/>
  <c r="T346" i="10"/>
  <c r="T498" i="10"/>
  <c r="T344" i="10"/>
  <c r="T376" i="10"/>
  <c r="T390" i="10"/>
  <c r="T478" i="10"/>
  <c r="T462" i="10"/>
  <c r="T439" i="10"/>
  <c r="L185" i="35"/>
  <c r="T49" i="10"/>
  <c r="T50" i="10"/>
  <c r="T234" i="10"/>
  <c r="T42" i="10"/>
  <c r="T315" i="10"/>
  <c r="T299" i="10"/>
  <c r="T283" i="10"/>
  <c r="T259" i="10"/>
  <c r="T156" i="10"/>
  <c r="T205" i="10"/>
  <c r="T47" i="10"/>
  <c r="T33" i="10"/>
  <c r="T306" i="10"/>
  <c r="T290" i="10"/>
  <c r="T274" i="10"/>
  <c r="T257" i="10"/>
  <c r="T34" i="10"/>
  <c r="T18" i="10"/>
  <c r="T307" i="10"/>
  <c r="T291" i="10"/>
  <c r="T275" i="10"/>
  <c r="T168" i="10"/>
  <c r="T256" i="10"/>
  <c r="T240" i="10"/>
  <c r="T215" i="10"/>
  <c r="T224" i="10"/>
  <c r="T208" i="10"/>
  <c r="T149" i="10"/>
  <c r="T196" i="10"/>
  <c r="T103" i="10"/>
  <c r="T177" i="10"/>
  <c r="T161" i="10"/>
  <c r="T104" i="10"/>
  <c r="T108" i="10"/>
  <c r="T26" i="10"/>
  <c r="T264" i="10"/>
  <c r="T248" i="10"/>
  <c r="T216" i="10"/>
  <c r="T127" i="10"/>
  <c r="T146" i="10"/>
  <c r="T91" i="10"/>
  <c r="T200" i="10"/>
  <c r="T185" i="10"/>
  <c r="T93" i="10"/>
  <c r="T129" i="10"/>
  <c r="T53" i="10"/>
  <c r="T243" i="10"/>
  <c r="T217" i="10"/>
  <c r="T141" i="10"/>
  <c r="T194" i="10"/>
  <c r="T164" i="10"/>
  <c r="T136" i="10"/>
  <c r="T125" i="10"/>
  <c r="T97" i="10"/>
  <c r="T45" i="10"/>
  <c r="T58" i="10"/>
  <c r="T51" i="10"/>
  <c r="T59" i="10"/>
  <c r="T239" i="10"/>
  <c r="T67" i="10"/>
  <c r="T233" i="10"/>
  <c r="T253" i="10"/>
  <c r="T31" i="10"/>
  <c r="T76" i="10"/>
  <c r="T304" i="10"/>
  <c r="T288" i="10"/>
  <c r="T272" i="10"/>
  <c r="T251" i="10"/>
  <c r="T48" i="10"/>
  <c r="T32" i="10"/>
  <c r="T73" i="10"/>
  <c r="T305" i="10"/>
  <c r="T289" i="10"/>
  <c r="T273" i="10"/>
  <c r="T157" i="10"/>
  <c r="T270" i="10"/>
  <c r="T254" i="10"/>
  <c r="T238" i="10"/>
  <c r="T203" i="10"/>
  <c r="T192" i="10"/>
  <c r="T222" i="10"/>
  <c r="T206" i="10"/>
  <c r="T135" i="10"/>
  <c r="T188" i="10"/>
  <c r="T170" i="10"/>
  <c r="T106" i="10"/>
  <c r="T139" i="10"/>
  <c r="T95" i="10"/>
  <c r="T175" i="10"/>
  <c r="T159" i="10"/>
  <c r="T115" i="10"/>
  <c r="T96" i="10"/>
  <c r="T85" i="10"/>
  <c r="T100" i="10"/>
  <c r="T121" i="10"/>
  <c r="T110" i="10"/>
  <c r="T247" i="10"/>
  <c r="T43" i="10"/>
  <c r="T65" i="10"/>
  <c r="T255" i="10"/>
  <c r="T57" i="10"/>
  <c r="T237" i="10"/>
  <c r="T29" i="10"/>
  <c r="T318" i="10"/>
  <c r="T302" i="10"/>
  <c r="T286" i="10"/>
  <c r="T269" i="10"/>
  <c r="T226" i="10"/>
  <c r="T46" i="10"/>
  <c r="T30" i="10"/>
  <c r="T319" i="10"/>
  <c r="T303" i="10"/>
  <c r="T287" i="10"/>
  <c r="T271" i="10"/>
  <c r="T151" i="10"/>
  <c r="T268" i="10"/>
  <c r="T252" i="10"/>
  <c r="T213" i="10"/>
  <c r="T195" i="10"/>
  <c r="T184" i="10"/>
  <c r="T220" i="10"/>
  <c r="T204" i="10"/>
  <c r="T199" i="10"/>
  <c r="T180" i="10"/>
  <c r="T166" i="10"/>
  <c r="T102" i="10"/>
  <c r="T131" i="10"/>
  <c r="T87" i="10"/>
  <c r="T173" i="10"/>
  <c r="T152" i="10"/>
  <c r="T107" i="10"/>
  <c r="T88" i="10"/>
  <c r="T77" i="10"/>
  <c r="T92" i="10"/>
  <c r="T113" i="10"/>
  <c r="T228" i="10"/>
  <c r="T78" i="10"/>
  <c r="T134" i="10"/>
  <c r="T245" i="10"/>
  <c r="T63" i="10"/>
  <c r="T41" i="10"/>
  <c r="T219" i="10"/>
  <c r="T27" i="10"/>
  <c r="T316" i="10"/>
  <c r="T300" i="10"/>
  <c r="T284" i="10"/>
  <c r="T249" i="10"/>
  <c r="T60" i="10"/>
  <c r="T44" i="10"/>
  <c r="T28" i="10"/>
  <c r="T317" i="10"/>
  <c r="T301" i="10"/>
  <c r="T285" i="10"/>
  <c r="T263" i="10"/>
  <c r="T147" i="10"/>
  <c r="T266" i="10"/>
  <c r="T250" i="10"/>
  <c r="T207" i="10"/>
  <c r="T187" i="10"/>
  <c r="T178" i="10"/>
  <c r="T218" i="10"/>
  <c r="T202" i="10"/>
  <c r="T191" i="10"/>
  <c r="T172" i="10"/>
  <c r="T155" i="10"/>
  <c r="T98" i="10"/>
  <c r="T130" i="10"/>
  <c r="T79" i="10"/>
  <c r="T171" i="10"/>
  <c r="T144" i="10"/>
  <c r="T99" i="10"/>
  <c r="T80" i="10"/>
  <c r="T148" i="10"/>
  <c r="T84" i="10"/>
  <c r="T105" i="10"/>
  <c r="T61" i="10"/>
  <c r="T267" i="10"/>
  <c r="T25" i="10"/>
  <c r="T143" i="10"/>
  <c r="T140" i="10"/>
  <c r="J166" i="35"/>
  <c r="L166" i="35" s="1"/>
  <c r="T11" i="10"/>
  <c r="T55" i="10"/>
  <c r="T209" i="10"/>
  <c r="T66" i="10"/>
  <c r="T230" i="10"/>
  <c r="T23" i="10"/>
  <c r="T312" i="10"/>
  <c r="T296" i="10"/>
  <c r="T280" i="10"/>
  <c r="T225" i="10"/>
  <c r="T56" i="10"/>
  <c r="T40" i="10"/>
  <c r="T24" i="10"/>
  <c r="T313" i="10"/>
  <c r="T297" i="10"/>
  <c r="T281" i="10"/>
  <c r="T241" i="10"/>
  <c r="T211" i="10"/>
  <c r="T262" i="10"/>
  <c r="T246" i="10"/>
  <c r="T235" i="10"/>
  <c r="T198" i="10"/>
  <c r="T197" i="10"/>
  <c r="T214" i="10"/>
  <c r="T186" i="10"/>
  <c r="T174" i="10"/>
  <c r="T154" i="10"/>
  <c r="T122" i="10"/>
  <c r="T90" i="10"/>
  <c r="T123" i="10"/>
  <c r="T138" i="10"/>
  <c r="T167" i="10"/>
  <c r="T158" i="10"/>
  <c r="T83" i="10"/>
  <c r="T117" i="10"/>
  <c r="T132" i="10"/>
  <c r="T153" i="10"/>
  <c r="T89" i="10"/>
  <c r="T314" i="10"/>
  <c r="T298" i="10"/>
  <c r="T282" i="10"/>
  <c r="T183" i="10"/>
  <c r="T128" i="10"/>
  <c r="T94" i="10"/>
  <c r="T169" i="10"/>
  <c r="T39" i="10"/>
  <c r="T64" i="10"/>
  <c r="T37" i="10"/>
  <c r="T21" i="10"/>
  <c r="T310" i="10"/>
  <c r="T294" i="10"/>
  <c r="T278" i="10"/>
  <c r="T223" i="10"/>
  <c r="T54" i="10"/>
  <c r="T38" i="10"/>
  <c r="T22" i="10"/>
  <c r="T311" i="10"/>
  <c r="T295" i="10"/>
  <c r="T279" i="10"/>
  <c r="T229" i="10"/>
  <c r="T236" i="10"/>
  <c r="T260" i="10"/>
  <c r="T244" i="10"/>
  <c r="T231" i="10"/>
  <c r="T190" i="10"/>
  <c r="T189" i="10"/>
  <c r="T212" i="10"/>
  <c r="T176" i="10"/>
  <c r="T162" i="10"/>
  <c r="T201" i="10"/>
  <c r="T118" i="10"/>
  <c r="T86" i="10"/>
  <c r="T119" i="10"/>
  <c r="T126" i="10"/>
  <c r="T165" i="10"/>
  <c r="T150" i="10"/>
  <c r="T120" i="10"/>
  <c r="T109" i="10"/>
  <c r="T124" i="10"/>
  <c r="T145" i="10"/>
  <c r="T81" i="10"/>
  <c r="T7" i="10"/>
  <c r="T261" i="10"/>
  <c r="T62" i="10"/>
  <c r="T35" i="10"/>
  <c r="T19" i="10"/>
  <c r="T308" i="10"/>
  <c r="T292" i="10"/>
  <c r="T276" i="10"/>
  <c r="T265" i="10"/>
  <c r="T52" i="10"/>
  <c r="T36" i="10"/>
  <c r="T20" i="10"/>
  <c r="T309" i="10"/>
  <c r="T293" i="10"/>
  <c r="T277" i="10"/>
  <c r="T221" i="10"/>
  <c r="T232" i="10"/>
  <c r="T258" i="10"/>
  <c r="T242" i="10"/>
  <c r="T227" i="10"/>
  <c r="T182" i="10"/>
  <c r="T181" i="10"/>
  <c r="T210" i="10"/>
  <c r="T160" i="10"/>
  <c r="T133" i="10"/>
  <c r="T193" i="10"/>
  <c r="T114" i="10"/>
  <c r="T82" i="10"/>
  <c r="T111" i="10"/>
  <c r="T179" i="10"/>
  <c r="T163" i="10"/>
  <c r="T142" i="10"/>
  <c r="T112" i="10"/>
  <c r="T101" i="10"/>
  <c r="T116" i="10"/>
  <c r="T137" i="10"/>
  <c r="J161" i="35"/>
  <c r="L161" i="35" s="1"/>
  <c r="J162" i="35"/>
  <c r="L162" i="35" s="1"/>
  <c r="F149" i="35"/>
  <c r="F163" i="35"/>
  <c r="J112" i="35"/>
  <c r="L112" i="35" s="1"/>
  <c r="J167" i="35"/>
  <c r="L167" i="35" s="1"/>
  <c r="J107" i="35"/>
  <c r="L107" i="35" s="1"/>
  <c r="J106" i="35"/>
  <c r="L106" i="35" s="1"/>
  <c r="J164" i="35"/>
  <c r="L164" i="35" s="1"/>
  <c r="F108" i="35"/>
  <c r="F123" i="35"/>
  <c r="J123" i="35" s="1"/>
  <c r="L123" i="35" s="1"/>
  <c r="L134" i="35" s="1"/>
  <c r="T9" i="10"/>
  <c r="J160" i="35"/>
  <c r="L160" i="35" s="1"/>
  <c r="J105" i="35"/>
  <c r="L105" i="35" s="1"/>
  <c r="L77" i="35"/>
  <c r="F94" i="35"/>
  <c r="J154" i="35"/>
  <c r="L154" i="35" s="1"/>
  <c r="J99" i="35"/>
  <c r="L99" i="35" s="1"/>
  <c r="J153" i="35"/>
  <c r="L153" i="35" s="1"/>
  <c r="J98" i="35"/>
  <c r="L98" i="35" s="1"/>
  <c r="L12" i="29"/>
  <c r="J150" i="35"/>
  <c r="L150" i="35" s="1"/>
  <c r="J97" i="35"/>
  <c r="L97" i="35" s="1"/>
  <c r="J146" i="35"/>
  <c r="L146" i="35" s="1"/>
  <c r="J91" i="35"/>
  <c r="L91" i="35" s="1"/>
  <c r="J95" i="35"/>
  <c r="L95" i="35" s="1"/>
  <c r="J148" i="35"/>
  <c r="L148" i="35" s="1"/>
  <c r="J93" i="35"/>
  <c r="L93" i="35" s="1"/>
  <c r="J147" i="35"/>
  <c r="L147" i="35" s="1"/>
  <c r="J92" i="35"/>
  <c r="L92" i="35" s="1"/>
  <c r="K20" i="35"/>
  <c r="L71" i="35"/>
  <c r="K72" i="35"/>
  <c r="T15" i="10"/>
  <c r="T69" i="10"/>
  <c r="T385" i="10"/>
  <c r="T75" i="10"/>
  <c r="T5" i="10"/>
  <c r="T16" i="10"/>
  <c r="T4" i="10"/>
  <c r="T12" i="10"/>
  <c r="T6" i="10"/>
  <c r="T70" i="10"/>
  <c r="T74" i="10"/>
  <c r="T8" i="10"/>
  <c r="T14" i="10"/>
  <c r="T10" i="10"/>
  <c r="T3" i="10"/>
  <c r="T71" i="10"/>
  <c r="T72" i="10"/>
  <c r="L68" i="35"/>
  <c r="L31" i="35"/>
  <c r="J5" i="29"/>
  <c r="F18" i="29" s="1"/>
  <c r="L34" i="35" l="1"/>
  <c r="L52" i="35" s="1"/>
  <c r="L55" i="35" s="1"/>
  <c r="J26" i="29"/>
  <c r="L26" i="29" s="1"/>
  <c r="J19" i="29"/>
  <c r="L19" i="29" s="1"/>
  <c r="J21" i="29"/>
  <c r="L21" i="29" s="1"/>
  <c r="J18" i="29"/>
  <c r="L18" i="29" s="1"/>
  <c r="J23" i="29"/>
  <c r="L23" i="29" s="1"/>
  <c r="L9" i="29"/>
  <c r="F22" i="29"/>
  <c r="J163" i="35"/>
  <c r="L163" i="35" s="1"/>
  <c r="L171" i="35" s="1"/>
  <c r="J108" i="35"/>
  <c r="L108" i="35" s="1"/>
  <c r="L116" i="35" s="1"/>
  <c r="L86" i="35"/>
  <c r="J149" i="35"/>
  <c r="L149" i="35" s="1"/>
  <c r="L157" i="35" s="1"/>
  <c r="J94" i="35"/>
  <c r="L94" i="35" s="1"/>
  <c r="L102" i="35" s="1"/>
  <c r="L5" i="29"/>
  <c r="K5" i="29"/>
  <c r="L54" i="35" l="1"/>
  <c r="L15" i="29"/>
  <c r="J22" i="29"/>
  <c r="L22" i="29" s="1"/>
  <c r="L29" i="29" s="1"/>
  <c r="F88" i="35"/>
  <c r="J88" i="35" s="1"/>
  <c r="L88" i="35" s="1"/>
  <c r="K147" i="8"/>
  <c r="Y147" i="8" s="1"/>
  <c r="K149" i="8"/>
  <c r="Y149" i="8" s="1"/>
  <c r="K113" i="8"/>
  <c r="Y113" i="8" s="1"/>
  <c r="K154" i="8"/>
  <c r="Y154" i="8" s="1"/>
  <c r="K146" i="8"/>
  <c r="Y146" i="8" s="1"/>
  <c r="K151" i="8"/>
  <c r="Y151" i="8" s="1"/>
  <c r="K129" i="8"/>
  <c r="Y129" i="8" s="1"/>
  <c r="K86" i="8"/>
  <c r="Y86" i="8" s="1"/>
  <c r="K148" i="8"/>
  <c r="Y148" i="8" s="1"/>
  <c r="K153" i="8"/>
  <c r="Y153" i="8" s="1"/>
  <c r="K142" i="8"/>
  <c r="Y142" i="8" s="1"/>
  <c r="K124" i="8"/>
  <c r="Y124" i="8" s="1"/>
  <c r="K11" i="8"/>
  <c r="Y11" i="8" s="1"/>
  <c r="K152" i="8"/>
  <c r="Y152" i="8" s="1"/>
  <c r="K150" i="8"/>
  <c r="Y150" i="8" s="1"/>
  <c r="K49" i="8"/>
  <c r="Y49" i="8" s="1"/>
  <c r="K87" i="8"/>
  <c r="Y87" i="8" s="1"/>
  <c r="K48" i="8"/>
  <c r="Y48" i="8" s="1"/>
  <c r="K130" i="8"/>
  <c r="Y130" i="8" s="1"/>
  <c r="K145" i="8"/>
  <c r="Y145" i="8" s="1"/>
  <c r="K144" i="8"/>
  <c r="Y144" i="8" s="1"/>
  <c r="K143" i="8"/>
  <c r="Y143" i="8" s="1"/>
  <c r="K139" i="8"/>
  <c r="Y139" i="8" s="1"/>
  <c r="K134" i="8"/>
  <c r="Y134" i="8" s="1"/>
  <c r="K127" i="8"/>
  <c r="Y127" i="8" s="1"/>
  <c r="K121" i="8"/>
  <c r="Y121" i="8" s="1"/>
  <c r="K117" i="8"/>
  <c r="Y117" i="8" s="1"/>
  <c r="K111" i="8"/>
  <c r="Y111" i="8" s="1"/>
  <c r="K140" i="8"/>
  <c r="Y140" i="8" s="1"/>
  <c r="K135" i="8"/>
  <c r="Y135" i="8" s="1"/>
  <c r="K128" i="8"/>
  <c r="Y128" i="8" s="1"/>
  <c r="K123" i="8"/>
  <c r="Y123" i="8" s="1"/>
  <c r="K118" i="8"/>
  <c r="Y118" i="8" s="1"/>
  <c r="K112" i="8"/>
  <c r="Y112" i="8" s="1"/>
  <c r="K133" i="8"/>
  <c r="Y133" i="8" s="1"/>
  <c r="K120" i="8"/>
  <c r="Y120" i="8" s="1"/>
  <c r="K110" i="8"/>
  <c r="Y110" i="8" s="1"/>
  <c r="K107" i="8"/>
  <c r="Y107" i="8" s="1"/>
  <c r="K103" i="8"/>
  <c r="Y103" i="8" s="1"/>
  <c r="K98" i="8"/>
  <c r="Y98" i="8" s="1"/>
  <c r="K94" i="8"/>
  <c r="Y94" i="8" s="1"/>
  <c r="K89" i="8"/>
  <c r="Y89" i="8" s="1"/>
  <c r="K82" i="8"/>
  <c r="Y82" i="8" s="1"/>
  <c r="K78" i="8"/>
  <c r="Y78" i="8" s="1"/>
  <c r="K75" i="8"/>
  <c r="Y75" i="8" s="1"/>
  <c r="K74" i="8"/>
  <c r="Y74" i="8" s="1"/>
  <c r="K73" i="8"/>
  <c r="Y73" i="8" s="1"/>
  <c r="K72" i="8"/>
  <c r="Y72" i="8" s="1"/>
  <c r="K70" i="8"/>
  <c r="Y70" i="8" s="1"/>
  <c r="K69" i="8"/>
  <c r="Y69" i="8" s="1"/>
  <c r="K68" i="8"/>
  <c r="Y68" i="8" s="1"/>
  <c r="K67" i="8"/>
  <c r="Y67" i="8" s="1"/>
  <c r="K66" i="8"/>
  <c r="Y66" i="8" s="1"/>
  <c r="K65" i="8"/>
  <c r="Y65" i="8" s="1"/>
  <c r="K64" i="8"/>
  <c r="Y64" i="8" s="1"/>
  <c r="K63" i="8"/>
  <c r="Y63" i="8" s="1"/>
  <c r="K62" i="8"/>
  <c r="Y62" i="8" s="1"/>
  <c r="K61" i="8"/>
  <c r="Y61" i="8" s="1"/>
  <c r="K60" i="8"/>
  <c r="Y60" i="8" s="1"/>
  <c r="K59" i="8"/>
  <c r="Y59" i="8" s="1"/>
  <c r="K58" i="8"/>
  <c r="Y58" i="8" s="1"/>
  <c r="K57" i="8"/>
  <c r="Y57" i="8" s="1"/>
  <c r="K56" i="8"/>
  <c r="Y56" i="8" s="1"/>
  <c r="K53" i="8"/>
  <c r="Y53" i="8" s="1"/>
  <c r="K132" i="8"/>
  <c r="Y132" i="8" s="1"/>
  <c r="K119" i="8"/>
  <c r="Y119" i="8" s="1"/>
  <c r="K106" i="8"/>
  <c r="Y106" i="8" s="1"/>
  <c r="K102" i="8"/>
  <c r="Y102" i="8" s="1"/>
  <c r="K97" i="8"/>
  <c r="Y97" i="8" s="1"/>
  <c r="K93" i="8"/>
  <c r="Y93" i="8" s="1"/>
  <c r="K85" i="8"/>
  <c r="Y85" i="8" s="1"/>
  <c r="K81" i="8"/>
  <c r="Y81" i="8" s="1"/>
  <c r="K77" i="8"/>
  <c r="Y77" i="8" s="1"/>
  <c r="K126" i="8"/>
  <c r="Y126" i="8" s="1"/>
  <c r="K136" i="8"/>
  <c r="Y136" i="8" s="1"/>
  <c r="K115" i="8"/>
  <c r="Y115" i="8" s="1"/>
  <c r="K109" i="8"/>
  <c r="Y109" i="8" s="1"/>
  <c r="K104" i="8"/>
  <c r="Y104" i="8" s="1"/>
  <c r="K100" i="8"/>
  <c r="Y100" i="8" s="1"/>
  <c r="K95" i="8"/>
  <c r="Y95" i="8" s="1"/>
  <c r="K92" i="8"/>
  <c r="Y92" i="8" s="1"/>
  <c r="K83" i="8"/>
  <c r="Y83" i="8" s="1"/>
  <c r="K80" i="8"/>
  <c r="Y80" i="8" s="1"/>
  <c r="K51" i="8"/>
  <c r="Y51" i="8" s="1"/>
  <c r="K138" i="8"/>
  <c r="Y138" i="8" s="1"/>
  <c r="K125" i="8"/>
  <c r="Y125" i="8" s="1"/>
  <c r="K96" i="8"/>
  <c r="Y96" i="8" s="1"/>
  <c r="K76" i="8"/>
  <c r="Y76" i="8" s="1"/>
  <c r="K30" i="8"/>
  <c r="Y30" i="8" s="1"/>
  <c r="K27" i="8"/>
  <c r="Y27" i="8" s="1"/>
  <c r="K25" i="8"/>
  <c r="Y25" i="8" s="1"/>
  <c r="K23" i="8"/>
  <c r="Y23" i="8" s="1"/>
  <c r="K21" i="8"/>
  <c r="Y21" i="8" s="1"/>
  <c r="K19" i="8"/>
  <c r="Y19" i="8" s="1"/>
  <c r="K17" i="8"/>
  <c r="Y17" i="8" s="1"/>
  <c r="K15" i="8"/>
  <c r="Y15" i="8" s="1"/>
  <c r="K13" i="8"/>
  <c r="Y13" i="8" s="1"/>
  <c r="K10" i="8"/>
  <c r="Y10" i="8" s="1"/>
  <c r="K8" i="8"/>
  <c r="Y8" i="8" s="1"/>
  <c r="K6" i="8"/>
  <c r="Y6" i="8" s="1"/>
  <c r="K4" i="8"/>
  <c r="Y4" i="8" s="1"/>
  <c r="K99" i="8"/>
  <c r="Y99" i="8" s="1"/>
  <c r="K79" i="8"/>
  <c r="Y79" i="8" s="1"/>
  <c r="K55" i="8"/>
  <c r="Y55" i="8" s="1"/>
  <c r="K50" i="8"/>
  <c r="Y50" i="8" s="1"/>
  <c r="K116" i="8"/>
  <c r="Y116" i="8" s="1"/>
  <c r="K35" i="8"/>
  <c r="Y35" i="8" s="1"/>
  <c r="K108" i="8"/>
  <c r="Y108" i="8" s="1"/>
  <c r="K105" i="8"/>
  <c r="Y105" i="8" s="1"/>
  <c r="K44" i="8"/>
  <c r="Y44" i="8" s="1"/>
  <c r="K42" i="8"/>
  <c r="Y42" i="8" s="1"/>
  <c r="K40" i="8"/>
  <c r="Y40" i="8" s="1"/>
  <c r="K38" i="8"/>
  <c r="Y38" i="8" s="1"/>
  <c r="K36" i="8"/>
  <c r="Y36" i="8" s="1"/>
  <c r="K46" i="8"/>
  <c r="Y46" i="8" s="1"/>
  <c r="K45" i="8"/>
  <c r="Y45" i="8" s="1"/>
  <c r="K43" i="8"/>
  <c r="Y43" i="8" s="1"/>
  <c r="K41" i="8"/>
  <c r="Y41" i="8" s="1"/>
  <c r="K39" i="8"/>
  <c r="Y39" i="8" s="1"/>
  <c r="K37" i="8"/>
  <c r="Y37" i="8" s="1"/>
  <c r="K90" i="8"/>
  <c r="Y90" i="8" s="1"/>
  <c r="K34" i="8"/>
  <c r="Y34" i="8" s="1"/>
  <c r="K32" i="8"/>
  <c r="Y32" i="8" s="1"/>
  <c r="K31" i="8"/>
  <c r="Y31" i="8" s="1"/>
  <c r="K29" i="8"/>
  <c r="Y29" i="8" s="1"/>
  <c r="K26" i="8"/>
  <c r="Y26" i="8" s="1"/>
  <c r="K24" i="8"/>
  <c r="Y24" i="8" s="1"/>
  <c r="K22" i="8"/>
  <c r="Y22" i="8" s="1"/>
  <c r="K20" i="8"/>
  <c r="Y20" i="8" s="1"/>
  <c r="K18" i="8"/>
  <c r="Y18" i="8" s="1"/>
  <c r="K16" i="8"/>
  <c r="Y16" i="8" s="1"/>
  <c r="K14" i="8"/>
  <c r="Y14" i="8" s="1"/>
  <c r="K12" i="8"/>
  <c r="Y12" i="8" s="1"/>
  <c r="K9" i="8"/>
  <c r="Y9" i="8" s="1"/>
  <c r="K7" i="8"/>
  <c r="Y7" i="8" s="1"/>
  <c r="K5" i="8"/>
  <c r="Y5" i="8" s="1"/>
  <c r="K3" i="8"/>
  <c r="Y3" i="8" s="1"/>
  <c r="K84" i="8"/>
  <c r="Y84" i="8" s="1"/>
  <c r="F65" i="29" l="1"/>
  <c r="J65" i="29" s="1"/>
  <c r="L65" i="29" s="1"/>
  <c r="L68" i="29" s="1"/>
  <c r="F59" i="29"/>
  <c r="J59" i="29" s="1"/>
  <c r="L59" i="29" s="1"/>
  <c r="L63" i="29" s="1"/>
  <c r="F49" i="29"/>
  <c r="J49" i="29" s="1"/>
  <c r="L49" i="29" s="1"/>
  <c r="L51" i="29" s="1"/>
  <c r="F53" i="29"/>
  <c r="J53" i="29" s="1"/>
  <c r="L53" i="29" s="1"/>
  <c r="L57" i="29" s="1"/>
  <c r="F38" i="29"/>
  <c r="J38" i="29" s="1"/>
  <c r="L38" i="29" s="1"/>
  <c r="L42" i="29" s="1"/>
  <c r="F44" i="29"/>
  <c r="J44" i="29" s="1"/>
  <c r="L44" i="29" s="1"/>
  <c r="L47" i="29" s="1"/>
  <c r="F31" i="29"/>
  <c r="J31" i="29" s="1"/>
  <c r="L31" i="29" s="1"/>
  <c r="L36" i="29" s="1"/>
  <c r="Y157" i="8"/>
  <c r="Y15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A20" authorId="0" shapeId="0" xr:uid="{00000000-0006-0000-0100-000002000000}">
      <text>
        <r>
          <rPr>
            <sz val="9"/>
            <color indexed="81"/>
            <rFont val="Tahoma"/>
            <family val="2"/>
          </rPr>
          <t xml:space="preserve">The object which is valued. "Endpoint impact category indicator" in LCA terminology.
</t>
        </r>
      </text>
    </comment>
    <comment ref="D20" authorId="0" shapeId="0" xr:uid="{B78712FC-B636-4F20-A6C3-3F62619973CA}">
      <text>
        <r>
          <rPr>
            <sz val="9"/>
            <color indexed="81"/>
            <rFont val="Tahoma"/>
            <family val="2"/>
          </rPr>
          <t xml:space="preserve">Median or average values corrected to Jan 1, 2025 by global GDP weighted consumer inflation using Worldbank data for inflation.
</t>
        </r>
      </text>
    </comment>
    <comment ref="E20" authorId="0" shapeId="0" xr:uid="{06F81BF2-5E1A-4C64-9B3C-2BC3A522F606}">
      <text>
        <r>
          <rPr>
            <sz val="9"/>
            <color indexed="81"/>
            <rFont val="Tahoma"/>
            <family val="2"/>
          </rPr>
          <t>Factor corresponding to one standard deviation in a log-normal distribution of producer prices</t>
        </r>
      </text>
    </comment>
    <comment ref="D21" authorId="0" shapeId="0" xr:uid="{00000000-0006-0000-0100-000003000000}">
      <text>
        <r>
          <rPr>
            <sz val="9"/>
            <color indexed="81"/>
            <rFont val="Tahoma"/>
            <family val="2"/>
          </rPr>
          <t>Global median producer prices in different countries https://www.fao.org/faostat/en/#data/PP accessed 2025-09-21. Producer prices for the period 2019-2022 and for major crops (maize, rice, wheat and soya bean) translated to 2025 currency.</t>
        </r>
      </text>
    </comment>
    <comment ref="E21" authorId="0" shapeId="0" xr:uid="{00000000-0006-0000-0100-000004000000}">
      <text>
        <r>
          <rPr>
            <sz val="9"/>
            <color indexed="81"/>
            <rFont val="Tahoma"/>
            <family val="2"/>
          </rPr>
          <t>Variation between major types of crops correspond to an uncertainty factor of 1.2. Variation for all types of crop is 4 according to FAO statistics. Impacts are mainly known for major crops (AR5WGII) and affects several types at the same type, why the uncertainty is less than variation between specific crops with a factor of SQRT(4), i.e an uncertainty factor of 1.1</t>
        </r>
      </text>
    </comment>
    <comment ref="D22" authorId="0" shapeId="0" xr:uid="{ACC33060-7317-42EC-8204-4B4418E7CEFC}">
      <text>
        <r>
          <rPr>
            <sz val="9"/>
            <color indexed="81"/>
            <rFont val="Tahoma"/>
            <family val="2"/>
          </rPr>
          <t>World average price of exports/imports of coniferous industrial roundwood 2021 is 0.2€/kg  according to https://www.fao.org/faostat/en/#data/FO
Industrial roundwood is assumed to represent an average wood price. Fuel wood price is about half and tropical wood price is about the double.
An average of 0.2 corresponds to a median of 0.19 €/kg in a lognormal distribution with a standard deviation of a factor of 1.4. 0.19 € is equal to 0.23€ in 2025 currency.</t>
        </r>
      </text>
    </comment>
    <comment ref="E22" authorId="0" shapeId="0" xr:uid="{A7E8A4EB-98C6-40CD-B1ED-20616E429894}">
      <text>
        <r>
          <rPr>
            <sz val="9"/>
            <color indexed="81"/>
            <rFont val="Tahoma"/>
            <family val="2"/>
          </rPr>
          <t xml:space="preserve">Fuel wood price is about half and tropical wood price is about the double of the best estimate, indicating an uncertainty factor of 1.4. As impacts are on several types of wood at the same time the uncertainty is estimated to a factor of 1.2
</t>
        </r>
      </text>
    </comment>
    <comment ref="C23" authorId="0" shapeId="0" xr:uid="{999B303F-3130-4C1D-B591-5D7C6C94B706}">
      <text>
        <r>
          <rPr>
            <sz val="9"/>
            <color indexed="81"/>
            <rFont val="Tahoma"/>
            <family val="2"/>
          </rPr>
          <t xml:space="preserve">refers to livestock, not meat on shelf
</t>
        </r>
      </text>
    </comment>
    <comment ref="D23" authorId="0" shapeId="0" xr:uid="{54839482-9BC3-4774-A544-2A6A7822DFEE}">
      <text>
        <r>
          <rPr>
            <sz val="9"/>
            <color indexed="81"/>
            <rFont val="Tahoma"/>
            <family val="2"/>
          </rPr>
          <t>Global median producer prices for meat of cattle with the bone, sheep, heneggs, chicken and pigs with the bone in different countries is 3.22 $/kg. https://www.fao.org/faostat/en/#data/PP accessed 2025-09-02. Median for the period 2020-2023 corrected for 1% inflation in producer price  to represent jan 1 2025 and translated to € by the exchage rate of 0.85 $/€ is 2.42 €/kg.</t>
        </r>
      </text>
    </comment>
    <comment ref="E23" authorId="0" shapeId="0" xr:uid="{E6859F7D-F604-4BAB-98F7-3DFFEE2C0B77}">
      <text>
        <r>
          <rPr>
            <sz val="9"/>
            <color indexed="81"/>
            <rFont val="Tahoma"/>
            <family val="2"/>
          </rPr>
          <t xml:space="preserve">Stdev for producer prices in different countries and of different meats indicates an uncertainty factor of 1.4 for specific meats and an uncertainty factor of 1.2 when impacts are on several meat types. </t>
        </r>
      </text>
    </comment>
    <comment ref="C24" authorId="0" shapeId="0" xr:uid="{BC1CE19A-5461-4D25-A712-2A2A6D36AF78}">
      <text>
        <r>
          <rPr>
            <sz val="9"/>
            <color indexed="81"/>
            <rFont val="Tahoma"/>
            <family val="2"/>
          </rPr>
          <t xml:space="preserve">Refers to catch
</t>
        </r>
      </text>
    </comment>
    <comment ref="D24" authorId="0" shapeId="0" xr:uid="{7C2278E8-186B-4863-9966-AE709EA698E0}">
      <text>
        <r>
          <rPr>
            <sz val="9"/>
            <color indexed="81"/>
            <rFont val="Tahoma"/>
            <family val="2"/>
          </rPr>
          <t>Average price for exports 2018 is 2.76 €/kg. Ref: FAO. 2020. The State of World Fisheries and Aquaculture 2020. Sustainability in action. Rome. https://doi.org/10.4060/ca9229en
Corresponding median value is  
2.54 with a standard deviation of a factor of 1.5. In 2025 values this will be 3.02 €</t>
        </r>
      </text>
    </comment>
    <comment ref="E24" authorId="0" shapeId="0" xr:uid="{E0F6FFE1-718D-4D29-B127-6AA387EF79E4}">
      <text>
        <r>
          <rPr>
            <sz val="9"/>
            <color indexed="81"/>
            <rFont val="Tahoma"/>
            <family val="2"/>
          </rPr>
          <t xml:space="preserve">Prices for different species vary more than a factor 2, but impacts from acidification and eutrophication affects many different species at the same time, why an standard deviation of a factor of 1.5 is assumed </t>
        </r>
      </text>
    </comment>
    <comment ref="D25" authorId="0" shapeId="0" xr:uid="{00000000-0006-0000-0100-000008000000}">
      <text>
        <r>
          <rPr>
            <sz val="9"/>
            <color indexed="81"/>
            <rFont val="Tahoma"/>
            <family val="2"/>
          </rPr>
          <t xml:space="preserve">Median cost of drinking water in cities  2023 is 0.00139 €/kg and 0.00143€/kg 2025 https://waterstatistics.iwa-network.org/
</t>
        </r>
      </text>
    </comment>
    <comment ref="E25" authorId="0" shapeId="0" xr:uid="{D2C7A09A-A6A8-4004-A05F-C3326D6661E7}">
      <text>
        <r>
          <rPr>
            <sz val="9"/>
            <color indexed="81"/>
            <rFont val="Tahoma"/>
            <family val="2"/>
          </rPr>
          <t>There is a significant variation in prices bewteen cities, water quality and also in what is included in the price. 
Highest costs are 7€/m3 and lowest 0.18€/m3 indicating a uncertainty factor of 5 for specfic locations and an uncertainty factor of 2 for several locations relevant for product systems</t>
        </r>
      </text>
    </comment>
    <comment ref="D26" authorId="0" shapeId="0" xr:uid="{00000000-0006-0000-0100-00000C000000}">
      <text>
        <r>
          <rPr>
            <sz val="9"/>
            <color indexed="81"/>
            <rFont val="Tahoma"/>
            <family val="2"/>
          </rPr>
          <t xml:space="preserve">The quantitative value of biodiverity is not possible to estimate at present. (Millenium assessment, TEEB, AR5 WGII)
McCarthy et al , Science Vol 338, No 6109, PP 946-949 estimate the total Financial Costs of Meeting Global Biodiversity Conservation Targets to US$ 76.1 billion per year, which equals 56 billion €  2012 and 84 billion €  2024. </t>
        </r>
      </text>
    </comment>
    <comment ref="E26" authorId="0" shapeId="0" xr:uid="{E684E74E-5A40-4A8F-A21F-6B162C2891F8}">
      <text>
        <r>
          <rPr>
            <sz val="9"/>
            <color indexed="81"/>
            <rFont val="Tahoma"/>
            <family val="2"/>
          </rPr>
          <t>McCarthy et al. gives a range of costs depending on how much protected areas are expanded from 14 to 65 billion $/year, indicating an uncetainty factor of 2.</t>
        </r>
      </text>
    </comment>
    <comment ref="D27" authorId="0" shapeId="0" xr:uid="{00000000-0006-0000-0100-00000A000000}">
      <text>
        <r>
          <rPr>
            <sz val="9"/>
            <color indexed="81"/>
            <rFont val="Tahoma"/>
            <family val="2"/>
          </rPr>
          <t xml:space="preserve">Average spot market prices for HVO diesel 2025 as a sustainable alternative is 131 €/100l https://www.omr.de/en/products/diesel-hvo-monthly-averages accessed at 20260517. HVO diesel density is 0.778 kg/l
</t>
        </r>
      </text>
    </comment>
    <comment ref="E27" authorId="0" shapeId="0" xr:uid="{470C4E75-73EE-405B-8F80-809419C6E2CD}">
      <text>
        <r>
          <rPr>
            <sz val="9"/>
            <color indexed="81"/>
            <rFont val="Tahoma"/>
            <family val="2"/>
          </rPr>
          <t xml:space="preserve">Assumed uncertainty, mainly due to difference in quality compared to crude oil. Some uncertainty come from temporal variation and varying costs for different feedstocks.
</t>
        </r>
      </text>
    </comment>
    <comment ref="D28" authorId="0" shapeId="0" xr:uid="{A7F9E9BF-DB62-44AD-90E0-9E4DB2962020}">
      <text>
        <r>
          <rPr>
            <sz val="9"/>
            <color indexed="81"/>
            <rFont val="Tahoma"/>
            <family val="2"/>
          </rPr>
          <t>Global average price of imported charcoal, as a sustainable alternative 2024 is 0.53 $/kg. 
https://www.fao.org/faostat/en/#data/FO accessed at 2026-01-17
This means that the median value in a lognormal distribution with a standard deviation of a factor of 2, is 0.417 $/kg and 0.366€ in 2025 currency.</t>
        </r>
      </text>
    </comment>
    <comment ref="E28" authorId="0" shapeId="0" xr:uid="{6B677E79-90BD-4E00-B763-834563D0C3CA}">
      <text>
        <r>
          <rPr>
            <sz val="9"/>
            <color indexed="81"/>
            <rFont val="Tahoma"/>
            <family val="2"/>
          </rPr>
          <t>Estimated uncertainty, mainly due to difference in quality compared to fossil coal and variation in charcoal prices.</t>
        </r>
      </text>
    </comment>
    <comment ref="D29" authorId="0" shapeId="0" xr:uid="{33078D37-1A42-4925-96D8-587A874A8956}">
      <text>
        <r>
          <rPr>
            <sz val="9"/>
            <color indexed="81"/>
            <rFont val="Tahoma"/>
            <family val="2"/>
          </rPr>
          <t xml:space="preserve">Lignite is mostly used as fuel. Fuel wood has a similar composition and energy content and is here seen as a sustainable alternative. It price is about half of the average wood price. https://www.fao.org/faostat/en/#data/FO accessed at 2026-01-17
</t>
        </r>
      </text>
    </comment>
    <comment ref="E29" authorId="0" shapeId="0" xr:uid="{F1674382-1B45-47E8-9424-90A409D37225}">
      <text>
        <r>
          <rPr>
            <sz val="9"/>
            <color indexed="81"/>
            <rFont val="Tahoma"/>
            <family val="2"/>
          </rPr>
          <t xml:space="preserve">Assumed uncertainty, mainly due to difference in quality compared to fossil lignite
</t>
        </r>
      </text>
    </comment>
    <comment ref="C30" authorId="0" shapeId="0" xr:uid="{7CA31005-4C92-4F76-87E6-E2AC2252AB61}">
      <text>
        <r>
          <rPr>
            <sz val="9"/>
            <color indexed="81"/>
            <rFont val="Tahoma"/>
            <family val="2"/>
          </rPr>
          <t>normal cubic meters
i.e. normal amospheric pressure and 0 degrees celcius</t>
        </r>
      </text>
    </comment>
    <comment ref="D30" authorId="0" shapeId="0" xr:uid="{D0F79648-9A34-495B-9943-0269A295802F}">
      <text>
        <r>
          <rPr>
            <sz val="9"/>
            <color indexed="81"/>
            <rFont val="Tahoma"/>
            <family val="2"/>
          </rPr>
          <t>The cost of biogas in a relatively large plant is 43€/MWh (https://bip-europe.eu/wp-content/uploads/2023/10/BIP_TF4-study_Full-slidedeck_Oct2023.pdf), which is equal to 0.46 €/m3 natural gas wih the same energy content as biogas and 0.495 €/m3 in 2025 currency.</t>
        </r>
      </text>
    </comment>
    <comment ref="E30" authorId="0" shapeId="0" xr:uid="{AAE309D4-3247-4DA6-A71A-369CF6AB727F}">
      <text>
        <r>
          <rPr>
            <sz val="9"/>
            <color indexed="81"/>
            <rFont val="Tahoma"/>
            <family val="2"/>
          </rPr>
          <t xml:space="preserve">Production costs vary between different technologies, plant size and feedstock
</t>
        </r>
      </text>
    </comment>
    <comment ref="D31" authorId="0" shapeId="0" xr:uid="{31C37378-3D20-43D3-8C86-3AD4D03D07C4}">
      <text>
        <r>
          <rPr>
            <sz val="9"/>
            <color indexed="81"/>
            <rFont val="Tahoma"/>
            <family val="2"/>
          </rPr>
          <t xml:space="preserve">Steen, B. Monetary valuation of environmental impacts - models and data, CRC Press, Boca Raton 2019
115200 $/kg 2018 is converted to € 2024 at the exchane rate 1.1 $/€ and for infation by 1.2018 to 2024 by 1.24. 
The value represents the cost of grinding and leaching ordinary rock to produce ore-like metal concentrates </t>
        </r>
      </text>
    </comment>
    <comment ref="E31" authorId="0" shapeId="0" xr:uid="{0ED0C332-0480-4532-9985-20E8E5612908}">
      <text>
        <r>
          <rPr>
            <sz val="9"/>
            <color indexed="81"/>
            <rFont val="Tahoma"/>
            <family val="2"/>
          </rPr>
          <t xml:space="preserve">Uncertainty is mainly due to uncertainty on how many metals that are co-mined. 20 is assumed
</t>
        </r>
      </text>
    </comment>
    <comment ref="D32" authorId="0" shapeId="0" xr:uid="{E998C93F-DF73-4A8F-8C07-25AC713C0BB9}">
      <text>
        <r>
          <rPr>
            <sz val="9"/>
            <color indexed="81"/>
            <rFont val="Tahoma"/>
            <family val="2"/>
          </rPr>
          <t>Estimated cost for production of Al from bedrock (Steen, B. Monetary valuation of environmental impacts - models and data, CRC Press, Boca Raton 2019) is
0.175 $/kg 2018, which is converted to € 2025 at the rate 0.85 €/$ and for inflation by multplying with 1.28.</t>
        </r>
      </text>
    </comment>
    <comment ref="E32" authorId="0" shapeId="0" xr:uid="{19245F79-A46E-4546-ABC4-57AE10F6FA05}">
      <text>
        <r>
          <rPr>
            <sz val="9"/>
            <color indexed="81"/>
            <rFont val="Tahoma"/>
            <family val="2"/>
          </rPr>
          <t>Steen, B. Monetary valuation of environmental impacts - models and data, CRC Press, Boca Raton 2019
The uncertainty is mainly due to uncertainty in the extra consumption of NaOH due to the processing of more fines.</t>
        </r>
      </text>
    </comment>
    <comment ref="D53" authorId="0" shapeId="0" xr:uid="{2423AA95-9EF7-46C7-AB6E-ECD76334576D}">
      <text>
        <r>
          <rPr>
            <sz val="9"/>
            <color indexed="81"/>
            <rFont val="Tahoma"/>
            <family val="2"/>
          </rPr>
          <t>Steen, B. Monetary valuation of environmental impacts - models and data, CRC Press, Boca Raton 2019
1.1 $/kg 2018 is converted to 0.197 €/kg 2025 at the rate 0.85 €/$ and for inflation by 1.28.</t>
        </r>
      </text>
    </comment>
    <comment ref="E53" authorId="0" shapeId="0" xr:uid="{1157BC27-1149-42B9-8576-9207541AA796}">
      <text>
        <r>
          <rPr>
            <sz val="9"/>
            <color indexed="81"/>
            <rFont val="Tahoma"/>
            <family val="2"/>
          </rPr>
          <t>Steen, B. Monetary valuation of environmental impacts - models and data, CRC Press, Boca Raton 2019
Main uncertainty has to do with whether mechanical methods can be used for enrichments or or hydro chemical methods are needed..</t>
        </r>
      </text>
    </comment>
    <comment ref="D112" authorId="0" shapeId="0" xr:uid="{02D55F5B-42B5-4169-A87A-859892A3910F}">
      <text>
        <r>
          <rPr>
            <sz val="9"/>
            <color indexed="81"/>
            <rFont val="Tahoma"/>
            <family val="2"/>
          </rPr>
          <t xml:space="preserve">Based on the labor market value of "traded" time, as measured by the median GDP/capita for OECD countries 2024, which was 59552 US$ or 51215€. https://www.oecd.org/en/data/indicators/nominal-gross-domestic-product-gdp.htm. The market value of time is also used for unpaid work time. The value of YLL is estimated as 51215*44/72*(365*16)/2000 = 91391 € , where 44 is the average active years and 72 is the average life time, 365*16 is total available working hours per year and 2000 is an estimate of the average used hours for earnings per year. N.b., it is capability that is measured, rather than outcome. 2000 includes preparation time for work (like commuting) and unemployment rates.
</t>
        </r>
      </text>
    </comment>
    <comment ref="E112" authorId="0" shapeId="0" xr:uid="{00000000-0006-0000-0100-00000F000000}">
      <text>
        <r>
          <rPr>
            <sz val="9"/>
            <color indexed="81"/>
            <rFont val="Tahoma"/>
            <family val="2"/>
          </rPr>
          <t>The standard deviation in a lognormal distribution of GDP/capita of OECD countires is 1.47. As impacts from product systems concern several countries, the uncerainty factor is somewhat lower. 1.2 is assumed.</t>
        </r>
      </text>
    </comment>
    <comment ref="B113" authorId="0" shapeId="0" xr:uid="{56098847-179D-4CF6-B306-857610035252}">
      <text>
        <r>
          <rPr>
            <sz val="9"/>
            <color indexed="81"/>
            <rFont val="Tahoma"/>
            <family val="2"/>
          </rPr>
          <t>"Under-nutrition" in AR5,
"Severe wasting" in WHO 2020, severe stunting in WHO 2014.</t>
        </r>
      </text>
    </comment>
    <comment ref="D113" authorId="0" shapeId="0" xr:uid="{00000000-0006-0000-0100-000011000000}">
      <text>
        <r>
          <rPr>
            <sz val="9"/>
            <color indexed="81"/>
            <rFont val="Tahoma"/>
            <family val="2"/>
          </rPr>
          <t>The weight 0.128 is used for severe wasting in WHO 2020, WHO methods and data sources for global burden of disease estimates 2000-2019</t>
        </r>
      </text>
    </comment>
    <comment ref="E113" authorId="0" shapeId="0" xr:uid="{00000000-0006-0000-0100-000012000000}">
      <text>
        <r>
          <rPr>
            <sz val="9"/>
            <color indexed="81"/>
            <rFont val="Tahoma"/>
            <family val="2"/>
          </rPr>
          <t xml:space="preserve">Uncertainty in weights reported in WHO: GLOBAL BURDEN OF DISEASE 2004 UPDATE:
DISABILITY WEIGHTS FOR DISEASES AND CONDITIONS
</t>
        </r>
      </text>
    </comment>
    <comment ref="D114" authorId="0" shapeId="0" xr:uid="{00000000-0006-0000-0100-000013000000}">
      <text>
        <r>
          <rPr>
            <sz val="9"/>
            <color indexed="81"/>
            <rFont val="Tahoma"/>
            <family val="2"/>
          </rPr>
          <t>www.thelancet.com/lancetgh Vol 3 November 2015
p.712-23, and WHO 2020</t>
        </r>
      </text>
    </comment>
    <comment ref="E114" authorId="0" shapeId="0" xr:uid="{00000000-0006-0000-0100-000014000000}">
      <text>
        <r>
          <rPr>
            <sz val="9"/>
            <color indexed="81"/>
            <rFont val="Tahoma"/>
            <family val="2"/>
          </rPr>
          <t>www.thelancet.com/lancetgh Vol 3 November 2015 p.e712-23 and 
WHO 2020. Health state weights are 0.074, 0.188 and 0.277 for mild moderate and severe diarrhea respectively.</t>
        </r>
      </text>
    </comment>
    <comment ref="D115" authorId="0" shapeId="0" xr:uid="{00000000-0006-0000-0100-000015000000}">
      <text>
        <r>
          <rPr>
            <sz val="9"/>
            <color indexed="81"/>
            <rFont val="Tahoma"/>
            <family val="2"/>
          </rPr>
          <t>WHO: GLOBAL BURDEN OF DISEASE 2004 UPDATE:
DISABILITY WEIGHTS FOR DISEASES AND CONDITIONS</t>
        </r>
      </text>
    </comment>
    <comment ref="E115" authorId="0" shapeId="0" xr:uid="{A9C3B363-7F98-482D-8C56-693861845DBF}">
      <text>
        <r>
          <rPr>
            <sz val="9"/>
            <color indexed="81"/>
            <rFont val="Tahoma"/>
            <family val="2"/>
          </rPr>
          <t xml:space="preserve">Uncertainty in weights reported in WHO: GLOBAL BURDEN OF DISEASE 2004 UPDATE:
DISABILITY WEIGHTS FOR DISEASES AND CONDITIONS
</t>
        </r>
      </text>
    </comment>
    <comment ref="D116" authorId="0" shapeId="0" xr:uid="{70DB7534-FD3F-46EA-9DCF-967A42EC8593}">
      <text>
        <r>
          <rPr>
            <sz val="9"/>
            <color indexed="81"/>
            <rFont val="Tahoma"/>
            <family val="2"/>
          </rPr>
          <t>Mild moderate and severe is given weights 0.033, 0.080 and 0.167 by WHO 2020, WHO methods and data sources for global burden of disease estimates 2000-2019</t>
        </r>
      </text>
    </comment>
    <comment ref="E116" authorId="0" shapeId="0" xr:uid="{4E0AE21B-3A45-4A6C-81D9-10A628FAB565}">
      <text>
        <r>
          <rPr>
            <sz val="9"/>
            <color indexed="81"/>
            <rFont val="Tahoma"/>
            <family val="2"/>
          </rPr>
          <t>Mild moderate and severe is given weights 0.033, 0.080 and 0.167 by WHO 2020, WHO methods and data sources for global burden of disease estimates 2000-2019</t>
        </r>
      </text>
    </comment>
    <comment ref="D117" authorId="0" shapeId="0" xr:uid="{00000000-0006-0000-0100-00001A000000}">
      <text>
        <r>
          <rPr>
            <sz val="9"/>
            <color indexed="81"/>
            <rFont val="Tahoma"/>
            <family val="2"/>
          </rPr>
          <t xml:space="preserve">An average of DALY factors (Salomon et al,  Common values in assessing health outcomes from disease and injury: disability weights measurement study for the Global Burden of Disease Study 2010, Lancet Vol 380, December 15/22/29, 2012)
</t>
        </r>
      </text>
    </comment>
    <comment ref="E117" authorId="0" shapeId="0" xr:uid="{00000000-0006-0000-0100-00001B000000}">
      <text>
        <r>
          <rPr>
            <sz val="9"/>
            <color indexed="81"/>
            <rFont val="Tahoma"/>
            <family val="2"/>
          </rPr>
          <t>There is significant variation in severity, from 0,03 to 0,7 DALY (Lancet Vol 380 December 15/22/29, 2012)</t>
        </r>
      </text>
    </comment>
    <comment ref="D118" authorId="0" shapeId="0" xr:uid="{00000000-0006-0000-0100-00001C000000}">
      <text>
        <r>
          <rPr>
            <sz val="9"/>
            <color indexed="81"/>
            <rFont val="Tahoma"/>
            <family val="2"/>
          </rPr>
          <t xml:space="preserve">Acute myocardial infarction: days 1–2, 0.422 (0.28–0.566) + Acute myocardial infarction: days 1–2, 0.056 (0.035–0.082), Salomon et al. www.thelancet.com Vol 380 December 15/22/29, 2012.
</t>
        </r>
      </text>
    </comment>
    <comment ref="E118" authorId="0" shapeId="0" xr:uid="{00000000-0006-0000-0100-00001D000000}">
      <text>
        <r>
          <rPr>
            <sz val="9"/>
            <color indexed="81"/>
            <rFont val="Tahoma"/>
            <family val="2"/>
          </rPr>
          <t xml:space="preserve">Acute myocardial infarction: days 1–2, 0.422 (0.28–0.566) + Acute myocardial infarction: days 1–2, 0.056 (0.035–0.082), Salomon et al. www.thelancet.com Vol 380 December 15/22/29, 2012.
</t>
        </r>
      </text>
    </comment>
    <comment ref="B119" authorId="0" shapeId="0" xr:uid="{E76E8E1B-4FB3-4B5D-9CC6-84966915F472}">
      <text>
        <r>
          <rPr>
            <sz val="9"/>
            <color indexed="81"/>
            <rFont val="Tahoma"/>
            <family val="2"/>
          </rPr>
          <t>Capability, not mererly delivered and paid work</t>
        </r>
      </text>
    </comment>
    <comment ref="D119" authorId="0" shapeId="0" xr:uid="{B8DB0995-5D61-4E8D-9ABB-81D299E5DBAD}">
      <text>
        <r>
          <rPr>
            <sz val="9"/>
            <color indexed="81"/>
            <rFont val="Tahoma"/>
            <family val="2"/>
          </rPr>
          <t xml:space="preserve">The market value for work. The average working hours for OECD was 1744 hours/year in 2017. If including time necessary for commuting and preparing for work, the time allocated to work is around 2000 hours per year
</t>
        </r>
      </text>
    </comment>
    <comment ref="D120" authorId="0" shapeId="0" xr:uid="{CE918AE4-EFDA-41E2-B02F-424D551BB9EC}">
      <text>
        <r>
          <rPr>
            <sz val="9"/>
            <color indexed="81"/>
            <rFont val="Tahoma"/>
            <family val="2"/>
          </rPr>
          <t>www.thelancet.com/lancetgh Vol 3 November 2015
p.712-23. WHO 2020 has weights 0.015, 0.036 and 0.133 for controlled, partially controlled nd uncontroled asthma, respectively</t>
        </r>
      </text>
    </comment>
    <comment ref="E120" authorId="0" shapeId="0" xr:uid="{832DE158-992F-4574-B1A9-B38E86906B0C}">
      <text>
        <r>
          <rPr>
            <sz val="9"/>
            <color indexed="81"/>
            <rFont val="Tahoma"/>
            <family val="2"/>
          </rPr>
          <t>www.thelancet.com/lancetgh Vol 3 November 2015
p.712-23</t>
        </r>
      </text>
    </comment>
    <comment ref="B121" authorId="0" shapeId="0" xr:uid="{9799F217-7FBA-4CDB-81EB-F1301C7BD487}">
      <text>
        <r>
          <rPr>
            <sz val="9"/>
            <color indexed="81"/>
            <rFont val="Tahoma"/>
            <family val="2"/>
          </rPr>
          <t>Chronic obstructive pulmonary disease</t>
        </r>
      </text>
    </comment>
    <comment ref="D121" authorId="0" shapeId="0" xr:uid="{3126A1C3-7D2C-447C-8A1B-83B197BDF834}">
      <text>
        <r>
          <rPr>
            <sz val="9"/>
            <color indexed="81"/>
            <rFont val="Tahoma"/>
            <family val="2"/>
          </rPr>
          <t>www.thelancet.com/lancetgh Vol 3 November 2015
p.712-23.
WHO 2020 reports weights 0.019, 0.225 and 0.408 for mild, moderate and severe respiratory problems, respectively.</t>
        </r>
      </text>
    </comment>
    <comment ref="E121" authorId="0" shapeId="0" xr:uid="{F5389379-DF2D-4E9B-B283-615E67BE96E3}">
      <text>
        <r>
          <rPr>
            <sz val="9"/>
            <color indexed="81"/>
            <rFont val="Tahoma"/>
            <family val="2"/>
          </rPr>
          <t>Varies significantly from mild to severe symptoms
www.thelancet.com/lancetgh Vol 3 November 2015
p.712-23</t>
        </r>
      </text>
    </comment>
    <comment ref="D122" authorId="0" shapeId="0" xr:uid="{6C2894BD-514A-4752-A6B5-2CC8812D326E}">
      <text>
        <r>
          <rPr>
            <sz val="9"/>
            <color indexed="81"/>
            <rFont val="Tahoma"/>
            <family val="2"/>
          </rPr>
          <t>www.thelancet.com/lancetgh Vol 3 November 2015
p.712-23. WHO 2020 reports
weights 0.288 for diagnostic and primary therapy and 0.451 for metastatic phase. An average of 0.3 is assumed for a cancer case.</t>
        </r>
      </text>
    </comment>
    <comment ref="E122" authorId="0" shapeId="0" xr:uid="{57EFAB21-A8ED-42FE-A27D-B27384F6BC10}">
      <text>
        <r>
          <rPr>
            <sz val="9"/>
            <color indexed="81"/>
            <rFont val="Tahoma"/>
            <family val="2"/>
          </rPr>
          <t>Varies significantly from mild to severe symptoms
www.thelancet.com/lancet Vol 3 November 2015
p.712-23. For a cancer case cause by environmental factors the mild sympoms are estimated to last much longer.</t>
        </r>
      </text>
    </comment>
    <comment ref="D123" authorId="0" shapeId="0" xr:uid="{00000000-0006-0000-0100-000023000000}">
      <text>
        <r>
          <rPr>
            <sz val="9"/>
            <color indexed="81"/>
            <rFont val="Tahoma"/>
            <family val="2"/>
          </rPr>
          <t>GLOBAL BURDEN OF DISEASE 2004 UPDATE:
DISABILITY WEIGHTS FOR DISEASES AND CONDITIONS, WHO. No data are available in WHO 2020</t>
        </r>
      </text>
    </comment>
    <comment ref="B124" authorId="0" shapeId="0" xr:uid="{26EC4C7E-EAA9-4865-8D96-5EDDC978DBA3}">
      <text>
        <r>
          <rPr>
            <sz val="9"/>
            <color indexed="81"/>
            <rFont val="Tahoma"/>
            <family val="2"/>
          </rPr>
          <t xml:space="preserve">0.170 for low vision according to WHO GBD 2004, Distance vision: severe impairment 0.191: moderate impairment 0.033 (0.020–0.052) (www.thelancet.com Vol 380 December 15/22/29, 2012)
</t>
        </r>
      </text>
    </comment>
    <comment ref="D124" authorId="0" shapeId="0" xr:uid="{24500562-E0EB-480F-B0DA-3A0FB89FDEF8}">
      <text>
        <r>
          <rPr>
            <sz val="9"/>
            <color indexed="81"/>
            <rFont val="Tahoma"/>
            <family val="2"/>
          </rPr>
          <t>WHO 2020, WHO methods and data sources for global burden of disease estimates 2000-2019</t>
        </r>
      </text>
    </comment>
    <comment ref="E124" authorId="0" shapeId="0" xr:uid="{039AA06C-418F-4B08-B34D-E2B7D1CCCEB7}">
      <text>
        <r>
          <rPr>
            <sz val="9"/>
            <color indexed="81"/>
            <rFont val="Tahoma"/>
            <family val="2"/>
          </rPr>
          <t xml:space="preserve">WHO 2020 reports weights for mild, moderate and severe impairment of distance vision of 0.005, 0.089 and 0.314 respectively
</t>
        </r>
      </text>
    </comment>
    <comment ref="B125" authorId="0" shapeId="0" xr:uid="{32784180-0D87-4FEB-87DB-8E570656CF88}">
      <text>
        <r>
          <rPr>
            <sz val="9"/>
            <color indexed="81"/>
            <rFont val="Tahoma"/>
            <family val="2"/>
          </rPr>
          <t xml:space="preserve">Poisoning: short term, with or without
treatment 
</t>
        </r>
      </text>
    </comment>
    <comment ref="D125" authorId="0" shapeId="0" xr:uid="{00000000-0006-0000-0100-000027000000}">
      <text>
        <r>
          <rPr>
            <sz val="9"/>
            <color indexed="81"/>
            <rFont val="Tahoma"/>
            <family val="2"/>
          </rPr>
          <t>WHO 2020: methods and data sources for global burden of disease estimates 2000-2019</t>
        </r>
      </text>
    </comment>
    <comment ref="E125" authorId="0" shapeId="0" xr:uid="{9677D6BE-5CA6-491F-A3E5-795C9D144BC9}">
      <text>
        <r>
          <rPr>
            <sz val="9"/>
            <color indexed="81"/>
            <rFont val="Tahoma"/>
            <family val="2"/>
          </rPr>
          <t>95% Ci is 0.116-0.239 according to 
Lancet: Common values in assessing health outcomes from disease 
and injury: disability weights measurement study for the 
Global Burden of Disease Study 2010</t>
        </r>
      </text>
    </comment>
    <comment ref="D126" authorId="0" shapeId="0" xr:uid="{00000000-0006-0000-0100-000028000000}">
      <text>
        <r>
          <rPr>
            <sz val="9"/>
            <color indexed="81"/>
            <rFont val="Tahoma"/>
            <family val="2"/>
          </rPr>
          <t xml:space="preserve"> This impact value is not fully representative for IQ effects from Hg and Pb exposure, but the closest found. Data from Global Burden of Disease Study 2010, Lancet Vol 380, December 15/22/29, 2012)</t>
        </r>
      </text>
    </comment>
    <comment ref="E126" authorId="0" shapeId="0" xr:uid="{8AFD8A2F-8E5C-46B7-9882-F732073B3D7E}">
      <text>
        <r>
          <rPr>
            <sz val="9"/>
            <color indexed="81"/>
            <rFont val="Tahoma"/>
            <family val="2"/>
          </rPr>
          <t xml:space="preserve">95% CI is 0.018-0.049 according to Lancet vol 380 December 15/22/29, 2012
</t>
        </r>
      </text>
    </comment>
    <comment ref="D127" authorId="0" shapeId="0" xr:uid="{00000000-0006-0000-0100-000029000000}">
      <text>
        <r>
          <rPr>
            <sz val="9"/>
            <color indexed="81"/>
            <rFont val="Tahoma"/>
            <family val="2"/>
          </rPr>
          <t xml:space="preserve">YLD per case is estimated to 1.28. Searl, Alison, Exposure response functions for HM impacts on human health, Report for WP 6, EU 6th framwork project ESPREME, Estimation of willingness-to-pay to reduce risks of exposure to heavy metals and cost-benefit analysis for reducing heavy metals occurrence in Europe. 
</t>
        </r>
      </text>
    </comment>
    <comment ref="E127" authorId="0" shapeId="0" xr:uid="{FAE98B9E-B120-4E5D-AC5A-4012B188786C}">
      <text>
        <r>
          <rPr>
            <sz val="9"/>
            <color indexed="81"/>
            <rFont val="Tahoma"/>
            <family val="2"/>
          </rPr>
          <t>Osteoporosis is dfficult to value. It may only slightly influence human welfare when limiting full activity or it may lead to severe disability and extra care cost. An uncertainty of a factor of 2, is assumed.</t>
        </r>
      </text>
    </comment>
    <comment ref="D128" authorId="0" shapeId="0" xr:uid="{00000000-0006-0000-0100-00002A000000}">
      <text>
        <r>
          <rPr>
            <sz val="9"/>
            <color indexed="81"/>
            <rFont val="Tahoma"/>
            <family val="2"/>
          </rPr>
          <t>YLD per case is estimated to 0.64. Searl, Alison, Exposure response functions for HM impacts on human health, Report for WP 6, EU 6th framwork project ESPREME, Estimation of willingness-to-pay to reduce risks of exposure to heavy metals and cost-benefit analysis for reducing heavy metals occurrence in Europe. 
Chronic kidney disease stage 4 is valued to 0.104 by Salomon et al.,www.thelancet.com/lancetgh Vol 3 November 2015. With a duration of 6 years this will give approximately the same value as found in the ESPREME project.</t>
        </r>
      </text>
    </comment>
    <comment ref="E128" authorId="0" shapeId="0" xr:uid="{33182337-116E-4F50-A74D-77E1109EC94A}">
      <text>
        <r>
          <rPr>
            <sz val="9"/>
            <color indexed="81"/>
            <rFont val="Tahoma"/>
            <family val="2"/>
          </rPr>
          <t xml:space="preserve">Estimations in literature differ significantly, and even the lowest estimate is probably very uncertain as the impact from environmental pollution is on the margin on severity and not on prevalence for a defined symptom.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A1" authorId="0" shapeId="0" xr:uid="{00000000-0006-0000-0D00-000001000000}">
      <text>
        <r>
          <rPr>
            <sz val="9"/>
            <color indexed="81"/>
            <rFont val="Tahoma"/>
            <family val="2"/>
          </rPr>
          <t xml:space="preserve">The list of radionuclids are limited to those considered to have a significan impact.
</t>
        </r>
      </text>
    </comment>
    <comment ref="E4" authorId="0" shapeId="0" xr:uid="{00000000-0006-0000-0D00-000002000000}">
      <text>
        <r>
          <rPr>
            <sz val="9"/>
            <color indexed="81"/>
            <rFont val="Tahoma"/>
            <family val="2"/>
          </rPr>
          <t xml:space="preserve">Incidence of fatal cancer is 0,05/TBq (Edlund 2001). The average loss of lifew expectancy is 24 years. (Steen 1999)
</t>
        </r>
      </text>
    </comment>
    <comment ref="F4" authorId="0" shapeId="0" xr:uid="{00000000-0006-0000-0D00-000003000000}">
      <text>
        <r>
          <rPr>
            <sz val="9"/>
            <color indexed="81"/>
            <rFont val="Tahoma"/>
            <family val="2"/>
          </rPr>
          <t xml:space="preserve">The cancer incidence is 0.12/TBq (Edlund 2001). The average length of  cancer disablility is assumed to be 5 years.
</t>
        </r>
      </text>
    </comment>
    <comment ref="C5" authorId="0" shapeId="0" xr:uid="{00000000-0006-0000-0D00-000004000000}">
      <text>
        <r>
          <rPr>
            <sz val="9"/>
            <color indexed="81"/>
            <rFont val="Tahoma"/>
            <family val="2"/>
          </rPr>
          <t xml:space="preserve">For release to air or fresh water. (Edlund, O. Estimation of Years of Lost Life (YOLL) as a consequence of the nuclear fuel cycle. Chalmers University of Technology, CPM report 2001:3. Available at lifecyclecenter.se)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F7" authorId="0" shapeId="0" xr:uid="{00000000-0006-0000-0F00-000001000000}">
      <text>
        <r>
          <rPr>
            <sz val="9"/>
            <color indexed="81"/>
            <rFont val="Tahoma"/>
            <family val="2"/>
          </rPr>
          <t xml:space="preserve">A rough guess is that 4 seconds are required to collect a piecei of litter on the ground or at a sea shore.
</t>
        </r>
      </text>
    </comment>
    <comment ref="G7" authorId="0" shapeId="0" xr:uid="{EBBC3C99-7762-43A9-8FEE-FB14F8FF2373}">
      <text>
        <r>
          <rPr>
            <sz val="9"/>
            <color indexed="81"/>
            <rFont val="Tahoma"/>
            <family val="2"/>
          </rPr>
          <t xml:space="preserve">
</t>
        </r>
      </text>
    </comment>
    <comment ref="J8" authorId="0" shapeId="0" xr:uid="{00000000-0006-0000-0F00-000002000000}">
      <text>
        <r>
          <rPr>
            <sz val="9"/>
            <color indexed="81"/>
            <rFont val="Tahoma"/>
            <family val="2"/>
          </rPr>
          <t>Plastic waste causes $13 billion in annual damage to marine ecosystems, says UN agency (http://www.un.org/apps/news/story.asp?NewsID=48113#.VGDzBMnYfaI)
Plastic wastenis a big problem for marine environments, but the quantitative knowledge on impacts is low. The cost estimate abbove does not meet scientific requirements, but is an indications of the sigficicance of the problem.
"It is estimated that 10 to 20 million tonnes of plastic is finding its way into the world’s oceans each year, costing approximately US$13 billion per year in environmental damage to marine ecosystems. This includes financial losses incurred by fisheries and tourism as well as time spent cleaning up beaches."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H1" authorId="0" shapeId="0" xr:uid="{00000000-0006-0000-0600-000001000000}">
      <text>
        <r>
          <rPr>
            <sz val="9"/>
            <color indexed="81"/>
            <rFont val="Tahoma"/>
            <family val="2"/>
          </rPr>
          <t>If not specifically noted, the uncertaitny is expressed as a factor equal ti one standard deviation in a log normal distribution</t>
        </r>
      </text>
    </comment>
    <comment ref="J1" authorId="0" shapeId="0" xr:uid="{00000000-0006-0000-0600-000002000000}">
      <text>
        <r>
          <rPr>
            <sz val="9"/>
            <color indexed="81"/>
            <rFont val="Tahoma"/>
            <family val="2"/>
          </rPr>
          <t>If not specifically noted, the uncertaitny is expressed as a factor equal to one standard deviation in a log normal distribution</t>
        </r>
      </text>
    </comment>
    <comment ref="G3" authorId="0" shapeId="0" xr:uid="{00000000-0006-0000-0600-000003000000}">
      <text>
        <r>
          <rPr>
            <sz val="9"/>
            <color indexed="81"/>
            <rFont val="Tahoma"/>
            <family val="2"/>
          </rPr>
          <t xml:space="preserve">UN global environmental statistics from GEMSTAT (2014) show that Dissolved Oxygen (DO) levels are less than 9.5 mg/l (which cause reduced production capacity in lakes with an average temperature below 20ºC), in 62% of the monitoring sites, and less than 6 mg/l (which cause reduced production capacity in lakes with an average temperature above 20ºC) in 12% of the monitoring sites. 63% of the lakes have temperatures below 20ºC and the rest 37% lies above 20ºC. This allows an approximate estimate of the share of lakes with oxygen deficiency to 0.12 + (0.62–0.12)*0.63 = 0.43 or 43% of the lakes. The growth rate of fish is assumed to be directly proportional to DO at these levels. The DO levels below 9.5 is as an average 7.5 mg/l, indicating a decreased fish growth rate of (9.5–7.5)/9.5 = 0.21 for the &lt; 20-degree lakes with oxygen deficiency covering 0.63*0.12 + 0.63*0.50 = 39% of the total lake area. The DO levels below 6 mg/l areas an average 5 mg/l in &gt; 20 degrees lakes, indicating a decreased fish growth of (6–5)/6 or 16.7% in 0.37*0.12 = 4.4% of the total lake area. The total global freshwater area is 5988250 km2 (http://en.worldstat.info). The average fish growth capacity is assumed to be 1000 kg/km2, year. This means a total loss of production capacity of (0.21*0.39 + 0.167*0.044)*1000*5988250 kg/year = 5.34E+08 kg/year.
</t>
        </r>
      </text>
    </comment>
    <comment ref="H3" authorId="0" shapeId="0" xr:uid="{00000000-0006-0000-0600-000004000000}">
      <text>
        <r>
          <rPr>
            <sz val="9"/>
            <color indexed="81"/>
            <rFont val="Tahoma"/>
            <family val="2"/>
          </rPr>
          <t>The model builds on several assumptions: 1) Extrapolation of DO levels to waters not monitored, 2) independency between temperature and DO levels, 3) a linear relation between DO deficiency and decreased growth rate and 4) average production capacity of 1000 kg/km2 (which is relevant for temperate regions). Therfore a standard deviation of a factor of 2 is estimated.</t>
        </r>
      </text>
    </comment>
    <comment ref="I3" authorId="0" shapeId="0" xr:uid="{A60F4EAC-AACB-4B2E-907C-85EC1E294E78}">
      <text>
        <r>
          <rPr>
            <sz val="9"/>
            <color indexed="81"/>
            <rFont val="Tahoma"/>
            <family val="2"/>
          </rPr>
          <t>The contribution of BOD to oxygen deficiency depends not only on BOD emissions but also on N and P emissions. P and N stimulate growth of phytoplankton which is at the base of our food chain. The Redfield ratio (C:N:P = 106:16:1) for phytoplankton is often used to model the growth of biomass. When decaying, biomass requires oxygen. In environments where growth is restricted by access to P, like in most freshwaters, 1 atom of P creates 106 atoms of biomass C. Eech biomass C will require one molecule of oxygen (O2) when decaying. 1 kg of P is equal to 32.3 mole P and causes 3419 mole of C, which in turn requires 3419 mole O2 or 109.4 kg O2 or BOD in decaying. So, the contribution of 1 kg of BOD to eutrophicated freshwater depends on the BOD emissions and P emissions. Total global BOD emission to freshwater estimated from country specific World Bank data for 2004–2007 is estimated as 1.6E+10 kg. This estimation is based on an assumption that per capita emissions from the countries not covered by World Bank statistics (46% of the population) are the same as those covered. Global P-tot emissions to freshwater is estimated 3.8E+10 kg/yr [3].
Therefore, the contribution from 1 kg BOD to DO depletion in
freshwaters are 1/(1.6E+10 + 3.8E+10*109.4) = 2.40E–13.</t>
        </r>
      </text>
    </comment>
    <comment ref="J3" authorId="0" shapeId="0" xr:uid="{00000000-0006-0000-0600-000006000000}">
      <text>
        <r>
          <rPr>
            <sz val="9"/>
            <color indexed="81"/>
            <rFont val="Tahoma"/>
            <family val="2"/>
          </rPr>
          <t xml:space="preserve">Global emission data for BOD are probably only covering a part of the emissions, the Redfield model is critizised for being too simple (Kevin J. Flynn, Ecological modelling in a sea of variable stoichiometry: Dysfunctionality and the legacy of Redfield and Monod, Progress in Oceanography 84 (2010) 52–65) and fate models on Ptot indicate more than an order of magnitude difference beween low and high impact (Roel J. K. Helmes, Mark A. J. Huijbregts, Andrew D. Henderson and Olivier Jolliet, Spatially explicit fate factors of phosphorous emissions to freshwater at the global scale, The International Journal of Life Cycle Assessment, 2012 ). Large variations due to local conditions (although moderated somewhat due to multiple emission points, which is common in product systems) contribute to uncetainty. A standard deviation  of uncertainty of a factor of 3 is therefore assumed. 
</t>
        </r>
      </text>
    </comment>
    <comment ref="G4" authorId="0" shapeId="0" xr:uid="{00000000-0006-0000-0600-000007000000}">
      <text>
        <r>
          <rPr>
            <sz val="9"/>
            <color indexed="81"/>
            <rFont val="Tahoma"/>
            <family val="2"/>
          </rPr>
          <t xml:space="preserve">IUCN redlist http://www.iucnredlist.org/search, accessed at 15 October 2014
</t>
        </r>
      </text>
    </comment>
    <comment ref="H4" authorId="0" shapeId="0" xr:uid="{00000000-0006-0000-0600-000008000000}">
      <text>
        <r>
          <rPr>
            <sz val="9"/>
            <color indexed="81"/>
            <rFont val="Tahoma"/>
            <family val="2"/>
          </rPr>
          <t>It is unclear how well the data reported to IUCN cover the real situation. 
An uncertainty of a factor of 3 is assumed.</t>
        </r>
      </text>
    </comment>
    <comment ref="I4" authorId="0" shapeId="0" xr:uid="{A0DE303F-881D-4022-825F-27C2FBC09885}">
      <text>
        <r>
          <rPr>
            <sz val="9"/>
            <color indexed="81"/>
            <rFont val="Tahoma"/>
            <family val="2"/>
          </rPr>
          <t>The contribution of BOD to oxygen deficiency depends not only on BOD emissions but also on N and P emissions. P and N stimulate growth of phytoplankton which is at the base of our food chain. The Redfield ratio (C:N:P = 106:16:1) for phytoplankton is often used to model the growth of biomass. When decaying, biomass requires oxygen. In environments where growth is restricted by access to P, like in most freshwaters, 1 atom of P creates 106 atoms of biomass C. Eech biomass C will require one molecule of oxygen (O2) when decaying. 1 kg of P is equal to 32.3 mole P and causes 3419 mole of C, which in turn requires 3419 mole O2 or 109.4 kg O2 or BOD in decaying. So, the contribution of 1 kg of BOD to eutrophicated freshwater depends on the BOD emissions and P emissions. Total global BOD emission to freshwater estimated from country specific World Bank data for 2004–2007 is estimated as 1.6E+10 kg. This estimation is based on an assumption that per capita emissions from the countries not covered by World Bank statistics (46% of the population) are the same as those covered. Global P-tot emissions to freshwater is estimated 3.8E+10 kg/yr [3].
Therefore, the contribution from 1 kg BOD to DO depletion in
freshwaters are 1/(1.6E+10 + 3.8E+10*109.4) = 2.40E–13.</t>
        </r>
      </text>
    </comment>
    <comment ref="J4" authorId="0" shapeId="0" xr:uid="{77A6A5C4-82C7-42BD-9048-45A465CCB66E}">
      <text>
        <r>
          <rPr>
            <sz val="9"/>
            <color indexed="81"/>
            <rFont val="Tahoma"/>
            <family val="2"/>
          </rPr>
          <t xml:space="preserve">Global emission data for BOD are probably only covering a part of the emissions, the Redfield model is critizised for being too simple (Kevin J. Flynn, Ecological modelling in a sea of variable stoichiometry: Dysfunctionality and the legacy of Redfield and Monod, Progress in Oceanography 84 (2010) 52–65) and fate models on Ptot indicate more than an order of magnitude difference beween low and high impact (Roel J. K. Helmes, Mark A. J. Huijbregts, Andrew D. Henderson and Olivier Jolliet, Spatially explicit fate factors of phosphorous emissions to freshwater at the global scale, The International Journal of Life Cycle Assessment, 2012 ). Large variations due to local conditions (although moderated somewhat due to multiple emission points, which is common in product systems) contribute to uncetainty. A standard deviation  of uncertainty of a factor of 3 is therefore assumed. 
</t>
        </r>
      </text>
    </comment>
    <comment ref="F5" authorId="0" shapeId="0" xr:uid="{F8D391C5-C05F-46C4-91C8-8B9796090ADF}">
      <text>
        <r>
          <rPr>
            <sz val="9"/>
            <color indexed="81"/>
            <rFont val="Tahoma"/>
            <family val="2"/>
          </rPr>
          <t xml:space="preserve">Impacts via fertilization and recuced visibility is not modeled. Fertilization effects are assumed to be small. In both cases, quantative knowledge about impacts are lacking.
</t>
        </r>
      </text>
    </comment>
    <comment ref="G7" authorId="0" shapeId="0" xr:uid="{16C02EA0-31D3-40EB-87BC-EDB2E2E030B9}">
      <text>
        <r>
          <rPr>
            <sz val="9"/>
            <color indexed="81"/>
            <rFont val="Tahoma"/>
            <family val="2"/>
          </rPr>
          <t xml:space="preserve">According to Diaz and Rosenberg [4], dead zones in sea cover 245 000 km2.
A typical production rate of 10 kg/ha and year will give a total loss of 2.45E+08 kg/year. FAO has recommended that the global catch should level out at 100 million tons for fishing to be sustainable. This corresponds to about 3 kg per ha if all ocean and sea areas are included. Assuming 10 kg/ha for production and fishing at continental shelves may thus be of a reasonable order.
</t>
        </r>
      </text>
    </comment>
    <comment ref="H7" authorId="0" shapeId="0" xr:uid="{5EA03BBF-D8E4-4FE5-A756-183F263D8BE5}">
      <text>
        <r>
          <rPr>
            <sz val="9"/>
            <color indexed="81"/>
            <rFont val="Tahoma"/>
            <family val="2"/>
          </rPr>
          <t>It is unclear to what extent oxyge free bottoms represent the total sea water volume</t>
        </r>
      </text>
    </comment>
    <comment ref="I7" authorId="0" shapeId="0" xr:uid="{8EEBD84E-FE27-489D-B66A-F52C7315B8DB}">
      <text>
        <r>
          <rPr>
            <sz val="9"/>
            <color indexed="81"/>
            <rFont val="Tahoma"/>
            <family val="2"/>
          </rPr>
          <t>The contribution of BOD to oxygen deficiency depends not only on BOD emissions but also on N and P emissions. P and N stimulate growth of phytoplankton which is at the base of our food chain. The Redfield ratio (C:N:P = 106:16:1) for phytoplankton is often used to model the growth of biomass. When decaying, biomass requires oxygen. In environments where growth is restricted by access to N, like in most seawaters, 1 atom of N creates 106/16 atoms of biomass C. Each biomass C will require one molecule of oxygen (O2) when doxidized. 1 kg of N is equal to 71.4 mole N and causes 71.4*106/16 =473.2 mole of C, which in turn requires 473.2 mole O2 or 15.1 kg O2 or BOD in decaying. So, the contribution of 1 kg of BOD to eutrophicated freshwater depends on the BOD emissions and N emissions. Total global BOD emission to freshwater estimated from country specific World Bank data for 2004–2007 is estimated as 1.6E+10 kg. It is assumed that half of this reaches seawater. This estimation is based on an assumption that per capita emissions from the countries not covered by World Bank statistics (46% of the population) are the same as those covered. Galloway et al. [5] estimate the riverine flux to oceans to 47.8 Tg N/yr.
Therefore, the contribution from 1 kg BOD to DO depletion in
freshwaters are 1/(1.6E+10*0.5 + 4.78E+10*15.1) = 1.37E-12.</t>
        </r>
      </text>
    </comment>
    <comment ref="J7" authorId="0" shapeId="0" xr:uid="{FF65415B-DFC9-4518-83DA-FC36C86D8910}">
      <text>
        <r>
          <rPr>
            <sz val="9"/>
            <color indexed="81"/>
            <rFont val="Tahoma"/>
            <family val="2"/>
          </rPr>
          <t xml:space="preserve">Global emission data for BOD are probably only covering a part of the emissions, the Redfield model is critizised for being too simple (Kevin J. Flynn, Ecological modelling in a sea of variable stoichiometry: Dysfunctionality and the legacy of Redfield and Monod, Progress in Oceanography 84 (2010) 52–65) and fate models on Ptot indicate more than an order of magnitude difference beween low and high impact (Roel J. K. Helmes, Mark A. J. Huijbregts, Andrew D. Henderson and Olivier Jolliet, Spatially explicit fate factors of phosphorous emissions to freshwater at the global scale, The International Journal of Life Cycle Assessment, 2012 ). Large variations due to local conditions (although moderated somewhat due to multiple emission points, which is common in product systems) contribute to uncetainty. A standard deviation  of uncertainty of a factor of 3 is therefore assumed. 
</t>
        </r>
      </text>
    </comment>
    <comment ref="H8" authorId="0" shapeId="0" xr:uid="{C4E3CE43-8890-4DBB-BDCE-42DC86487BCB}">
      <text>
        <r>
          <rPr>
            <sz val="9"/>
            <color indexed="81"/>
            <rFont val="Tahoma"/>
            <family val="2"/>
          </rPr>
          <t>It is unclear how well the data reported to IUCN cover the real situation. 
An uncertainty of a factor of 3 is assumed.</t>
        </r>
      </text>
    </comment>
    <comment ref="I8" authorId="0" shapeId="0" xr:uid="{D36EDBC7-38AC-454B-8DD3-7D9E57B3CCEE}">
      <text>
        <r>
          <rPr>
            <sz val="9"/>
            <color indexed="81"/>
            <rFont val="Tahoma"/>
            <family val="2"/>
          </rPr>
          <t>The contribution of BOD to oxygen deficiency depends not only on BOD emissions but also on N and P emissions. P and N stimulate growth of phytoplankton which is at the base of our food chain. The Redfield ratio (C:N:P = 106:16:1) for phytoplankton is often used to model the growth of biomass. When decaying, biomass requires oxygen. In environments where growth is restricted by access to N, like in most seawaters, 1 atom of N creates 106/16 atoms of biomass C. Each biomass C will require one molecule of oxygen (O2) when doxidized. 1 kg of N is equal to 71.4 mole N and causes 71.4*106/16 =473.2 mole of C, which in turn requires 473.2 mole O2 or 15.1 kg O2 or BOD in decaying. So, the contribution of 1 kg of BOD to eutrophicated freshwater depends on the BOD emissions and N emissions. Total global BOD emission to freshwater estimated from country specific World Bank data for 2004–2007 is estimated as 1.6E+10 kg. It is assumed that half of this reaches seawater. This estimation is based on an assumption that per capita emissions from the countries not covered by World Bank statistics (46% of the population) are the same as those covered. Galloway et al. [5] estimate the riverine flux to oceans to 47.8 Tg N/yr.
Therefore, the contribution from 1 kg BOD to DO depletion in
freshwaters are 1/(1.6E+10*0.5 + 4.78E+10*15.1) = 1.37E-12.</t>
        </r>
      </text>
    </comment>
    <comment ref="J8" authorId="0" shapeId="0" xr:uid="{FF31E99E-57F5-4550-A38A-7F96D62D54D2}">
      <text>
        <r>
          <rPr>
            <sz val="9"/>
            <color indexed="81"/>
            <rFont val="Tahoma"/>
            <family val="2"/>
          </rPr>
          <t xml:space="preserve">Global emission data for BOD are probably only covering a part of the emissions, the Redfield model is critizised for being too simple (Kevin J. Flynn, Ecological modelling in a sea of variable stoichiometry: Dysfunctionality and the legacy of Redfield and Monod, Progress in Oceanography 84 (2010) 52–65) and fate models on Ptot indicate more than an order of magnitude difference beween low and high impact (Roel J. K. Helmes, Mark A. J. Huijbregts, Andrew D. Henderson and Olivier Jolliet, Spatially explicit fate factors of phosphorous emissions to freshwater at the global scale, The International Journal of Life Cycle Assessment, 2012 ). Large variations due to local conditions (although moderated somewhat due to multiple emission points, which is common in product systems) contribute to uncetainty. A standard deviation  of uncertainty of a factor of 3 is therefore assumed. 
</t>
        </r>
      </text>
    </comment>
    <comment ref="F9" authorId="0" shapeId="0" xr:uid="{BAF3A10F-1AE4-488D-A464-5F09B6D850F3}">
      <text>
        <r>
          <rPr>
            <sz val="9"/>
            <color indexed="81"/>
            <rFont val="Tahoma"/>
            <family val="2"/>
          </rPr>
          <t xml:space="preserve">Impacts via fertilization and recuced visibility is not modeled. Fertilization effects are assumed to be small. In both cases, quantative knowledge about impacts are lacking.
</t>
        </r>
      </text>
    </comment>
    <comment ref="H11" authorId="0" shapeId="0" xr:uid="{4E617D6A-3600-4F70-A68F-D0CD32DB34FF}">
      <text>
        <r>
          <rPr>
            <sz val="9"/>
            <color indexed="81"/>
            <rFont val="Tahoma"/>
            <family val="2"/>
          </rPr>
          <t>The model builds on several assumptions: 1) Extrapolation of DO levels to waters not monitored, 2) independency between temperature and DO levels, 3) a linear relation between DO deficiency and decreased growth rate and 4) average production capacity of 1000 kg/km2 (which is relevant for temperate regions), 5) dead zones are completely dead. Therfore a standard deviation of a factor of 3 is estimated.</t>
        </r>
      </text>
    </comment>
    <comment ref="I11" authorId="0" shapeId="0" xr:uid="{00000000-0006-0000-0600-000016000000}">
      <text>
        <r>
          <rPr>
            <sz val="9"/>
            <color indexed="81"/>
            <rFont val="Tahoma"/>
            <family val="2"/>
          </rPr>
          <t>The contribution to the total loss of fish production capacity from 1 kg N-tot depends not only on the total N-tot emissions but also on the total BOD-emission. Galloway et al. [5] estimate the input to rivers in the
1990s of N-tot to 118.1 Tg/yr and the riverine flux to oceans to 47.8 Tg/yr.
This gives an average transfer efficiency of 40%. BOD emissions are estimated to 0.83 Tg/yr N-eq. 1 kg of N-tot emitted to freshwater is thus contributing to 1/(118.1E+09 + 0.83E+09) = 8.41E–12 to the decrease in fish productivity.</t>
        </r>
      </text>
    </comment>
    <comment ref="J11" authorId="0" shapeId="0" xr:uid="{00000000-0006-0000-0600-000017000000}">
      <text>
        <r>
          <rPr>
            <sz val="9"/>
            <color indexed="81"/>
            <rFont val="Tahoma"/>
            <family val="2"/>
          </rPr>
          <t xml:space="preserve">The transfer efficiency is likely to vary substantially (orders of magnitude) depending on how close the emissios are to seawater (in terms of transfer time; lakes play a role) and how close it is to areas with oxygen depletion. </t>
        </r>
      </text>
    </comment>
    <comment ref="G12" authorId="0" shapeId="0" xr:uid="{994DC344-CB8D-48AC-A600-E485A1582CBB}">
      <text>
        <r>
          <rPr>
            <sz val="9"/>
            <color indexed="81"/>
            <rFont val="Tahoma"/>
            <family val="2"/>
          </rPr>
          <t>N-tot is rate limiting for fish growth i sea water. Fish is typically containing 2.7% N. For each kg of N-tot taken up by the fish, there would be a net growth of 100/2.7 = 37 kg fish.</t>
        </r>
      </text>
    </comment>
    <comment ref="H12" authorId="0" shapeId="0" xr:uid="{C8212374-6BEC-423A-B05E-84EABC6CEFE5}">
      <text>
        <r>
          <rPr>
            <sz val="9"/>
            <color indexed="81"/>
            <rFont val="Tahoma"/>
            <family val="2"/>
          </rPr>
          <t>The N-content in fish i relatively stable.</t>
        </r>
      </text>
    </comment>
    <comment ref="I12" authorId="0" shapeId="0" xr:uid="{DC28ADF0-AB36-457C-951F-62752088A8AC}">
      <text>
        <r>
          <rPr>
            <sz val="9"/>
            <color indexed="81"/>
            <rFont val="Tahoma"/>
            <family val="2"/>
          </rPr>
          <t>Galloway et al. (Biogeochemistry, 2004.
70(2): 153–226.) estimate the input to rivers in the
1990s of N-tot to 118.1 Tg/yr and the riverine flux to oceans to 47.8 Tg/yr. This gives an average transfer efficiency of 40%. The residence time for Ntot in the oceans is in the order of 1000 years implying that there is a good mixing. The animal (≈fish) part of the oceans biomass is 30% (Bar-On, Yinon M. Milo, Ron, Cell Vol 179, 2019 p. 1451-1454) The contribution to fish growth from 1 kg of N-tot emission to freshwaterwould therefore be 0.4*0.3 = 0.12 excluding denitrification and other N transformation processes. Voss et al (Phil Trans R Soc B 368: 20130121, http://dx.doi.org/10.1098/rstb.2013.0121) estimate globalt riverine flux to oceans to 40-60 Gton N/year and fish landing flux to 3.7 Gton N/year, which indicate an uptake efficiency of 0.11 of the N reaching oceans. This gives a somewhat lower contribution from emissions to freshwater, i.e. 0.11*0.4 = 0.044. A best estimate of 0.07 is used.</t>
        </r>
      </text>
    </comment>
    <comment ref="J12" authorId="0" shapeId="0" xr:uid="{B951B075-D342-4820-92D9-FAA874825687}">
      <text>
        <r>
          <rPr>
            <sz val="9"/>
            <color indexed="81"/>
            <rFont val="Tahoma"/>
            <family val="2"/>
          </rPr>
          <t xml:space="preserve">The transfer efficiency to oceans is likely to vary substantially (orders of magnitude) depending on how close the emissios are to seawater (in terms of transfer time; lakes play a role) and how much of the Ntot that is taken up by fish, depening on fluxes in the marine nitrogen cycle. </t>
        </r>
      </text>
    </comment>
    <comment ref="H13" authorId="0" shapeId="0" xr:uid="{5362BB72-8967-4581-AE3B-1DDE4DA62F03}">
      <text>
        <r>
          <rPr>
            <sz val="9"/>
            <color indexed="81"/>
            <rFont val="Tahoma"/>
            <family val="2"/>
          </rPr>
          <t>It is unclear how well the data reported to IUCN cover the real situation. 
An uncertainty of a factor of 3 is assumed.</t>
        </r>
      </text>
    </comment>
    <comment ref="J13" authorId="0" shapeId="0" xr:uid="{7A6E6C27-DED9-460E-8F29-AF64836715B1}">
      <text>
        <r>
          <rPr>
            <sz val="9"/>
            <color indexed="81"/>
            <rFont val="Tahoma"/>
            <family val="2"/>
          </rPr>
          <t xml:space="preserve">The transfer efficiency is likely to vary substantially (orders of magnitude) depending on how close the emissios are to seawater (in terms of transfer time; lakes play a role) and how close it is to areas with oxygen depletion. </t>
        </r>
      </text>
    </comment>
    <comment ref="G16" authorId="0" shapeId="0" xr:uid="{B3181272-D1D1-4713-B9CB-C881A2A7874E}">
      <text>
        <r>
          <rPr>
            <sz val="9"/>
            <color indexed="81"/>
            <rFont val="Tahoma"/>
            <family val="2"/>
          </rPr>
          <t xml:space="preserve">According to Diaz and Rosenberg [4], dead zones in sea cover 245 000 km2.
A typical production rate of 10 kg/ha and year will give a total loss of 2.45E+08 kg/year. FAO has recommended that the global catch should level out at 100 million tons for fishing to be sustainable. This corresponds to about 3 kg per ha if all ocean and sea areas are included. Assuming 10 kg/ha for production and fishing at continental shelves may thus be of a reasonable order.
</t>
        </r>
      </text>
    </comment>
    <comment ref="I16" authorId="0" shapeId="0" xr:uid="{00000000-0006-0000-0600-00001A000000}">
      <text>
        <r>
          <rPr>
            <sz val="9"/>
            <color indexed="81"/>
            <rFont val="Tahoma"/>
            <family val="2"/>
          </rPr>
          <t>The contribution to the total loss of fish production capacity from 1 kg N-tot depends not only on the total N-tot emissions but also on the total BOD-emission. Galloway et al. [5] estimate the riverine flux to oceans to 47.8 Tg N/yr. BOD emissions are estimated to 0.83 Tg/yr N-eq. 1 kg of N-tot emitted to freshwater is thus contributing to 1/(47.8E+09 + 0.83E+09) = 8.41E–12 to the decrease in fish productivity..</t>
        </r>
      </text>
    </comment>
    <comment ref="J16" authorId="0" shapeId="0" xr:uid="{00000000-0006-0000-0600-00001B000000}">
      <text>
        <r>
          <rPr>
            <sz val="9"/>
            <color indexed="81"/>
            <rFont val="Tahoma"/>
            <family val="2"/>
          </rPr>
          <t xml:space="preserve">The differences in contribution is in the order of magnitudes, depending on whether the emissions occur in coastal areas with oxygen deficient zones or not
</t>
        </r>
      </text>
    </comment>
    <comment ref="I17" authorId="0" shapeId="0" xr:uid="{2FC7AF84-E7DC-42C3-AD93-70B199AE6493}">
      <text>
        <r>
          <rPr>
            <sz val="9"/>
            <color indexed="81"/>
            <rFont val="Tahoma"/>
            <family val="2"/>
          </rPr>
          <t>The residence time for Ntot in the oceans is in the order of 1000 years implying that there is a good mixing. The animal (≈fish) part of the oceans biomass is 30% (Bar-On, Yinon M. Milo, Ron, Cell Vol 179, 2019 p. 1451-1454) The contribution to fish growth from 1 kg of N-tot emission to freshwaterwould therefore be 0.3 excluding denitrification and other N transformation processes. Voss et al (Phil Trans R Soc B 368: 20130121, http://dx.doi.org/10.1098/rstb.2013.0121) estimate globalt riverine flux to oceans to 40-60 Gton N/year and fish landing flux to 3.7 Gton N/year, which indicate an uptake efficiency of 0.11 of the N reaching oceans. This gives a somewhat lower contribution from emissions to freshwater. A best estimate of 0.2 is used.</t>
        </r>
      </text>
    </comment>
    <comment ref="J17" authorId="0" shapeId="0" xr:uid="{00000000-0006-0000-0600-00001C000000}">
      <text>
        <r>
          <rPr>
            <sz val="9"/>
            <color indexed="81"/>
            <rFont val="Tahoma"/>
            <family val="2"/>
          </rPr>
          <t xml:space="preserve">The contribution is likely to vary slighly depending on how dominant Ntot is as rate limiting.
</t>
        </r>
      </text>
    </comment>
    <comment ref="H18" authorId="0" shapeId="0" xr:uid="{0FA07D67-E7DD-448C-A897-21112EC57942}">
      <text>
        <r>
          <rPr>
            <sz val="9"/>
            <color indexed="81"/>
            <rFont val="Tahoma"/>
            <family val="2"/>
          </rPr>
          <t>It is unclear how well the data reported to IUCN cover the real situation. 
An uncertainty of a factor of 3 is assumed.</t>
        </r>
      </text>
    </comment>
    <comment ref="J18" authorId="0" shapeId="0" xr:uid="{00000000-0006-0000-0600-00001D000000}">
      <text>
        <r>
          <rPr>
            <sz val="9"/>
            <color indexed="81"/>
            <rFont val="Tahoma"/>
            <family val="2"/>
          </rPr>
          <t xml:space="preserve">The differences in contribution is in the order of magnitudes, depending on whether the emissions occur in coastal areas with oxygen deficient zones or not
</t>
        </r>
      </text>
    </comment>
    <comment ref="H21" authorId="0" shapeId="0" xr:uid="{205E091F-3A27-42A0-B6AA-CE890F2E336B}">
      <text>
        <r>
          <rPr>
            <sz val="9"/>
            <color indexed="81"/>
            <rFont val="Tahoma"/>
            <family val="2"/>
          </rPr>
          <t>The model builds on several assumptions: 1) Extrapolation of DO levels to waters not monitored, 2) independency between temperature and DO levels, 3) a linear relation between DO deficiency and decreased growth rate and 4) average production capacity of 1000 kg/km2 (which is relevant for temperate regions). Therfore a standard deviation of a factor of 2 is estimated.</t>
        </r>
      </text>
    </comment>
    <comment ref="I21" authorId="0" shapeId="0" xr:uid="{00000000-0006-0000-0600-00001E000000}">
      <text>
        <r>
          <rPr>
            <sz val="9"/>
            <color indexed="81"/>
            <rFont val="Tahoma"/>
            <family val="2"/>
          </rPr>
          <t xml:space="preserve"> Global Ptot emissions to freshwater is estimated to 3.8E10 kg/yr. (Yi Liu, Gara Villalba, Robert U. Ayres, and Hans Schroder, Global Phosphorus Flows and Environmental Impacts from a Consumption Perspective, Journal of Industrial Ecology, Volume 12, Number 2, p 229-247)
Oxygen deficiency in freshwater is also caused by BOD emissions.Total global BOD emission to freshwater estimated from country specific Worldbank data for 2004-2007 is estimated to 1.6E10 kg. This estimation is based on an assumption that per capita emissions from the countries not covered by Worldbank statistics (46% of the population) are the same as those covered. 
Assuming a Redfield ratio in fish productivity, 1 kg of P will correspond to 0,0072 kg BOD in terms of DO depletion. Therefore the contribution from P to DO depletion in freshwaters are 1/(1.6E10*0.0072+3.8E10) = 2.62E-11
</t>
        </r>
      </text>
    </comment>
    <comment ref="J21" authorId="0" shapeId="0" xr:uid="{00000000-0006-0000-0600-00001F000000}">
      <text>
        <r>
          <rPr>
            <sz val="9"/>
            <color indexed="81"/>
            <rFont val="Tahoma"/>
            <family val="2"/>
          </rPr>
          <t xml:space="preserve">The contribution to impacts depend highly on local conditions. </t>
        </r>
      </text>
    </comment>
    <comment ref="G22" authorId="0" shapeId="0" xr:uid="{D2D64D01-8018-4917-9185-929EB21D5690}">
      <text>
        <r>
          <rPr>
            <sz val="9"/>
            <color indexed="81"/>
            <rFont val="Tahoma"/>
            <family val="2"/>
          </rPr>
          <t>There is a correlation between P and fish production in lakes and rivers. As an average 1 kg P gives 1 kg extra fish. (interpreted from figure 5 in Randall et al. Canadian Journal of Fisheries and Aquatic Sciences vol 52 , 1995)</t>
        </r>
      </text>
    </comment>
    <comment ref="H22" authorId="0" shapeId="0" xr:uid="{FBDFC0B1-2C1E-49A6-AC20-B821D2C8FD24}">
      <text>
        <r>
          <rPr>
            <sz val="9"/>
            <color indexed="81"/>
            <rFont val="Tahoma"/>
            <family val="2"/>
          </rPr>
          <t>The emirical data seems to concern temperate regions, and the correlation is logaritmic, meaning that growth per kg are higher at low concentrations</t>
        </r>
      </text>
    </comment>
    <comment ref="J22" authorId="0" shapeId="0" xr:uid="{89074E67-C8EA-47F8-9F48-1E010961189D}">
      <text>
        <r>
          <rPr>
            <sz val="9"/>
            <color indexed="81"/>
            <rFont val="Tahoma"/>
            <family val="2"/>
          </rPr>
          <t xml:space="preserve">The main uncertainty has to do with the share of P that is not consumed by biomass and either deposited in sediments or transferred to sea waters.
</t>
        </r>
      </text>
    </comment>
    <comment ref="H23" authorId="0" shapeId="0" xr:uid="{DD85446C-1F7B-41EA-A11F-61587E4A4EF9}">
      <text>
        <r>
          <rPr>
            <sz val="9"/>
            <color indexed="81"/>
            <rFont val="Tahoma"/>
            <family val="2"/>
          </rPr>
          <t>It is unclear how well the data reported to IUCN cover the real situation. 
An uncertainty of a factor of 3 is assumed.</t>
        </r>
      </text>
    </comment>
    <comment ref="I23" authorId="0" shapeId="0" xr:uid="{00000000-0006-0000-0600-000020000000}">
      <text>
        <r>
          <rPr>
            <sz val="9"/>
            <color indexed="81"/>
            <rFont val="Tahoma"/>
            <family val="2"/>
          </rPr>
          <t xml:space="preserve"> Global Ptot emissions to freshwater is estimated to 3.8E10 kg/yr. (Yi Liu, Gara Villalba, Robert U. Ayres, and Hans Schroder, Global Phosphorus Flows and Environmental Impacts from a Consumption Perspective, Journal of Industrial Ecology, Volume 12, Number 2, p 229-247)
Oxygen deficiency in freshwater is also caused by BOD emissions.Total global BOD emission to freshwater estimated from country specific Worldbank data for 2004-2007 is estimated to 1.6E10 kg. This estimation is based on an assumption that per capita emissions from the countries not covered by Worldbank statistics (46% of the population) are the same as those covered. 
Assuming a Redfield ratio in fish productivity, 1 kg of P will correspond to 0,0072 kg BOD in terms of DO depletion. Therefore the contribution from P to DO depletion in freshwaters are 1/(1.6E10*0.0072+3.8E10) = 2.62E-11
</t>
        </r>
      </text>
    </comment>
    <comment ref="J23" authorId="0" shapeId="0" xr:uid="{9EAD092A-17E4-43E3-BB05-BAD8F716EE6D}">
      <text>
        <r>
          <rPr>
            <sz val="9"/>
            <color indexed="81"/>
            <rFont val="Tahoma"/>
            <family val="2"/>
          </rPr>
          <t xml:space="preserve">The contribution to impacts depend highly on local conditions. </t>
        </r>
      </text>
    </comment>
    <comment ref="G26" authorId="0" shapeId="0" xr:uid="{00000000-0006-0000-0600-000026000000}">
      <text>
        <r>
          <rPr>
            <sz val="9"/>
            <color indexed="81"/>
            <rFont val="Tahoma"/>
            <family val="2"/>
          </rPr>
          <t>The global yearly run off of water is 24000 km3 
Gerten et al Journal of Hydrology 286 (2004) 249–270. Each person drinks about 2 l/day as an average. The total intake of water from the global population is thus 5.256 km3/year. Of 1 kg of emitted metal, 219 μg will enter humans through drinking water. This corresponds to a lifetime dose of 219/(365*70) = 0.00857 μg/day.
The risk for bladder cancer is increased by 0,01%/μg/day (EU project ESPREME) and the global average incidence is 1.7E-4 Global average Lancet 2012; 380: 2095–128. Thus there is an absolute risk of 3.22E-7 per ug/day lifetime exposure. 
The marginal  reduction of life expectancy is estimated to 3.7 years based on WHO estimates of global YOLL/years for different age groups and an average life expectancy of 70 years. 
The average mortality in bladder cancer is about 50%.
Thus the average YOLL/kg As is 0.00857*3.22E-7*3.7*0.5 =2.9E-9 YOLL/kg</t>
        </r>
      </text>
    </comment>
    <comment ref="H26" authorId="0" shapeId="0" xr:uid="{00000000-0006-0000-0600-000027000000}">
      <text>
        <r>
          <rPr>
            <sz val="9"/>
            <color indexed="81"/>
            <rFont val="Tahoma"/>
            <family val="2"/>
          </rPr>
          <t>The main uncertainty lies in the estimation of exposure levels, as the model is very simplistic and only covers one pathway. There is also an uncertainty in dose-respons rates.</t>
        </r>
      </text>
    </comment>
    <comment ref="J26" authorId="0" shapeId="0" xr:uid="{8AF511D4-8E0C-4FC2-ACB4-CA5965FB6CC9}">
      <text>
        <r>
          <rPr>
            <sz val="9"/>
            <color indexed="81"/>
            <rFont val="Tahoma"/>
            <family val="2"/>
          </rPr>
          <t xml:space="preserve">Close to 1, but a value of 1 need to be avoided because it causes problem in the montecarlo simulation.
</t>
        </r>
      </text>
    </comment>
    <comment ref="G27" authorId="0" shapeId="0" xr:uid="{00000000-0006-0000-0600-000028000000}">
      <text>
        <r>
          <rPr>
            <sz val="9"/>
            <color indexed="81"/>
            <rFont val="Tahoma"/>
            <family val="2"/>
          </rPr>
          <t>The global yearly run-off of water is 24000 km3 [6]. A person drinks about
2 l/day water as an average. The total intake of water from the global
population is thus 2E–12*365*7.2E+09 = 5.256 km3/year. Of 1 kg of emitted
metal, 5.256/24000 = 0.000219 kg or 219 mg will enter humans through
drinking water per year. This corresponds to an average daily individual
dose of 219/(365*7.2E+09)*1000 = 8.33E–08 μg/day.
There is a 0.0025% absolute risk/μg/day to die from CVD due to As
exposure [8]. The marginal reduction of life expectancy is estimated to be
5.0 years based on WHO estimates of global YLL for different age groups
and an average life expectancy of 70 years.
Thus, the average YLL/kg As is 0.000025*8.33E–08*7.2E+09*5 = 0.075
YLL/kg As.</t>
        </r>
      </text>
    </comment>
    <comment ref="H27" authorId="0" shapeId="0" xr:uid="{00000000-0006-0000-0600-000029000000}">
      <text>
        <r>
          <rPr>
            <sz val="9"/>
            <color indexed="81"/>
            <rFont val="Tahoma"/>
            <family val="2"/>
          </rPr>
          <t xml:space="preserve">In the model it was assumed that no purification of water was made. Other intake pathways, e.g., via food were not modeled. This introduces a large uncertainty. A factor of 4 is assumed.
</t>
        </r>
      </text>
    </comment>
    <comment ref="J27" authorId="0" shapeId="0" xr:uid="{1A8F0B20-045E-4AFA-A91D-9CF47464400B}">
      <text>
        <r>
          <rPr>
            <sz val="9"/>
            <color indexed="81"/>
            <rFont val="Tahoma"/>
            <family val="2"/>
          </rPr>
          <t xml:space="preserve">Close to 1, but a value of 1 need to be avoided because it causes problem in the montecarlo simulation.
</t>
        </r>
      </text>
    </comment>
    <comment ref="G28" authorId="0" shapeId="0" xr:uid="{00000000-0006-0000-0600-00002A000000}">
      <text>
        <r>
          <rPr>
            <sz val="9"/>
            <color indexed="81"/>
            <rFont val="Tahoma"/>
            <family val="2"/>
          </rPr>
          <t>The global yearly run-off of water is 24000 km3 [6]. A person drinks about
2 l/day water as an average. The total intake of water from the global
population is thus 2E–12*365*7.2E+09 = 5.256 km3/year. Of 1 kg of emitted
metal, 5.256/24000 = 0.000219 kg or 219 mg will enter humans through
drinking water per year. This corresponds to an average daily individual
dose of 219/(365*7.2E+09)*1000 = 8.33E–08 μg/day.
The relative risk for skin cancer including malignant melanoma
is increased by 0.002%/μg/day [8] and the global average incidence is
0.00093 (49100 deaths out of total 52700000) [7]. Thus, there is an absolute
risk of 2E–05*9.3E-4 = 1.86E-8 per ug/day lifetime exposure.
182 Monetary Valuation of Environmental Impacts: Models and Data
The marginal reduction of life expectancy from melanoma and skin
cancer is estimated to be 7.4 years based on WHO estimates of global YLL/
years for different age groups and an average life expectancy of 70 years.
Mortality in skin cancer is low, about 12% for melanoma and 0.2%
for SCC and BCC. If applying the ratio of predicted cancer incidences
for melanoma vs. SCC + BCC, the US [9] which estimate the melanoma
incidence to 2.7% of all cases, the global mortality rate until 2100 will be
0.12*0.027 + 0.002*0.973 = 0.00518.
Thus, the average YLL is 0.0000000186*0.0000000833*7200000000*0.00
518*7.4 = 4.28E–7 YLL/kg As.</t>
        </r>
      </text>
    </comment>
    <comment ref="H28" authorId="0" shapeId="0" xr:uid="{00000000-0006-0000-0600-00002B000000}">
      <text>
        <r>
          <rPr>
            <sz val="9"/>
            <color indexed="81"/>
            <rFont val="Tahoma"/>
            <family val="2"/>
          </rPr>
          <t xml:space="preserve">The main uncertainty lies in the estimation of exposure levels. There is also an uncertainty in dose-respons
rates.
</t>
        </r>
      </text>
    </comment>
    <comment ref="J28" authorId="0" shapeId="0" xr:uid="{BD8DA0B7-DFC3-4F89-861E-4CEAD3F4D2FF}">
      <text>
        <r>
          <rPr>
            <sz val="9"/>
            <color indexed="81"/>
            <rFont val="Tahoma"/>
            <family val="2"/>
          </rPr>
          <t xml:space="preserve">Close to 1, but a value of 1 need to be avoided because it causes problem in the montecarlo simulation.
</t>
        </r>
      </text>
    </comment>
    <comment ref="G31" authorId="0" shapeId="0" xr:uid="{00000000-0006-0000-0600-00002C000000}">
      <text>
        <r>
          <rPr>
            <sz val="9"/>
            <color indexed="81"/>
            <rFont val="Tahoma"/>
            <family val="2"/>
          </rPr>
          <t xml:space="preserve">The global yearly run off of water is 24000 km3 
Gerten et al Journal of Hydrology 286 (2004) 249–270. Each person drinks about 2 l/day as an average. The total intake of water from the global population is thus 5,256 km3/year. Of 1 kg of emitted metal, 219 μg will enter humans through drinking water. This corresponds to a lifetime dose of 219/(365*70) = 0.00857 μg/day.
There is a 0,8% risk/ug/day to develop osteoporosis due to Cd exposure. (ESPREME, 2007, Exposure response functions for HM impacts on human health) 
Thus the average cases/kg Cd is 0.008*0.00875 =7.00E-5 </t>
        </r>
      </text>
    </comment>
    <comment ref="H31" authorId="0" shapeId="0" xr:uid="{00000000-0006-0000-0600-00002D000000}">
      <text>
        <r>
          <rPr>
            <sz val="9"/>
            <color indexed="81"/>
            <rFont val="Tahoma"/>
            <family val="2"/>
          </rPr>
          <t xml:space="preserve">The main uncertainty lies in the estimation of exposure levels. There is also an uncertainty in dose-respons
rates.
</t>
        </r>
      </text>
    </comment>
    <comment ref="J31" authorId="0" shapeId="0" xr:uid="{75E9F006-413B-4467-BAB7-38C94C368774}">
      <text>
        <r>
          <rPr>
            <sz val="9"/>
            <color indexed="81"/>
            <rFont val="Tahoma"/>
            <family val="2"/>
          </rPr>
          <t xml:space="preserve">Close to 1, but a value of 1 need to be avoided because it causes problem in the montecarlo simulation.
</t>
        </r>
      </text>
    </comment>
    <comment ref="G32" authorId="0" shapeId="0" xr:uid="{00000000-0006-0000-0600-00002E000000}">
      <text>
        <r>
          <rPr>
            <sz val="9"/>
            <color indexed="81"/>
            <rFont val="Tahoma"/>
            <family val="2"/>
          </rPr>
          <t>The global yearly run off of water is 24000 km3 
Gerten et al Journal of Hydrology 286 (2004) 249–270. Each person drinks about 2 l/day as an average. The total intake of water from the global population is thus 5,256 km3/year. Of 1 kg of emitted metal, 219 μg will enter humans through drinking water. This corresponds to a lifetime dose of 219/(365*70) = 0.00857 μg/day.
There is a 0.04% risk/ug/day to develop renal dysfunction due to Cd exposure. (ESPREME, 2007, Exposure response functions for HM impacts on human health) 
Thus the average cases/kg Cd is 0.0004*0.00875 =</t>
        </r>
      </text>
    </comment>
    <comment ref="H32" authorId="0" shapeId="0" xr:uid="{00000000-0006-0000-0600-00002F000000}">
      <text>
        <r>
          <rPr>
            <sz val="9"/>
            <color indexed="81"/>
            <rFont val="Tahoma"/>
            <family val="2"/>
          </rPr>
          <t xml:space="preserve">The main uncertainty lies in the estimation of exposure levels. There is also an uncertainty in dose-respons
rates.
</t>
        </r>
      </text>
    </comment>
    <comment ref="J32" authorId="0" shapeId="0" xr:uid="{D831FD19-5D07-4C82-BA57-1FC6A0CDBA51}">
      <text>
        <r>
          <rPr>
            <sz val="9"/>
            <color indexed="81"/>
            <rFont val="Tahoma"/>
            <family val="2"/>
          </rPr>
          <t xml:space="preserve">Close to 1, but a value of 1 need to be avoided because it causes problem in the montecarlo simulation.
</t>
        </r>
      </text>
    </comment>
    <comment ref="C35" authorId="0" shapeId="0" xr:uid="{0AFBA210-2036-41CA-AC53-E75A7DDD771A}">
      <text>
        <r>
          <rPr>
            <sz val="9"/>
            <color indexed="81"/>
            <rFont val="Tahoma"/>
            <family val="2"/>
          </rPr>
          <t xml:space="preserve">https://www.osha.gov/hexavalent-chromium/health-effects
</t>
        </r>
      </text>
    </comment>
    <comment ref="G35" authorId="0" shapeId="0" xr:uid="{00000000-0006-0000-0600-000030000000}">
      <text>
        <r>
          <rPr>
            <sz val="9"/>
            <color indexed="81"/>
            <rFont val="Tahoma"/>
            <family val="2"/>
          </rPr>
          <t>The global yearly run off of water is 24000 km3 
Gerten et al Journal of Hydrology 286 (2004) 249–270. Each person drinks about 2 l/day as an average. The total intake of water from the global population is thus 5,256 km3/year. Of 1 kg of emitted metal, 219 μg will enter humans through drinking water. This corresponds to a lifetime dose of 219/(365*70) = 0.00857 μg/day.
There is a 0.3% increased risk/ug/daily intake to develop renal dysfunction due to Cr6+ exposure and an absolute risk of 1.35E-4 ug/daily intake (ESPREME, 2007, Exposure response functions for HM impacts on human health). Based on these values the average cases/kg Cd is 0.000135*0.00875 =1.1E-6</t>
        </r>
      </text>
    </comment>
    <comment ref="H35" authorId="0" shapeId="0" xr:uid="{BF67B03F-B436-422E-9949-1E3955C72B46}">
      <text>
        <r>
          <rPr>
            <sz val="9"/>
            <color indexed="81"/>
            <rFont val="Tahoma"/>
            <family val="2"/>
          </rPr>
          <t xml:space="preserve">The main uncertainty lies in the estimation of exposure levels. There is also an uncertainty in dose-respons
rates.
</t>
        </r>
      </text>
    </comment>
    <comment ref="J35" authorId="0" shapeId="0" xr:uid="{FE58D56D-DED4-458C-A225-A3C8B280CC53}">
      <text>
        <r>
          <rPr>
            <sz val="9"/>
            <color indexed="81"/>
            <rFont val="Tahoma"/>
            <family val="2"/>
          </rPr>
          <t xml:space="preserve">Close to 1, but a value of 1 need to be avoided because it causes problem in the montecarlo simulation.
</t>
        </r>
      </text>
    </comment>
    <comment ref="C37" authorId="0" shapeId="0" xr:uid="{75FC4FBB-2E5A-4440-B81F-7870522AE557}">
      <text>
        <r>
          <rPr>
            <sz val="9"/>
            <color indexed="81"/>
            <rFont val="Tahoma"/>
            <family val="2"/>
          </rPr>
          <t xml:space="preserve">https://archive.cdc.gov/www_atsdr_cdc_gov/csem/leadtoxicity/physiological_effects.html
</t>
        </r>
      </text>
    </comment>
    <comment ref="G37" authorId="0" shapeId="0" xr:uid="{00000000-0006-0000-0600-000032000000}">
      <text>
        <r>
          <rPr>
            <sz val="9"/>
            <color indexed="81"/>
            <rFont val="Tahoma"/>
            <family val="2"/>
          </rPr>
          <t>The global yearly run off of water is 24000 km3 
Gerten et al Journal of Hydrology 286 (2004) 249–270. Each person drinks about 2 l/day as an average. The total intake of water from the global population is thus 5,256 km3/year. Of 1 kg of emitted metal, 219 μg will enter humans through drinking water. This corresponds to a lifetime dose of 219/(365*70) = 0.00857 μg/day.
There is a 0.2% increased risk/ug/dl in blood to develop renal dysfunction due to Pb exposure and an absolute risk of 6E-4 ug/daily intake (derived from ESPREME, 2007, Exposure response functions for HM impacts on human health). 
Thus the average cases/kg Pb is 0.0006*0.00875 =5.14E-6
In a review article 2018, Moody, E. C., Coca, S. G. and Sanders, A. P. found little evidence on impacts from environmental pathways.</t>
        </r>
      </text>
    </comment>
    <comment ref="H37" authorId="0" shapeId="0" xr:uid="{DEAB468F-7291-47FE-A873-AB24DB556F98}">
      <text>
        <r>
          <rPr>
            <sz val="9"/>
            <color indexed="81"/>
            <rFont val="Tahoma"/>
            <family val="2"/>
          </rPr>
          <t xml:space="preserve">The main uncertainty lies in the estimation of exposure levels. There is also an uncertainty in dose-respons
rates.
</t>
        </r>
      </text>
    </comment>
    <comment ref="J37" authorId="0" shapeId="0" xr:uid="{A0BD4910-D17A-4549-8F6B-0330DF36F865}">
      <text>
        <r>
          <rPr>
            <sz val="9"/>
            <color indexed="81"/>
            <rFont val="Tahoma"/>
            <family val="2"/>
          </rPr>
          <t xml:space="preserve">Close to 1, but a value of 1 need to be avoided because it causes problem in the montecarlo simulation.
</t>
        </r>
      </text>
    </comment>
    <comment ref="G39" authorId="0" shapeId="0" xr:uid="{00000000-0006-0000-0600-000033000000}">
      <text>
        <r>
          <rPr>
            <sz val="9"/>
            <color indexed="81"/>
            <rFont val="Tahoma"/>
            <family val="2"/>
          </rPr>
          <t>Some groups of the population in North America, Europe and New Zealand eating much locally caught fish tend to get high mercury concentrations in body tissue. This may lead to various health effects but the one of most concern is mental retardation of children due to prenatal exposure (Kjellström et al., 1988). In a New Zealand study, 1000 out of 11000 new mothers had consumed fish more than three times a week. 73 of these had hair mercury levels above 6 mg/kg. 50% of the high mercury level children had abnormal or questionable test results in a Denver Development Screening Test, whereas only 17% of the reference children had such results. This indicates that 0.2% of a “fish eating” population like New Zealand is affected. Globally the “fish eating” population is in the order of 200 millions. 0.2% of these are 400000. .
In a USEPA study to the Congress 1997, 166000 pregnant women were estimated to be eating fish above 100 g/day. This corresponds to  0.07% of the population.  Upscaled to the global population, 4.8 million people/year will be eating fish above 100 g/day. If the same frequency of high mercury levels are assumed as in New Zealand (73/1000), we obtain a figure of 0.073*4.8 million =345000 personyears per year.
In an Iraqi study, cited by USEPA, severe neurogical effects is observed first at hair concentrations above 10 - 50 mg/kg. The effect corresponding to DALY clessification of mild mental retardations is thereore estimated to 1000000 personyears per year.</t>
        </r>
      </text>
    </comment>
    <comment ref="H39" authorId="0" shapeId="0" xr:uid="{00000000-0006-0000-0600-000034000000}">
      <text>
        <r>
          <rPr>
            <sz val="9"/>
            <color indexed="81"/>
            <rFont val="Tahoma"/>
            <family val="2"/>
          </rPr>
          <t xml:space="preserve">Most of the literature on health risks from mercury aims at finding safe levels and setting standards. What actually happens at high exposures is unclear and in particular is it unclear how the effects recorded at the accidental exposure in Iraq coincides with the DALY classification, in this case "intellectual disability: mild, moderate, severe or profound". In the Iraqi study of the 1971 Iraqi methylmercury poisoning incident 8 out of 54 children with doses of mercury in hair above 10 ppm had mental symptoms, but significant impacts where evident first at those children having exposures at 53 ppm and above.
</t>
        </r>
      </text>
    </comment>
    <comment ref="I39" authorId="0" shapeId="0" xr:uid="{00000000-0006-0000-0600-000035000000}">
      <text>
        <r>
          <rPr>
            <sz val="9"/>
            <color indexed="81"/>
            <rFont val="Tahoma"/>
            <family val="2"/>
          </rPr>
          <t xml:space="preserve">The global anthropogenic emission of Hg to air is estimated to 1960 tonnes and 1000 tonnes to water in 2010 (UNEP, 2010). The natural emission is around 670 tonnes, and there is a substatial reemission of mercury from old depositions, approximately 4000 tonnes. Totally the emissions contributing to the population exposure via fish is thus 7630 ton.
</t>
        </r>
      </text>
    </comment>
    <comment ref="J39" authorId="0" shapeId="0" xr:uid="{00000000-0006-0000-0600-000036000000}">
      <text>
        <r>
          <rPr>
            <sz val="9"/>
            <color indexed="81"/>
            <rFont val="Tahoma"/>
            <family val="2"/>
          </rPr>
          <t xml:space="preserve">Even if mercury is distributed on a global scale, it is uncertain how much of a single emissions that is transfeerd to methylmercury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F1" authorId="0" shapeId="0" xr:uid="{00000000-0006-0000-0500-000001000000}">
      <text>
        <r>
          <rPr>
            <sz val="9"/>
            <color indexed="81"/>
            <rFont val="Tahoma"/>
            <family val="2"/>
          </rPr>
          <t xml:space="preserve"> Mostly Rudnick, R.L. and Gao, S., Chapter 4.1 - Composition of the Continental Crustin in Holland, Heinrich D. and Turekian, Karl K.Treatise on Geochemistry (Second Edition), 2014, Elsevoer, Oxford</t>
        </r>
      </text>
    </comment>
    <comment ref="G1" authorId="0" shapeId="0" xr:uid="{03297E1D-2D3D-4C2E-9EF5-131D7696A9A7}">
      <text>
        <r>
          <rPr>
            <sz val="9"/>
            <color indexed="81"/>
            <rFont val="Tahoma"/>
            <family val="2"/>
          </rPr>
          <t>Based on Steen, B. and Borg, G., An estimation of the cost of sustainable production of metal concentrates from the earth’s crust 
Ecological economics, 42, (2002)</t>
        </r>
      </text>
    </comment>
    <comment ref="H1" authorId="0" shapeId="0" xr:uid="{00000000-0006-0000-0500-000002000000}">
      <text>
        <r>
          <rPr>
            <sz val="9"/>
            <color indexed="81"/>
            <rFont val="Tahoma"/>
            <family val="2"/>
          </rPr>
          <t>The damage cost or value factor is equal to the cost of a sustainable alternative, e.g. mining from bedrock instead of ore. Such a process is shown to the left at this worksheet.</t>
        </r>
      </text>
    </comment>
    <comment ref="F2" authorId="0" shapeId="0" xr:uid="{292428C1-1C9E-44B1-BDD9-5A442396BE85}">
      <text>
        <r>
          <rPr>
            <sz val="9"/>
            <color indexed="81"/>
            <rFont val="Tahoma"/>
            <family val="2"/>
          </rPr>
          <t xml:space="preserve">Rudnick and Gao 2014
</t>
        </r>
      </text>
    </comment>
    <comment ref="G2" authorId="0" shapeId="0" xr:uid="{13A39CF9-CE7D-4ECC-A37A-E4044F867CAD}">
      <text>
        <r>
          <rPr>
            <sz val="9"/>
            <color indexed="81"/>
            <rFont val="Tahoma"/>
            <family val="2"/>
          </rPr>
          <t xml:space="preserve">Asssumed
</t>
        </r>
      </text>
    </comment>
    <comment ref="H2" authorId="0" shapeId="0" xr:uid="{CBD9FE73-CCAA-4B61-8A08-B014E03681EA}">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adjustedfor inflation to 73.6 $/ton or 62.5 €/ton. Ag is extracted together with Au from  crushed bedrock with cyanide. It is assumed that the HCl leached fines for base and trace metals can be used and that consumption of HCN largely corresponds to Au and Ag content.
This means that that the value factor is calculated in the same way as if HCl was used.</t>
        </r>
      </text>
    </comment>
    <comment ref="I2" authorId="0" shapeId="0" xr:uid="{EE9DF323-4E95-4BE2-95D6-CAEA37B9B936}">
      <text>
        <r>
          <rPr>
            <sz val="9"/>
            <color indexed="81"/>
            <rFont val="Tahoma"/>
            <family val="2"/>
          </rPr>
          <t>The cost for trace metal ores is larger than for Fe (1.6) because we do not know how many metals will be mined at the same time. Besides, the use of HCN adds extra uncertainty.</t>
        </r>
      </text>
    </comment>
    <comment ref="F3" authorId="0" shapeId="0" xr:uid="{E479EE6A-6F36-4CC3-80BB-D03B4490B792}">
      <text>
        <r>
          <rPr>
            <sz val="9"/>
            <color indexed="81"/>
            <rFont val="Tahoma"/>
            <family val="2"/>
          </rPr>
          <t xml:space="preserve">Rudnick and Gao 2014
</t>
        </r>
      </text>
    </comment>
    <comment ref="G3" authorId="0" shapeId="0" xr:uid="{7DD2F91F-24EF-4633-B1DA-E3EBCEA30EB2}">
      <text>
        <r>
          <rPr>
            <sz val="9"/>
            <color indexed="81"/>
            <rFont val="Tahoma"/>
            <family val="2"/>
          </rPr>
          <t xml:space="preserve">Assumed
</t>
        </r>
      </text>
    </comment>
    <comment ref="H3" authorId="0" shapeId="0" xr:uid="{EF91F5FA-D162-4200-98F0-BF4391715948}">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 authorId="0" shapeId="0" xr:uid="{B944AD0F-0AB9-45D1-9A7B-8A152142167C}">
      <text>
        <r>
          <rPr>
            <sz val="9"/>
            <color indexed="81"/>
            <rFont val="Tahoma"/>
            <family val="2"/>
          </rPr>
          <t>The cost for trace metal ores is larger than for Fe (1.6) because we do not know how many metals will be mined at the same time.</t>
        </r>
      </text>
    </comment>
    <comment ref="F4" authorId="0" shapeId="0" xr:uid="{829C8CDF-F807-4A60-AE95-3FC572DE9F1A}">
      <text>
        <r>
          <rPr>
            <sz val="9"/>
            <color indexed="81"/>
            <rFont val="Tahoma"/>
            <family val="2"/>
          </rPr>
          <t xml:space="preserve">Rudnick and Gao 2014
</t>
        </r>
      </text>
    </comment>
    <comment ref="G4" authorId="0" shapeId="0" xr:uid="{71AC4614-84C1-4C10-ACA0-85CABA1E748F}">
      <text>
        <r>
          <rPr>
            <sz val="9"/>
            <color indexed="81"/>
            <rFont val="Tahoma"/>
            <family val="2"/>
          </rPr>
          <t xml:space="preserve">Assumed
</t>
        </r>
      </text>
    </comment>
    <comment ref="H4" authorId="0" shapeId="0" xr:uid="{47F15EBB-34C8-4416-8B00-67A9D47F2B17}">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adjustedfor inflation to 73.6 $/ton or 62.5 €/ton. Ag is extracted together with Ag from  crushed bedrock with cyanide. It is assumed that the HCl leached fines for base and trace metals can be used and that consumption of HCN largely corresponds to Au and Ag content.
This means that that the value factor is calculated in the same way as if HCl was used.</t>
        </r>
      </text>
    </comment>
    <comment ref="I4" authorId="0" shapeId="0" xr:uid="{3D16FE09-0AC3-4522-B0B3-7B03A25271C9}">
      <text>
        <r>
          <rPr>
            <sz val="9"/>
            <color indexed="81"/>
            <rFont val="Tahoma"/>
            <family val="2"/>
          </rPr>
          <t>The cost for trace metal ores is larger than for Fe (1.6) because we do not know how many metals will be mined at the same time.</t>
        </r>
      </text>
    </comment>
    <comment ref="F5" authorId="0" shapeId="0" xr:uid="{D8D64B60-4FAE-472B-8F0F-7E3F24944055}">
      <text>
        <r>
          <rPr>
            <sz val="9"/>
            <color indexed="81"/>
            <rFont val="Tahoma"/>
            <family val="2"/>
          </rPr>
          <t xml:space="preserve">Rudnick and Gao 2014
</t>
        </r>
      </text>
    </comment>
    <comment ref="G5" authorId="0" shapeId="0" xr:uid="{19B7E783-2001-43C7-A7FD-6A83D2EFFAB6}">
      <text>
        <r>
          <rPr>
            <sz val="9"/>
            <color indexed="81"/>
            <rFont val="Tahoma"/>
            <family val="2"/>
          </rPr>
          <t xml:space="preserve">Steen and Borg
(for granite)
</t>
        </r>
      </text>
    </comment>
    <comment ref="H5" authorId="0" shapeId="0" xr:uid="{4E1AFF86-6DD3-4FF3-9FB8-A6C67D459FDC}">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 authorId="0" shapeId="0" xr:uid="{A08671D2-6EDE-4275-A2C0-9A83D81D4289}">
      <text>
        <r>
          <rPr>
            <sz val="9"/>
            <color indexed="81"/>
            <rFont val="Tahoma"/>
            <family val="2"/>
          </rPr>
          <t>Low and
varying leaching efficiency, suggests improvements should be possible</t>
        </r>
      </text>
    </comment>
    <comment ref="F6" authorId="0" shapeId="0" xr:uid="{54451B46-70CE-4205-834B-61EA051E201F}">
      <text>
        <r>
          <rPr>
            <sz val="9"/>
            <color indexed="81"/>
            <rFont val="Tahoma"/>
            <family val="2"/>
          </rPr>
          <t xml:space="preserve">Rudnick and Gao 2014
</t>
        </r>
      </text>
    </comment>
    <comment ref="G6" authorId="0" shapeId="0" xr:uid="{0E8A254D-5EB4-46C2-9E8E-2CA1474995E4}">
      <text>
        <r>
          <rPr>
            <sz val="9"/>
            <color indexed="81"/>
            <rFont val="Tahoma"/>
            <family val="2"/>
          </rPr>
          <t>The leahcing effciency for Be in HCl is unknown. There are signs that its chemical properties resembles that of Al, and that it is soluble in alkali. A leaching  efficiency of 50% is assumed as a first approximation</t>
        </r>
      </text>
    </comment>
    <comment ref="H6" authorId="0" shapeId="0" xr:uid="{391D9158-75D9-4E90-9688-D4CCE3EC09C9}">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 authorId="0" shapeId="0" xr:uid="{9B8D0F2A-E7F5-4F1C-9E5D-527ED54461E2}">
      <text>
        <r>
          <rPr>
            <sz val="9"/>
            <color indexed="81"/>
            <rFont val="Tahoma"/>
            <family val="2"/>
          </rPr>
          <t xml:space="preserve">Unclear leaching process and efficiency
</t>
        </r>
      </text>
    </comment>
    <comment ref="F7" authorId="0" shapeId="0" xr:uid="{B2974DB5-E771-4325-A2C8-A574450FFE66}">
      <text>
        <r>
          <rPr>
            <sz val="9"/>
            <color indexed="81"/>
            <rFont val="Tahoma"/>
            <family val="2"/>
          </rPr>
          <t xml:space="preserve">Rudnick and Gao 2014
</t>
        </r>
      </text>
    </comment>
    <comment ref="G7" authorId="0" shapeId="0" xr:uid="{623325E4-898C-4EDC-85A8-C0BE3A79DFFD}">
      <text>
        <r>
          <rPr>
            <sz val="9"/>
            <color indexed="81"/>
            <rFont val="Tahoma"/>
            <family val="2"/>
          </rPr>
          <t xml:space="preserve">Assumed
</t>
        </r>
      </text>
    </comment>
    <comment ref="H7" authorId="0" shapeId="0" xr:uid="{176B006D-7094-4C2F-8581-1AC41F6ADA8B}">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7" authorId="0" shapeId="0" xr:uid="{39E8FC92-C47A-4CDF-966C-CDD8E744116B}">
      <text>
        <r>
          <rPr>
            <sz val="9"/>
            <color indexed="81"/>
            <rFont val="Tahoma"/>
            <family val="2"/>
          </rPr>
          <t>The cost for trace metal ores is larger than for Fe (1.6) because we do not know how many metals will be mined at the same time.</t>
        </r>
      </text>
    </comment>
    <comment ref="F8" authorId="0" shapeId="0" xr:uid="{9B5FDD61-9553-42A2-8976-A987A3F1BDC2}">
      <text>
        <r>
          <rPr>
            <sz val="9"/>
            <color indexed="81"/>
            <rFont val="Tahoma"/>
            <family val="2"/>
          </rPr>
          <t xml:space="preserve">Rudnick and Gao 2014
</t>
        </r>
      </text>
    </comment>
    <comment ref="H8" authorId="0" shapeId="0" xr:uid="{00000000-0006-0000-0500-000003000000}">
      <text>
        <r>
          <rPr>
            <sz val="9"/>
            <color indexed="81"/>
            <rFont val="Tahoma"/>
            <family val="2"/>
          </rPr>
          <t>CaCO3 is currently extracted in a potentially sustainable way</t>
        </r>
      </text>
    </comment>
    <comment ref="F9" authorId="0" shapeId="0" xr:uid="{5A2D3F5E-D385-4B5C-943B-B764224F13E3}">
      <text>
        <r>
          <rPr>
            <sz val="9"/>
            <color indexed="81"/>
            <rFont val="Tahoma"/>
            <family val="2"/>
          </rPr>
          <t xml:space="preserve">Rudnick and Gao 2014
</t>
        </r>
      </text>
    </comment>
    <comment ref="G9" authorId="0" shapeId="0" xr:uid="{FBDEE5C4-2CA1-4537-BF00-F7CC8A87A7C9}">
      <text>
        <r>
          <rPr>
            <sz val="9"/>
            <color indexed="81"/>
            <rFont val="Tahoma"/>
            <family val="2"/>
          </rPr>
          <t xml:space="preserve">Steen and Borg
Average
</t>
        </r>
      </text>
    </comment>
    <comment ref="H9" authorId="0" shapeId="0" xr:uid="{D2E6A02A-9406-4526-9827-BDAAE8D548D6}">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9" authorId="0" shapeId="0" xr:uid="{2F56D9B8-B781-42C8-B759-4B68FC14EA7F}">
      <text>
        <r>
          <rPr>
            <sz val="9"/>
            <color indexed="81"/>
            <rFont val="Tahoma"/>
            <family val="2"/>
          </rPr>
          <t>The cost for trace metal ores is larger than for Fe (1.6) because we do not know how many metals will be mined at the same time.</t>
        </r>
      </text>
    </comment>
    <comment ref="F10" authorId="0" shapeId="0" xr:uid="{0A441F76-E657-476C-A8EB-CF0F9F73BA2B}">
      <text>
        <r>
          <rPr>
            <sz val="9"/>
            <color indexed="81"/>
            <rFont val="Tahoma"/>
            <family val="2"/>
          </rPr>
          <t xml:space="preserve">Rudnick and Gao 2014
</t>
        </r>
      </text>
    </comment>
    <comment ref="G10" authorId="0" shapeId="0" xr:uid="{DC5A047F-062A-458E-A0D7-8237B800524A}">
      <text>
        <r>
          <rPr>
            <sz val="10"/>
            <color indexed="81"/>
            <rFont val="Tahoma"/>
            <family val="2"/>
          </rPr>
          <t xml:space="preserve">Fairly well known chemical properties. Acid leaching is used commercially today. </t>
        </r>
      </text>
    </comment>
    <comment ref="H10" authorId="0" shapeId="0" xr:uid="{52F7765D-3343-425A-BA68-2F222B1929D5}">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0" authorId="0" shapeId="0" xr:uid="{499E9E5C-3AD5-4FE6-B335-AF95788E83F4}">
      <text>
        <r>
          <rPr>
            <sz val="9"/>
            <color indexed="81"/>
            <rFont val="Tahoma"/>
            <family val="2"/>
          </rPr>
          <t>The cost for trace metal ores is larger than for Fe (1.6) because we do not know how many metals will be mined at the same time.</t>
        </r>
      </text>
    </comment>
    <comment ref="F11" authorId="0" shapeId="0" xr:uid="{1F508C9E-615A-4D73-8398-E363B9879094}">
      <text>
        <r>
          <rPr>
            <sz val="9"/>
            <color indexed="81"/>
            <rFont val="Tahoma"/>
            <family val="2"/>
          </rPr>
          <t xml:space="preserve">Rudnick and Gao 2014
</t>
        </r>
      </text>
    </comment>
    <comment ref="G11" authorId="0" shapeId="0" xr:uid="{76D20ABD-AF8A-44A4-9808-3A532770D3F4}">
      <text>
        <r>
          <rPr>
            <sz val="9"/>
            <color indexed="81"/>
            <rFont val="Tahoma"/>
            <family val="2"/>
          </rPr>
          <t xml:space="preserve">Steen and Borg
Average
</t>
        </r>
      </text>
    </comment>
    <comment ref="H11" authorId="0" shapeId="0" xr:uid="{2BC1B065-6968-4CBB-8538-D705F9184F41}">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1" authorId="0" shapeId="0" xr:uid="{399118B8-FBD5-4DB2-B20C-6AB453892CF8}">
      <text>
        <r>
          <rPr>
            <sz val="9"/>
            <color indexed="81"/>
            <rFont val="Tahoma"/>
            <family val="2"/>
          </rPr>
          <t>The cost for trace metal ores is larger than for Fe (1.6) because we do not know how many metals will be mined at the same time.</t>
        </r>
      </text>
    </comment>
    <comment ref="F12" authorId="0" shapeId="0" xr:uid="{93C46FFA-D129-45B6-89B6-E46C3A6F092D}">
      <text>
        <r>
          <rPr>
            <sz val="9"/>
            <color indexed="81"/>
            <rFont val="Tahoma"/>
            <family val="2"/>
          </rPr>
          <t xml:space="preserve">Rudnick and Gao 2014
</t>
        </r>
      </text>
    </comment>
    <comment ref="G12" authorId="0" shapeId="0" xr:uid="{1A4940F7-DE40-4979-8940-2A8F4ECCE4ED}">
      <text>
        <r>
          <rPr>
            <sz val="9"/>
            <color indexed="81"/>
            <rFont val="Tahoma"/>
            <family val="2"/>
          </rPr>
          <t xml:space="preserve">Steen and Borg
Average
</t>
        </r>
      </text>
    </comment>
    <comment ref="H12" authorId="0" shapeId="0" xr:uid="{23E338F8-9046-41B5-ADB0-A6C081E29A8D}">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2" authorId="0" shapeId="0" xr:uid="{2E321772-3640-4A50-9A5D-DF047B4DAAE6}">
      <text>
        <r>
          <rPr>
            <sz val="9"/>
            <color indexed="81"/>
            <rFont val="Tahoma"/>
            <family val="2"/>
          </rPr>
          <t>The cost for trace metal ores is larger than for Fe (1.6) because we do not know how many metals will be mined at the same time.</t>
        </r>
      </text>
    </comment>
    <comment ref="F13" authorId="0" shapeId="0" xr:uid="{5D52DC26-514D-4768-8D2F-A21255025F3C}">
      <text>
        <r>
          <rPr>
            <sz val="9"/>
            <color indexed="81"/>
            <rFont val="Tahoma"/>
            <family val="2"/>
          </rPr>
          <t xml:space="preserve">Rudnick and Gao 2014
</t>
        </r>
      </text>
    </comment>
    <comment ref="G13" authorId="0" shapeId="0" xr:uid="{0D53EB18-CFB1-4E35-88A3-38588367787D}">
      <text>
        <r>
          <rPr>
            <sz val="9"/>
            <color indexed="81"/>
            <rFont val="Tahoma"/>
            <family val="2"/>
          </rPr>
          <t>Extracted from sea water via desalination</t>
        </r>
      </text>
    </comment>
    <comment ref="H13" authorId="0" shapeId="0" xr:uid="{483E9497-980A-4472-848D-28BD97762144}">
      <text>
        <r>
          <rPr>
            <sz val="9"/>
            <color indexed="81"/>
            <rFont val="Tahoma"/>
            <family val="2"/>
          </rPr>
          <t>A. Shahmansouri et al. / Journal of Cleaner Production 100 (2015) 4-16
has identified Cs to be potentially profitable to extract from salt brine from desalination plants. 
Thus, the extra cost of sustainble production is close to zero.</t>
        </r>
      </text>
    </comment>
    <comment ref="F14" authorId="0" shapeId="0" xr:uid="{67FC7387-8A53-4519-BE82-8197F6954D12}">
      <text>
        <r>
          <rPr>
            <sz val="9"/>
            <color indexed="81"/>
            <rFont val="Tahoma"/>
            <family val="2"/>
          </rPr>
          <t xml:space="preserve">Rudnick and Gao 2014
</t>
        </r>
      </text>
    </comment>
    <comment ref="G14" authorId="0" shapeId="0" xr:uid="{5F8D768D-3D6B-401F-814B-0AD38E1488C6}">
      <text>
        <r>
          <rPr>
            <sz val="9"/>
            <color indexed="81"/>
            <rFont val="Tahoma"/>
            <family val="2"/>
          </rPr>
          <t xml:space="preserve">Steen and Borg
Average
</t>
        </r>
      </text>
    </comment>
    <comment ref="H14" authorId="0" shapeId="0" xr:uid="{C9F61F9F-83BF-4AFB-B54E-D24A5405AA1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4" authorId="0" shapeId="0" xr:uid="{FDF57960-06BC-4135-91DC-C58934CB1D76}">
      <text>
        <r>
          <rPr>
            <sz val="9"/>
            <color indexed="81"/>
            <rFont val="Tahoma"/>
            <family val="2"/>
          </rPr>
          <t>The cost for trace metal ores is larger than for Fe (1.6) because we do not know how many metals will be mined at the same time.</t>
        </r>
      </text>
    </comment>
    <comment ref="F15" authorId="0" shapeId="0" xr:uid="{B3A52C0B-2D71-4280-9CBC-64CBE0EA1B22}">
      <text>
        <r>
          <rPr>
            <sz val="9"/>
            <color indexed="81"/>
            <rFont val="Tahoma"/>
            <family val="2"/>
          </rPr>
          <t xml:space="preserve">Rudnick and Gao 2014
</t>
        </r>
      </text>
    </comment>
    <comment ref="G15" authorId="0" shapeId="0" xr:uid="{C1815965-D8B6-4C13-B73E-F87DE7816ADD}">
      <text>
        <r>
          <rPr>
            <sz val="10"/>
            <color indexed="81"/>
            <rFont val="Tahoma"/>
            <family val="2"/>
          </rPr>
          <t xml:space="preserve">Fairly well known chemical properties. Acid leaching is used commercially today. </t>
        </r>
      </text>
    </comment>
    <comment ref="H15" authorId="0" shapeId="0" xr:uid="{8B0D60CC-B7C7-43FE-9C71-D69E387CC318}">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5" authorId="0" shapeId="0" xr:uid="{FA6A5140-0815-494B-89E9-AFA9C1618F05}">
      <text>
        <r>
          <rPr>
            <sz val="9"/>
            <color indexed="81"/>
            <rFont val="Tahoma"/>
            <family val="2"/>
          </rPr>
          <t>The cost for trace metal ores is larger than for Fe (1.6) because we do not know how many metals will be mined at the same time.</t>
        </r>
      </text>
    </comment>
    <comment ref="F16" authorId="0" shapeId="0" xr:uid="{0AE3D1EC-8FC3-45E9-9BA2-2BFB5D384AA9}">
      <text>
        <r>
          <rPr>
            <sz val="9"/>
            <color indexed="81"/>
            <rFont val="Tahoma"/>
            <family val="2"/>
          </rPr>
          <t xml:space="preserve">Rudnick and Gao 2014
</t>
        </r>
      </text>
    </comment>
    <comment ref="G16" authorId="0" shapeId="0" xr:uid="{ABC85F5B-C99C-4E26-8C37-31BB5D778505}">
      <text>
        <r>
          <rPr>
            <sz val="10"/>
            <color indexed="81"/>
            <rFont val="Tahoma"/>
            <family val="2"/>
          </rPr>
          <t xml:space="preserve">Fairly well known chemical properties. Acid leaching is used commercially today. </t>
        </r>
      </text>
    </comment>
    <comment ref="H16" authorId="0" shapeId="0" xr:uid="{EB296CEB-0F4D-4F11-9AC7-4838CFACCBF3}">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6" authorId="0" shapeId="0" xr:uid="{286AED54-6468-4D97-9BEC-78455E5F23ED}">
      <text>
        <r>
          <rPr>
            <sz val="9"/>
            <color indexed="81"/>
            <rFont val="Tahoma"/>
            <family val="2"/>
          </rPr>
          <t>The cost for trace metal ores is larger than for Fe (1.6) because we do not know how many metals will be mined at the same time.</t>
        </r>
      </text>
    </comment>
    <comment ref="F17" authorId="0" shapeId="0" xr:uid="{ED3C8D2F-731C-406E-B5F1-156750C8D034}">
      <text>
        <r>
          <rPr>
            <sz val="9"/>
            <color indexed="81"/>
            <rFont val="Tahoma"/>
            <family val="2"/>
          </rPr>
          <t xml:space="preserve">Rudnick and Gao 2014
</t>
        </r>
      </text>
    </comment>
    <comment ref="G17" authorId="0" shapeId="0" xr:uid="{8A2B668C-F605-4382-A92A-A5ED9C6BBFAE}">
      <text>
        <r>
          <rPr>
            <sz val="10"/>
            <color indexed="81"/>
            <rFont val="Tahoma"/>
            <family val="2"/>
          </rPr>
          <t xml:space="preserve">Fairly well known chemical properties. Acid leaching is used commercially today. </t>
        </r>
      </text>
    </comment>
    <comment ref="H17" authorId="0" shapeId="0" xr:uid="{B3EFDD2F-D418-4833-A64B-E61A41075F2E}">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17" authorId="0" shapeId="0" xr:uid="{2025562D-BB20-450F-8333-F0EC2D34F593}">
      <text>
        <r>
          <rPr>
            <sz val="9"/>
            <color indexed="81"/>
            <rFont val="Tahoma"/>
            <family val="2"/>
          </rPr>
          <t>The cost for trace metal ores is larger than for Fe (1.6) because we do not know how many metals will be mined at the same time.</t>
        </r>
      </text>
    </comment>
    <comment ref="F18" authorId="0" shapeId="0" xr:uid="{F2433AF2-7E18-442A-9699-611B6C55A1D8}">
      <text>
        <r>
          <rPr>
            <sz val="9"/>
            <color indexed="81"/>
            <rFont val="Tahoma"/>
            <family val="2"/>
          </rPr>
          <t xml:space="preserve">Rudnick and Gao 2014
</t>
        </r>
      </text>
    </comment>
    <comment ref="G18" authorId="0" shapeId="0" xr:uid="{BFDCDC7D-DA22-48D9-AF19-9DD3401F85F0}">
      <text>
        <r>
          <rPr>
            <sz val="9"/>
            <color indexed="81"/>
            <rFont val="Tahoma"/>
            <family val="2"/>
          </rPr>
          <t xml:space="preserve">Assumed
</t>
        </r>
      </text>
    </comment>
    <comment ref="H18" authorId="0" shapeId="0" xr:uid="{CB06F3DB-C44B-4239-B69A-19E01136B7F2}">
      <text>
        <r>
          <rPr>
            <sz val="9"/>
            <color indexed="81"/>
            <rFont val="Tahoma"/>
            <family val="2"/>
          </rPr>
          <t xml:space="preserve">Gasous HF are assumed be formed after leaching fines with HCl.  
</t>
        </r>
      </text>
    </comment>
    <comment ref="I18" authorId="0" shapeId="0" xr:uid="{CF71E396-269D-4E33-92B6-51DC38F502E7}">
      <text>
        <r>
          <rPr>
            <sz val="9"/>
            <color indexed="81"/>
            <rFont val="Tahoma"/>
            <family val="2"/>
          </rPr>
          <t xml:space="preserve">Unclear how to collect gasous HF after leaching fines with HCl. 
</t>
        </r>
      </text>
    </comment>
    <comment ref="F19" authorId="0" shapeId="0" xr:uid="{019AB5C9-6598-4C67-8227-549C92148900}">
      <text>
        <r>
          <rPr>
            <sz val="9"/>
            <color indexed="81"/>
            <rFont val="Tahoma"/>
            <family val="2"/>
          </rPr>
          <t xml:space="preserve">Rudnick and Gao 2014
</t>
        </r>
      </text>
    </comment>
    <comment ref="H19" authorId="0" shapeId="0" xr:uid="{C86DBF66-B70B-47E3-B0EA-8158FF957774}">
      <text>
        <r>
          <rPr>
            <sz val="9"/>
            <color indexed="81"/>
            <rFont val="Tahoma"/>
            <family val="2"/>
          </rPr>
          <t xml:space="preserve">During the processing of bauxite to alumina in the Bayer process, gallium accumulates in the sodium hydroxide liquor. From this it can be extracted by a variety of methods. The most recent is the use of ion-exchange resin. The extra cost for a sustainable production of Ga is therefore estimated to be the same as for Al. 
</t>
        </r>
      </text>
    </comment>
    <comment ref="I19" authorId="0" shapeId="0" xr:uid="{5119E143-E430-4259-9B2C-46EC53DFC067}">
      <text>
        <r>
          <rPr>
            <sz val="9"/>
            <color indexed="81"/>
            <rFont val="Tahoma"/>
            <family val="2"/>
          </rPr>
          <t xml:space="preserve">A little higher than the uncertainty for Al, mostly depending on the uncertain composition of sodium hydroxide liquor
</t>
        </r>
      </text>
    </comment>
    <comment ref="F20" authorId="0" shapeId="0" xr:uid="{4A328581-7FA7-40D3-9AA3-39875E8A25D9}">
      <text>
        <r>
          <rPr>
            <sz val="9"/>
            <color indexed="81"/>
            <rFont val="Tahoma"/>
            <family val="2"/>
          </rPr>
          <t xml:space="preserve">Rudnick and Gao 2014
</t>
        </r>
      </text>
    </comment>
    <comment ref="G20" authorId="0" shapeId="0" xr:uid="{AD7FA35C-8853-4BD2-81FD-0FF381F58568}">
      <text>
        <r>
          <rPr>
            <sz val="10"/>
            <color indexed="81"/>
            <rFont val="Tahoma"/>
            <family val="2"/>
          </rPr>
          <t xml:space="preserve">Fairly well known chemical properties. Acid leaching is used commercially today. </t>
        </r>
      </text>
    </comment>
    <comment ref="H20" authorId="0" shapeId="0" xr:uid="{2959CBEC-2CF8-4901-9896-A86083CE040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0" authorId="0" shapeId="0" xr:uid="{9B15EA24-AEF5-45AA-A2F3-FA44286FE7CF}">
      <text>
        <r>
          <rPr>
            <sz val="9"/>
            <color indexed="81"/>
            <rFont val="Tahoma"/>
            <family val="2"/>
          </rPr>
          <t>The cost for trace metal ores is larger than for Fe (1.6) because we do not know how many metals will be mined at the same time.</t>
        </r>
      </text>
    </comment>
    <comment ref="F21" authorId="0" shapeId="0" xr:uid="{F5DBAE79-6B07-477A-827F-0C915581CC36}">
      <text>
        <r>
          <rPr>
            <sz val="9"/>
            <color indexed="81"/>
            <rFont val="Tahoma"/>
            <family val="2"/>
          </rPr>
          <t xml:space="preserve">Rudnick and Gao 2014
</t>
        </r>
      </text>
    </comment>
    <comment ref="H21" authorId="0" shapeId="0" xr:uid="{0B508CA9-DECD-44F6-B14D-428CFF7EF466}">
      <text>
        <r>
          <rPr>
            <sz val="9"/>
            <color indexed="81"/>
            <rFont val="Tahoma"/>
            <family val="2"/>
          </rPr>
          <t xml:space="preserve">There is at present no sustainable alternative for Ge production from ground found. Its chemical properties is similar to that of Si. Silicates and are not likely to be extrctable by acids. Silicates and germanates may possibly be extraded by NaOH in a sustainable production of Al. In order to not omit it from consideration, it is given a high value and a high uncertainty factor. 
</t>
        </r>
      </text>
    </comment>
    <comment ref="I21" authorId="0" shapeId="0" xr:uid="{C4562BCD-3086-4A24-A6DA-F147270BB7FC}">
      <text>
        <r>
          <rPr>
            <sz val="9"/>
            <color indexed="81"/>
            <rFont val="Tahoma"/>
            <family val="2"/>
          </rPr>
          <t xml:space="preserve">There is at present no sustainable alternative for Ge production from ground found. Its chemical properties is similar to that of Si. Silicates and are not likely to be extrctable by acids. Silicates and germanates may possibly be extraded by NaOH in a sustainable production of Al. In order to not omit it from consideration, it is given a high value and a high uncertainty factor. 
</t>
        </r>
      </text>
    </comment>
    <comment ref="F22" authorId="0" shapeId="0" xr:uid="{F5C69182-E6F1-44C4-AC3F-AABD3805083B}">
      <text>
        <r>
          <rPr>
            <sz val="9"/>
            <color indexed="81"/>
            <rFont val="Tahoma"/>
            <family val="2"/>
          </rPr>
          <t xml:space="preserve">Rudnick and Gao 2014
</t>
        </r>
      </text>
    </comment>
    <comment ref="G22" authorId="0" shapeId="0" xr:uid="{3AF04EE2-9487-4F25-94AC-7494E5091C5D}">
      <text>
        <r>
          <rPr>
            <sz val="10"/>
            <color indexed="81"/>
            <rFont val="Tahoma"/>
            <family val="2"/>
          </rPr>
          <t xml:space="preserve">Fairly well known chemical properties. Acid leaching is used commercially today. </t>
        </r>
      </text>
    </comment>
    <comment ref="H22" authorId="0" shapeId="0" xr:uid="{BEDBF2CE-4C3F-4E92-ACC9-D0D9D0E9C0BA}">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2" authorId="0" shapeId="0" xr:uid="{23F0E8BB-57D7-408C-B2CB-317EA2F2FEC9}">
      <text>
        <r>
          <rPr>
            <sz val="9"/>
            <color indexed="81"/>
            <rFont val="Tahoma"/>
            <family val="2"/>
          </rPr>
          <t>The cost for trace metal ores is larger than for Fe (1.6) because we do not know how many metals will be mined at the same time.</t>
        </r>
      </text>
    </comment>
    <comment ref="F23" authorId="0" shapeId="0" xr:uid="{ECB9A2FA-1717-445D-9078-B698805A61DE}">
      <text>
        <r>
          <rPr>
            <sz val="9"/>
            <color indexed="81"/>
            <rFont val="Tahoma"/>
            <family val="2"/>
          </rPr>
          <t xml:space="preserve">Rudnick and Gao 2014
</t>
        </r>
      </text>
    </comment>
    <comment ref="G23" authorId="0" shapeId="0" xr:uid="{D1FD3240-B19E-421F-87E4-E241E63199F1}">
      <text>
        <r>
          <rPr>
            <sz val="9"/>
            <color indexed="81"/>
            <rFont val="Tahoma"/>
            <family val="2"/>
          </rPr>
          <t>Hg2Cl2 is practcally insoluble in water, while HgCl2 is very soluble.
Therfore the redox potential in extraction need to be kept sufficiently high. In practice this means aereating the extraction bed.</t>
        </r>
      </text>
    </comment>
    <comment ref="H23" authorId="0" shapeId="0" xr:uid="{FE9BE5F8-D77D-4E06-ACC1-79A9930307C2}">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3" authorId="0" shapeId="0" xr:uid="{35E65B5D-74B7-47A9-8577-7B2C2009CC1C}">
      <text>
        <r>
          <rPr>
            <sz val="9"/>
            <color indexed="81"/>
            <rFont val="Tahoma"/>
            <family val="2"/>
          </rPr>
          <t>The cost for trace metal ores is larger than for Fe (1.6) because we do not know how many metals will be mined at the same time.</t>
        </r>
      </text>
    </comment>
    <comment ref="F24" authorId="0" shapeId="0" xr:uid="{3C741C15-00A2-473E-9ED2-36C8A0AF9349}">
      <text>
        <r>
          <rPr>
            <sz val="9"/>
            <color indexed="81"/>
            <rFont val="Tahoma"/>
            <family val="2"/>
          </rPr>
          <t xml:space="preserve">Rudnick and Gao 2014
</t>
        </r>
      </text>
    </comment>
    <comment ref="G24" authorId="0" shapeId="0" xr:uid="{F087F160-3492-42EF-BE67-4F019AFBCCA5}">
      <text>
        <r>
          <rPr>
            <sz val="10"/>
            <color indexed="81"/>
            <rFont val="Tahoma"/>
            <family val="2"/>
          </rPr>
          <t xml:space="preserve">Fairly well known chemical properties. Acid leaching is used commercially today. </t>
        </r>
      </text>
    </comment>
    <comment ref="H24" authorId="0" shapeId="0" xr:uid="{98CE668A-BCCE-4774-8C18-4A50040075B3}">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4" authorId="0" shapeId="0" xr:uid="{321909EC-C78A-479D-B5BA-FC417CA2D21A}">
      <text>
        <r>
          <rPr>
            <sz val="9"/>
            <color indexed="81"/>
            <rFont val="Tahoma"/>
            <family val="2"/>
          </rPr>
          <t>The cost for trace metal ores is larger than for Fe (1.6) because we do not know how many metals will be mined at the same time.</t>
        </r>
      </text>
    </comment>
    <comment ref="F25" authorId="0" shapeId="0" xr:uid="{212AFF76-FA61-4866-B9D1-CAF437F84F5D}">
      <text>
        <r>
          <rPr>
            <sz val="9"/>
            <color indexed="81"/>
            <rFont val="Tahoma"/>
            <family val="2"/>
          </rPr>
          <t xml:space="preserve">Rudnick and Gao 2014
</t>
        </r>
      </text>
    </comment>
    <comment ref="G25" authorId="0" shapeId="0" xr:uid="{716DFF14-6608-4206-996D-B3AC3EE6D11E}">
      <text>
        <r>
          <rPr>
            <sz val="9"/>
            <color indexed="81"/>
            <rFont val="Tahoma"/>
            <family val="2"/>
          </rPr>
          <t xml:space="preserve">It is unclear to what extent In will be present in HCl leachate. Being in the same group as Al in the periodic table, In may be thought to be extracted out of NaOH leachate, but unlike its lighter homologs aluminium and gallium, it is insoluble in aqueous alkaline solutions.
</t>
        </r>
      </text>
    </comment>
    <comment ref="H25" authorId="0" shapeId="0" xr:uid="{437FA55D-E149-4FD0-8AD5-B250A4EC9B1A}">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5" authorId="0" shapeId="0" xr:uid="{27241B42-DB43-4BCA-A007-4D300D25E125}">
      <text>
        <r>
          <rPr>
            <sz val="9"/>
            <color indexed="81"/>
            <rFont val="Tahoma"/>
            <family val="2"/>
          </rPr>
          <t>The cost for trace metal ores is larger than for Fe (1.6) because we do not know how many metals will be mined at the same time.</t>
        </r>
      </text>
    </comment>
    <comment ref="F26" authorId="0" shapeId="0" xr:uid="{E5AFBB40-1116-444F-ACA1-7F211A9CA3F9}">
      <text>
        <r>
          <rPr>
            <sz val="9"/>
            <color indexed="81"/>
            <rFont val="Tahoma"/>
            <family val="2"/>
          </rPr>
          <t xml:space="preserve">Rudnick and Gao 2014
</t>
        </r>
      </text>
    </comment>
    <comment ref="H26" authorId="0" shapeId="0" xr:uid="{863A2E99-2F7D-4DA8-AF56-C3C5D114D2F7}">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6" authorId="0" shapeId="0" xr:uid="{8BAF2258-8EB7-40E2-8A26-F67F0EFAAC04}">
      <text>
        <r>
          <rPr>
            <sz val="9"/>
            <color indexed="81"/>
            <rFont val="Tahoma"/>
            <family val="2"/>
          </rPr>
          <t xml:space="preserve">Ir is available in very low concentrations, why its production efficiency is highly uncertain
</t>
        </r>
      </text>
    </comment>
    <comment ref="F27" authorId="0" shapeId="0" xr:uid="{420C2EF4-EB9A-4A45-AB05-7FE2DA6EB511}">
      <text>
        <r>
          <rPr>
            <sz val="9"/>
            <color indexed="81"/>
            <rFont val="Tahoma"/>
            <family val="2"/>
          </rPr>
          <t xml:space="preserve">Rudnick and Gao 2014
</t>
        </r>
      </text>
    </comment>
    <comment ref="G27" authorId="0" shapeId="0" xr:uid="{52B0FE08-4F79-4CD3-87B5-36FD886A5FD9}">
      <text>
        <r>
          <rPr>
            <sz val="10"/>
            <color indexed="81"/>
            <rFont val="Tahoma"/>
            <family val="2"/>
          </rPr>
          <t xml:space="preserve">Fairly well known chemical properties. Acid leaching is used commercially today. </t>
        </r>
      </text>
    </comment>
    <comment ref="H27" authorId="0" shapeId="0" xr:uid="{E42D9B8D-671E-49E4-8B73-BFAB0CE749C8}">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7" authorId="0" shapeId="0" xr:uid="{00E9F8C0-C9BF-4F54-B5B5-1C1A989034D2}">
      <text>
        <r>
          <rPr>
            <sz val="9"/>
            <color indexed="81"/>
            <rFont val="Tahoma"/>
            <family val="2"/>
          </rPr>
          <t>The cost for trace metal ores is larger than for Fe (1.6) because we do not know how many metals will be mined at the same time.</t>
        </r>
      </text>
    </comment>
    <comment ref="F28" authorId="0" shapeId="0" xr:uid="{B69159AE-25D9-4749-91EB-D9B6F93CA8B7}">
      <text>
        <r>
          <rPr>
            <sz val="9"/>
            <color indexed="81"/>
            <rFont val="Tahoma"/>
            <family val="2"/>
          </rPr>
          <t xml:space="preserve">Rudnick and Gao 2014
</t>
        </r>
      </text>
    </comment>
    <comment ref="H28" authorId="0" shapeId="0" xr:uid="{00000000-0006-0000-0500-00000A000000}">
      <text>
        <r>
          <rPr>
            <sz val="9"/>
            <color indexed="81"/>
            <rFont val="Tahoma"/>
            <family val="2"/>
          </rPr>
          <t>Extra cost for extraction from seawater is used here. Ref Kushnir and Sanden Resources Policy37(2012)93–103
Adjusted for inflation to 2025.</t>
        </r>
      </text>
    </comment>
    <comment ref="I28" authorId="0" shapeId="0" xr:uid="{105E9424-B989-4163-AA6C-F5C5BF7BC20D}">
      <text>
        <r>
          <rPr>
            <sz val="9"/>
            <color indexed="81"/>
            <rFont val="Tahoma"/>
            <family val="2"/>
          </rPr>
          <t>The cost for trace metal ores is larger than for Fe (1.6) because we do not know how many metals will be mined at the same time.</t>
        </r>
      </text>
    </comment>
    <comment ref="F29" authorId="0" shapeId="0" xr:uid="{6263C9D4-3053-4254-A542-52C3082AC868}">
      <text>
        <r>
          <rPr>
            <sz val="9"/>
            <color indexed="81"/>
            <rFont val="Tahoma"/>
            <family val="2"/>
          </rPr>
          <t xml:space="preserve">Rudnick and Gao 2014
</t>
        </r>
      </text>
    </comment>
    <comment ref="H29" authorId="0" shapeId="0" xr:uid="{E6F36CB3-EBCD-4656-9870-B5BFBC43F0E2}">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29" authorId="0" shapeId="0" xr:uid="{B15ED3A9-C314-412E-8464-2B0CF8A34A11}">
      <text>
        <r>
          <rPr>
            <sz val="9"/>
            <color indexed="81"/>
            <rFont val="Tahoma"/>
            <family val="2"/>
          </rPr>
          <t>The cost for trace metal ores is larger than for Fe (1.6) because we do not know how many metals will be mined at the same time.</t>
        </r>
      </text>
    </comment>
    <comment ref="F30" authorId="0" shapeId="0" xr:uid="{2B90ED6B-B0D7-4967-A1D8-7059645BD3B7}">
      <text>
        <r>
          <rPr>
            <sz val="9"/>
            <color indexed="81"/>
            <rFont val="Tahoma"/>
            <family val="2"/>
          </rPr>
          <t xml:space="preserve">Rudnick and Gao 2014
</t>
        </r>
      </text>
    </comment>
    <comment ref="G30" authorId="0" shapeId="0" xr:uid="{6C61671A-F9F6-450F-B5E2-AF432482DA6F}">
      <text>
        <r>
          <rPr>
            <sz val="9"/>
            <color indexed="81"/>
            <rFont val="Tahoma"/>
            <family val="2"/>
          </rPr>
          <t xml:space="preserve">When using granite and granodiorit. Steen and Borg, Ecological Economics 42 (2002) 401 /413. 
</t>
        </r>
      </text>
    </comment>
    <comment ref="H30" authorId="0" shapeId="0" xr:uid="{4B24FCEE-4D7E-45B0-AEA9-F8D847146170}">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0" authorId="0" shapeId="0" xr:uid="{D815CF75-1EE3-42EA-9FD0-5F3CC0172123}">
      <text>
        <r>
          <rPr>
            <sz val="9"/>
            <color indexed="81"/>
            <rFont val="Tahoma"/>
            <family val="2"/>
          </rPr>
          <t>The cost for trace metal ores is larger than for Fe (1.6) because we do not know how many metals will be mined at the same time.</t>
        </r>
      </text>
    </comment>
    <comment ref="F31" authorId="0" shapeId="0" xr:uid="{EEC69ED2-49FB-4FFB-82B7-BC0D4701061B}">
      <text>
        <r>
          <rPr>
            <sz val="9"/>
            <color indexed="81"/>
            <rFont val="Tahoma"/>
            <family val="2"/>
          </rPr>
          <t xml:space="preserve">Rudnick and Gao 2014
</t>
        </r>
      </text>
    </comment>
    <comment ref="G31" authorId="0" shapeId="0" xr:uid="{17001AB2-C1B3-4FE7-861C-E8B78F30F05A}">
      <text>
        <r>
          <rPr>
            <sz val="9"/>
            <color indexed="81"/>
            <rFont val="Tahoma"/>
            <family val="2"/>
          </rPr>
          <t xml:space="preserve">Asumed to be similar as chromium as it belongs to the same group in the periodic system
</t>
        </r>
      </text>
    </comment>
    <comment ref="H31" authorId="0" shapeId="0" xr:uid="{E36E206A-6ED0-4DF4-B4BF-0659E5531419}">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1" authorId="0" shapeId="0" xr:uid="{9B913070-2F5B-4759-A796-4B8FE88A393D}">
      <text>
        <r>
          <rPr>
            <sz val="9"/>
            <color indexed="81"/>
            <rFont val="Tahoma"/>
            <family val="2"/>
          </rPr>
          <t>The cost for trace metal ores is larger than for Fe (1.6) because we do not know how many metals will be mined at the same time.</t>
        </r>
      </text>
    </comment>
    <comment ref="F32" authorId="0" shapeId="0" xr:uid="{5CD3EC4F-4114-44C8-9021-9AD258D2DD8C}">
      <text>
        <r>
          <rPr>
            <sz val="9"/>
            <color indexed="81"/>
            <rFont val="Tahoma"/>
            <family val="2"/>
          </rPr>
          <t xml:space="preserve">Rudnick and Gao 2014
</t>
        </r>
      </text>
    </comment>
    <comment ref="H32" authorId="0" shapeId="0" xr:uid="{584B3B0F-ED5B-42A0-B874-C47658D9119D}">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2" authorId="0" shapeId="0" xr:uid="{090239A6-5635-4DA8-9E54-256F2D273897}">
      <text>
        <r>
          <rPr>
            <sz val="9"/>
            <color indexed="81"/>
            <rFont val="Tahoma"/>
            <family val="2"/>
          </rPr>
          <t>The cost for trace metal ores is larger than for Fe (1.6) because we do not know how many metals will be mined at the same time.</t>
        </r>
      </text>
    </comment>
    <comment ref="F33" authorId="0" shapeId="0" xr:uid="{0AE3D243-A819-43E0-A971-18D633EED17F}">
      <text>
        <r>
          <rPr>
            <sz val="9"/>
            <color indexed="81"/>
            <rFont val="Tahoma"/>
            <family val="2"/>
          </rPr>
          <t xml:space="preserve">Rudnick and Gao 2014
</t>
        </r>
      </text>
    </comment>
    <comment ref="G33" authorId="0" shapeId="0" xr:uid="{15D7E9FD-D81A-4C84-A5C4-E6C7EA22C348}">
      <text>
        <r>
          <rPr>
            <sz val="10"/>
            <color indexed="81"/>
            <rFont val="Tahoma"/>
            <family val="2"/>
          </rPr>
          <t xml:space="preserve">Fairly well known chemical properties. Acid leaching is used commercially today. </t>
        </r>
      </text>
    </comment>
    <comment ref="H33" authorId="0" shapeId="0" xr:uid="{F3658435-78F3-4F97-92A0-040B328F7F66}">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3" authorId="0" shapeId="0" xr:uid="{562BF635-4E78-498D-9163-D8408CFB0E58}">
      <text>
        <r>
          <rPr>
            <sz val="9"/>
            <color indexed="81"/>
            <rFont val="Tahoma"/>
            <family val="2"/>
          </rPr>
          <t>The cost for trace metal ores is larger than for Fe (1.6) because we do not know how many metals will be mined at the same time.</t>
        </r>
      </text>
    </comment>
    <comment ref="F34" authorId="0" shapeId="0" xr:uid="{15AD5874-BC7C-405A-9C06-B395FF10EB6B}">
      <text>
        <r>
          <rPr>
            <sz val="9"/>
            <color indexed="81"/>
            <rFont val="Tahoma"/>
            <family val="2"/>
          </rPr>
          <t xml:space="preserve">Rudnick and Gao 2014
</t>
        </r>
      </text>
    </comment>
    <comment ref="G34" authorId="0" shapeId="0" xr:uid="{80EA72A9-B387-4DC7-84B9-3313878FBEC0}">
      <text>
        <r>
          <rPr>
            <sz val="9"/>
            <color indexed="81"/>
            <rFont val="Tahoma"/>
            <family val="2"/>
          </rPr>
          <t xml:space="preserve">When using granite and granodiorit. Steen and Borg, Ecological Economics 42 (2002) 401 /413. 
</t>
        </r>
      </text>
    </comment>
    <comment ref="H34" authorId="0" shapeId="0" xr:uid="{1DC80FE8-19D7-49C7-A221-E980D72A6CEC}">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4" authorId="0" shapeId="0" xr:uid="{B6F1BDED-77A5-47D2-971B-ED7B9D73A61C}">
      <text>
        <r>
          <rPr>
            <sz val="9"/>
            <color indexed="81"/>
            <rFont val="Tahoma"/>
            <family val="2"/>
          </rPr>
          <t>The cost for trace metal ores is larger than for Fe (1.6) because we do not know how many metals will be mined at the same time.</t>
        </r>
      </text>
    </comment>
    <comment ref="F35" authorId="0" shapeId="0" xr:uid="{971FEE34-B7B5-4914-AE2A-52BC78518DE2}">
      <text>
        <r>
          <rPr>
            <sz val="9"/>
            <color indexed="81"/>
            <rFont val="Tahoma"/>
            <family val="2"/>
          </rPr>
          <t xml:space="preserve">Rudnick and Gao 2014
</t>
        </r>
      </text>
    </comment>
    <comment ref="H35" authorId="0" shapeId="0" xr:uid="{FA9DE462-5B3F-4DAA-8A66-5FB0DE744C2D}">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5" authorId="0" shapeId="0" xr:uid="{67EF120D-73A9-4738-A76F-6DBBC18BB2D3}">
      <text>
        <r>
          <rPr>
            <sz val="9"/>
            <color indexed="81"/>
            <rFont val="Tahoma"/>
            <family val="2"/>
          </rPr>
          <t xml:space="preserve">As for Ir, the extremely low concentrations and inert behavior makes the recovery costs moree uncertain than in average for leaching.
</t>
        </r>
      </text>
    </comment>
    <comment ref="F36" authorId="0" shapeId="0" xr:uid="{872B29A1-22E7-436B-BCCE-38D68923845E}">
      <text>
        <r>
          <rPr>
            <sz val="9"/>
            <color indexed="81"/>
            <rFont val="Tahoma"/>
            <family val="2"/>
          </rPr>
          <t xml:space="preserve">Rudnick and Gao 2014
</t>
        </r>
      </text>
    </comment>
    <comment ref="H36" authorId="0" shapeId="0" xr:uid="{33879E67-B71F-4309-9624-4077619D82E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6" authorId="0" shapeId="0" xr:uid="{B036AA44-257F-4A06-88D7-168E65EBBBAB}">
      <text>
        <r>
          <rPr>
            <sz val="9"/>
            <color indexed="81"/>
            <rFont val="Tahoma"/>
            <family val="2"/>
          </rPr>
          <t>The cost for trace metal ores is larger than for Fe (1.6) because we do not know how many metals will be mined at the same time.</t>
        </r>
      </text>
    </comment>
    <comment ref="F37" authorId="0" shapeId="0" xr:uid="{E25F6269-1F8D-4245-9986-75F977A1C3AC}">
      <text>
        <r>
          <rPr>
            <sz val="9"/>
            <color indexed="81"/>
            <rFont val="Tahoma"/>
            <family val="2"/>
          </rPr>
          <t xml:space="preserve">Rudnick and Gao 2014
</t>
        </r>
      </text>
    </comment>
    <comment ref="G37" authorId="0" shapeId="0" xr:uid="{8ADAFBD9-30C1-4908-A5CF-D480BFF66532}">
      <text>
        <r>
          <rPr>
            <sz val="9"/>
            <color indexed="81"/>
            <rFont val="Tahoma"/>
            <family val="2"/>
          </rPr>
          <t xml:space="preserve">When using granite and granodiorit. Steen and Borg, Ecological Economics 42 (2002) 401 /413. 
</t>
        </r>
      </text>
    </comment>
    <comment ref="H37" authorId="0" shapeId="0" xr:uid="{B94E58D5-6219-4C0B-A2A7-D5658EF41CBB}">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7" authorId="0" shapeId="0" xr:uid="{77D1580F-917D-45FB-A70A-04C64A7301C2}">
      <text>
        <r>
          <rPr>
            <sz val="9"/>
            <color indexed="81"/>
            <rFont val="Tahoma"/>
            <family val="2"/>
          </rPr>
          <t>The cost for trace metal ores is larger than for Fe (1.6) because we do not know how many metals will be mined at the same time.</t>
        </r>
      </text>
    </comment>
    <comment ref="F38" authorId="0" shapeId="0" xr:uid="{2DC86443-C311-4EA1-986E-E6565163007D}">
      <text>
        <r>
          <rPr>
            <sz val="9"/>
            <color indexed="81"/>
            <rFont val="Tahoma"/>
            <family val="2"/>
          </rPr>
          <t xml:space="preserve">Rudnick and Gao 2014
</t>
        </r>
      </text>
    </comment>
    <comment ref="H38" authorId="0" shapeId="0" xr:uid="{3446F11A-079E-42F7-8CD1-F09477639B61}">
      <text>
        <r>
          <rPr>
            <sz val="9"/>
            <color indexed="81"/>
            <rFont val="Tahoma"/>
            <family val="2"/>
          </rPr>
          <t>Concentration in spent nuclear fuel is 2125 g/ton. S. Bourg, C. Poinssot / Progress in Nuclear Energy 94 (2017) 222e228 
3 elements are assumed to be "mined" at the same time from spent nuclear fuel.</t>
        </r>
      </text>
    </comment>
    <comment ref="I38" authorId="0" shapeId="0" xr:uid="{F73430FF-50A6-4737-8880-4AA3B5BED2F7}">
      <text>
        <r>
          <rPr>
            <sz val="9"/>
            <color indexed="81"/>
            <rFont val="Tahoma"/>
            <family val="2"/>
          </rPr>
          <t xml:space="preserve">Uncertain technology. If extracted from bedroch with HCl, the value would be 
7.8E+06 €/kg. </t>
        </r>
      </text>
    </comment>
    <comment ref="F39" authorId="0" shapeId="0" xr:uid="{F53E2099-E7A8-4221-93F9-FAC1ED593188}">
      <text>
        <r>
          <rPr>
            <sz val="9"/>
            <color indexed="81"/>
            <rFont val="Tahoma"/>
            <family val="2"/>
          </rPr>
          <t xml:space="preserve">Rudnick and Gao 2014
</t>
        </r>
      </text>
    </comment>
    <comment ref="G39" authorId="0" shapeId="0" xr:uid="{71EE5764-DCAC-41DE-9067-5D99DC0FFCA8}">
      <text>
        <r>
          <rPr>
            <sz val="10"/>
            <color indexed="81"/>
            <rFont val="Tahoma"/>
            <family val="2"/>
          </rPr>
          <t xml:space="preserve">Fairly well known chemical properties. Acid leaching is used commercially today. </t>
        </r>
      </text>
    </comment>
    <comment ref="H39" authorId="0" shapeId="0" xr:uid="{3C276B06-9111-4575-885F-0C50CA5BDC33}">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39" authorId="0" shapeId="0" xr:uid="{8187763F-0416-4C66-893B-40770E809F00}">
      <text>
        <r>
          <rPr>
            <sz val="9"/>
            <color indexed="81"/>
            <rFont val="Tahoma"/>
            <family val="2"/>
          </rPr>
          <t>The cost for trace metal ores is larger than for Fe (1.6) because we do not know how many metals will be mined at the same time.</t>
        </r>
      </text>
    </comment>
    <comment ref="F40" authorId="0" shapeId="0" xr:uid="{7A4F035D-BF68-4147-B043-7237D6605EC1}">
      <text>
        <r>
          <rPr>
            <sz val="9"/>
            <color indexed="81"/>
            <rFont val="Tahoma"/>
            <family val="2"/>
          </rPr>
          <t xml:space="preserve">Rudnick and Gao 2014
</t>
        </r>
      </text>
    </comment>
    <comment ref="H40" authorId="0" shapeId="0" xr:uid="{9039D85E-A01F-43AE-BB9F-44481B7BA9BB}">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0" authorId="0" shapeId="0" xr:uid="{E2EDF05C-FB55-431D-B410-3DB1E30D52B4}">
      <text>
        <r>
          <rPr>
            <sz val="9"/>
            <color indexed="81"/>
            <rFont val="Tahoma"/>
            <family val="2"/>
          </rPr>
          <t xml:space="preserve">As for Ir, and Os, the extremely low concentrations and inert behavior makes the recovery costs more uncertain than in average for leaching.
</t>
        </r>
      </text>
    </comment>
    <comment ref="F41" authorId="0" shapeId="0" xr:uid="{77DF2017-4667-4396-8150-6C6695599554}">
      <text>
        <r>
          <rPr>
            <sz val="9"/>
            <color indexed="81"/>
            <rFont val="Tahoma"/>
            <family val="2"/>
          </rPr>
          <t xml:space="preserve">Rudnick and Gao 2014
</t>
        </r>
      </text>
    </comment>
    <comment ref="H41" authorId="0" shapeId="0" xr:uid="{E51E2797-2E35-4EE2-A7C5-6B2D132BE814}">
      <text>
        <r>
          <rPr>
            <sz val="9"/>
            <color indexed="81"/>
            <rFont val="Tahoma"/>
            <family val="2"/>
          </rPr>
          <t>A. Shahmansouri et al. / Journal of Cleaner Production 100 (2015) 4-16
has identified Rb to be potentially profitable to extract from salt brine from desalination plants. 
Thus, the extra cost of sustainble production is close to zero.</t>
        </r>
      </text>
    </comment>
    <comment ref="H42" authorId="0" shapeId="0" xr:uid="{2D45B69A-B373-4D08-AA06-80A3695460F7}">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2" authorId="0" shapeId="0" xr:uid="{BA15AF7F-95EE-4AD1-A025-F83257AA8748}">
      <text>
        <r>
          <rPr>
            <sz val="9"/>
            <color indexed="81"/>
            <rFont val="Tahoma"/>
            <family val="2"/>
          </rPr>
          <t xml:space="preserve">As for Ir, Os, and Pt the extremely low concentrations of Re and its inert behavior makes the recovery costs more uncertain than in average for leaching.
</t>
        </r>
      </text>
    </comment>
    <comment ref="F43" authorId="0" shapeId="0" xr:uid="{00000000-0006-0000-0500-000013000000}">
      <text>
        <r>
          <rPr>
            <sz val="9"/>
            <color indexed="81"/>
            <rFont val="Tahoma"/>
            <family val="2"/>
          </rPr>
          <t xml:space="preserve">Estimations on the Rh abundance varies with an order of magnitude in the literature. Most figures are referenced to other figures that are referenced etc. Here the concentration determined by Park et al (Geochimica et Cosmochimica Acta 93 (2012) 63–76) is used. Park et al give a detailed description of their procedure and compare it with other results.
</t>
        </r>
      </text>
    </comment>
    <comment ref="H43" authorId="0" shapeId="0" xr:uid="{A1C8F5F9-9067-4D67-8906-0098B380F8CA}">
      <text>
        <r>
          <rPr>
            <sz val="9"/>
            <color indexed="81"/>
            <rFont val="Tahoma"/>
            <family val="2"/>
          </rPr>
          <t>Concentration in spent nuclear fuel is 540 g/ton from UO2 reactors. About twice as high in MOX reactors, which are not so common.
3 elements are assumed to be "mined" at the same time from spent nuclear fuel.</t>
        </r>
      </text>
    </comment>
    <comment ref="I43" authorId="0" shapeId="0" xr:uid="{ED389CD0-4ADB-4A11-9C18-2F24C3A864C3}">
      <text>
        <r>
          <rPr>
            <sz val="9"/>
            <color indexed="81"/>
            <rFont val="Tahoma"/>
            <family val="2"/>
          </rPr>
          <t>Uncertain technology, but a HCl leaching process would not give much higher numbers</t>
        </r>
      </text>
    </comment>
    <comment ref="F44" authorId="0" shapeId="0" xr:uid="{00000000-0006-0000-0500-000014000000}">
      <text>
        <r>
          <rPr>
            <sz val="9"/>
            <color indexed="81"/>
            <rFont val="Tahoma"/>
            <family val="2"/>
          </rPr>
          <t>Estimations on the Ru abundance varies with an order of magnitude in the literature. Most figures are referenced to other figures that are referenced etc. Here the concentration determined by Park et al (Geochimica et Cosmochimica Acta 93 (2012) 63–76) is used. Park et al give a detailed description of their procedure and compare it with other results.</t>
        </r>
      </text>
    </comment>
    <comment ref="H44" authorId="0" shapeId="0" xr:uid="{E1C5C240-C2DA-4334-984B-B5A240522B3A}">
      <text>
        <r>
          <rPr>
            <sz val="9"/>
            <color indexed="81"/>
            <rFont val="Tahoma"/>
            <family val="2"/>
          </rPr>
          <t>From spent nuclear fuel. 
Concentration is 1210 g/ton in UO2reactors according to ARIANE experiment. 3 elements are assumed to be mined at the same time</t>
        </r>
      </text>
    </comment>
    <comment ref="I44" authorId="0" shapeId="0" xr:uid="{DDAAA4A4-A1FB-418A-B40F-A5A0B5CA7580}">
      <text>
        <r>
          <rPr>
            <sz val="9"/>
            <color indexed="81"/>
            <rFont val="Tahoma"/>
            <family val="2"/>
          </rPr>
          <t>Uncertain technology, but a HCl leaching process would not give much higher numbers</t>
        </r>
      </text>
    </comment>
    <comment ref="F45" authorId="0" shapeId="0" xr:uid="{C82F3749-E856-45EC-9773-7BDFBC2B249B}">
      <text>
        <r>
          <rPr>
            <sz val="9"/>
            <color indexed="81"/>
            <rFont val="Tahoma"/>
            <family val="2"/>
          </rPr>
          <t xml:space="preserve">Rudnick and Gao 2014
</t>
        </r>
      </text>
    </comment>
    <comment ref="H45" authorId="0" shapeId="0" xr:uid="{DB9ED8D2-141D-4A34-BD6D-40A9CC1FC6D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5" authorId="0" shapeId="0" xr:uid="{0882D59D-5B3C-46B8-8D38-2FBEECB1A5AA}">
      <text>
        <r>
          <rPr>
            <sz val="9"/>
            <color indexed="81"/>
            <rFont val="Tahoma"/>
            <family val="2"/>
          </rPr>
          <t>The cost for trace metal ores is larger than for Fe (1.6) because we do not know how many metals will be mined at the same time.</t>
        </r>
      </text>
    </comment>
    <comment ref="F46" authorId="0" shapeId="0" xr:uid="{09A9F604-2123-411E-A5C2-8C18C78E0866}">
      <text>
        <r>
          <rPr>
            <sz val="9"/>
            <color indexed="81"/>
            <rFont val="Tahoma"/>
            <family val="2"/>
          </rPr>
          <t xml:space="preserve">Rudnick and Gao 2014
</t>
        </r>
      </text>
    </comment>
    <comment ref="H46" authorId="0" shapeId="0" xr:uid="{031F9F41-DC36-4386-BCCF-D3424DCDA8BC}">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6" authorId="0" shapeId="0" xr:uid="{E4509ACD-1A72-4346-9B7B-D1305535B403}">
      <text>
        <r>
          <rPr>
            <sz val="9"/>
            <color indexed="81"/>
            <rFont val="Tahoma"/>
            <family val="2"/>
          </rPr>
          <t>The cost for trace metal ores is larger than for Fe (1.6) because we do not know how many metals will be mined at the same time.</t>
        </r>
      </text>
    </comment>
    <comment ref="F47" authorId="0" shapeId="0" xr:uid="{8CFDE073-7B0A-4591-A039-BCC90D71B93B}">
      <text>
        <r>
          <rPr>
            <sz val="9"/>
            <color indexed="81"/>
            <rFont val="Tahoma"/>
            <family val="2"/>
          </rPr>
          <t xml:space="preserve">Rudnick and Gao 2014
</t>
        </r>
      </text>
    </comment>
    <comment ref="H47" authorId="0" shapeId="0" xr:uid="{0B90AFF0-2962-4CEA-8776-33A4438EE6BA}">
      <text>
        <r>
          <rPr>
            <sz val="9"/>
            <color indexed="81"/>
            <rFont val="Tahoma"/>
            <family val="2"/>
          </rPr>
          <t xml:space="preserve">Sustainably produced through bioaccumulation in plants. Steen, B., Monetary valuation of environmental impacts, CRC Press, Boca Raton, 2019, </t>
        </r>
      </text>
    </comment>
    <comment ref="I47" authorId="0" shapeId="0" xr:uid="{14F0BACA-5657-44E6-BA34-DAAD416B35EE}">
      <text>
        <r>
          <rPr>
            <sz val="9"/>
            <color indexed="81"/>
            <rFont val="Tahoma"/>
            <family val="2"/>
          </rPr>
          <t xml:space="preserve">The availability of biomaterial is uncertain.
</t>
        </r>
      </text>
    </comment>
    <comment ref="F48" authorId="0" shapeId="0" xr:uid="{668C704C-87F8-4544-AB34-97EE70A1F719}">
      <text>
        <r>
          <rPr>
            <sz val="9"/>
            <color indexed="81"/>
            <rFont val="Tahoma"/>
            <family val="2"/>
          </rPr>
          <t xml:space="preserve">Rudnick and Gao 2014
</t>
        </r>
      </text>
    </comment>
    <comment ref="H48" authorId="0" shapeId="0" xr:uid="{F21AA193-91BB-4C0B-9EF9-CD33097575E1}">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8" authorId="0" shapeId="0" xr:uid="{7A520E2F-AB46-434B-B18D-99E3DE6EFEEF}">
      <text>
        <r>
          <rPr>
            <sz val="9"/>
            <color indexed="81"/>
            <rFont val="Tahoma"/>
            <family val="2"/>
          </rPr>
          <t>The cost for trace metal ores is larger than for Fe (1.6) because we do not know how many metals will be mined at the same time.</t>
        </r>
      </text>
    </comment>
    <comment ref="G49" authorId="0" shapeId="0" xr:uid="{CBEC1C87-588B-484E-865B-C47C59309BF2}">
      <text>
        <r>
          <rPr>
            <sz val="9"/>
            <color indexed="81"/>
            <rFont val="Tahoma"/>
            <family val="2"/>
          </rPr>
          <t xml:space="preserve">When using granite and granodiorit. Steen and Borg, Ecological Economics 42 (2002) 401 /413. 
</t>
        </r>
      </text>
    </comment>
    <comment ref="H49" authorId="0" shapeId="0" xr:uid="{7D17F964-8D0D-42F7-8B42-0717492F2919}">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49" authorId="0" shapeId="0" xr:uid="{381032FB-2D96-4035-9079-E91420FF7C95}">
      <text>
        <r>
          <rPr>
            <sz val="9"/>
            <color indexed="81"/>
            <rFont val="Tahoma"/>
            <family val="2"/>
          </rPr>
          <t>The cost for trace metal ores is larger than for Fe (1.6) because we do not know how many metals will be mined at the same time.</t>
        </r>
      </text>
    </comment>
    <comment ref="F50" authorId="0" shapeId="0" xr:uid="{077FE8C6-EC49-456D-88D0-BD22DA5A8BB4}">
      <text>
        <r>
          <rPr>
            <sz val="9"/>
            <color indexed="81"/>
            <rFont val="Tahoma"/>
            <family val="2"/>
          </rPr>
          <t xml:space="preserve">Rudnick and Gao 2014
</t>
        </r>
      </text>
    </comment>
    <comment ref="H50" authorId="0" shapeId="0" xr:uid="{E1CC2EE9-C879-4843-82B9-484340E9E634}">
      <text>
        <r>
          <rPr>
            <sz val="9"/>
            <color indexed="81"/>
            <rFont val="Tahoma"/>
            <family val="2"/>
          </rPr>
          <t>A. Shahmansouri et al. / Journal of Cleaner Production 100 (2015) 4-16
has identified Sr to be potentially profitable to extract from salt brine from desalination plants. 
Thus, the extra cost of sustainble production is close to zero.</t>
        </r>
      </text>
    </comment>
    <comment ref="F51" authorId="0" shapeId="0" xr:uid="{0D55A1E3-CBA6-4BFA-A034-1EDE0550BCE8}">
      <text>
        <r>
          <rPr>
            <sz val="9"/>
            <color indexed="81"/>
            <rFont val="Tahoma"/>
            <family val="2"/>
          </rPr>
          <t xml:space="preserve">Rudnick and Gao 2014
</t>
        </r>
      </text>
    </comment>
    <comment ref="H51" authorId="0" shapeId="0" xr:uid="{9F577201-F45C-47F1-A6EF-CED35E487C2E}">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1" authorId="0" shapeId="0" xr:uid="{27C10468-4316-4011-B3EA-F44DEACCF05E}">
      <text>
        <r>
          <rPr>
            <sz val="9"/>
            <color indexed="81"/>
            <rFont val="Tahoma"/>
            <family val="2"/>
          </rPr>
          <t>The cost for trace metal ores is larger than for Fe (1.6) because we do not know how many metals will be mined at the same time.</t>
        </r>
      </text>
    </comment>
    <comment ref="F52" authorId="0" shapeId="0" xr:uid="{260C5ABB-B68A-42CF-9A64-72ACA1E1CC4F}">
      <text>
        <r>
          <rPr>
            <sz val="9"/>
            <color indexed="81"/>
            <rFont val="Tahoma"/>
            <family val="2"/>
          </rPr>
          <t xml:space="preserve">Rudnick and Gao 2014
</t>
        </r>
      </text>
    </comment>
    <comment ref="G52" authorId="0" shapeId="0" xr:uid="{977CB075-19D0-420A-B88A-A35F1400B7E0}">
      <text>
        <r>
          <rPr>
            <sz val="10"/>
            <color indexed="81"/>
            <rFont val="Tahoma"/>
            <family val="2"/>
          </rPr>
          <t xml:space="preserve">Fairly well known chemical properties. Acid leaching is used commercially today. </t>
        </r>
      </text>
    </comment>
    <comment ref="H52" authorId="0" shapeId="0" xr:uid="{8E7884DF-93C6-46B0-81D4-F14FD6938146}">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2" authorId="0" shapeId="0" xr:uid="{D6754147-C643-4FF1-B9A2-6A134720AED3}">
      <text>
        <r>
          <rPr>
            <sz val="9"/>
            <color indexed="81"/>
            <rFont val="Tahoma"/>
            <family val="2"/>
          </rPr>
          <t>The cost for trace metal ores is larger than for Fe (1.6) because we do not know how many metals will be mined at the same time.</t>
        </r>
      </text>
    </comment>
    <comment ref="F53" authorId="0" shapeId="0" xr:uid="{00000000-0006-0000-0500-000015000000}">
      <text>
        <r>
          <rPr>
            <sz val="9"/>
            <color indexed="81"/>
            <rFont val="Tahoma"/>
            <family val="2"/>
          </rPr>
          <t xml:space="preserve">Ayres, Robert U.; Ayres, Leslie (2002). A handbook of industrial ecology. Edward Elgar Publishing. p. 396.
</t>
        </r>
      </text>
    </comment>
    <comment ref="H53" authorId="0" shapeId="0" xr:uid="{9F834AD4-463A-4A45-9557-BD0E01E2CEA9}">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3" authorId="0" shapeId="0" xr:uid="{DEEB983A-B697-4CDC-8E99-55558F4BFA27}">
      <text>
        <r>
          <rPr>
            <sz val="9"/>
            <color indexed="81"/>
            <rFont val="Tahoma"/>
            <family val="2"/>
          </rPr>
          <t>The very low concentration of Te makes it production efficiency extra uncertain.</t>
        </r>
      </text>
    </comment>
    <comment ref="F54" authorId="0" shapeId="0" xr:uid="{69F2BF59-6A6A-4A45-8008-02881D4FEB8C}">
      <text>
        <r>
          <rPr>
            <sz val="9"/>
            <color indexed="81"/>
            <rFont val="Tahoma"/>
            <family val="2"/>
          </rPr>
          <t xml:space="preserve">Rudnick and Gao 2014
</t>
        </r>
      </text>
    </comment>
    <comment ref="H54" authorId="0" shapeId="0" xr:uid="{E33DA43E-8412-4D11-A760-7B4BE07EAFD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4" authorId="0" shapeId="0" xr:uid="{D7AC4728-90BD-41A4-AF80-CBE1CE72350D}">
      <text>
        <r>
          <rPr>
            <sz val="9"/>
            <color indexed="81"/>
            <rFont val="Tahoma"/>
            <family val="2"/>
          </rPr>
          <t>The cost for trace metal ores is larger than for Fe (1.6) because we do not know how many metals will be mined at the same time.</t>
        </r>
      </text>
    </comment>
    <comment ref="F55" authorId="0" shapeId="0" xr:uid="{D1997B5E-9873-4E17-81F0-A8E1545B714D}">
      <text>
        <r>
          <rPr>
            <sz val="9"/>
            <color indexed="81"/>
            <rFont val="Tahoma"/>
            <family val="2"/>
          </rPr>
          <t xml:space="preserve">Rudnick and Gao, 2014
</t>
        </r>
      </text>
    </comment>
    <comment ref="H55" authorId="0" shapeId="0" xr:uid="{E5C9B2E7-DE72-4953-8CCE-71D77C19DFCD}">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5" authorId="0" shapeId="0" xr:uid="{B27C4E3F-D724-4CD6-B01D-C8F874433EC7}">
      <text>
        <r>
          <rPr>
            <sz val="9"/>
            <color indexed="81"/>
            <rFont val="Tahoma"/>
            <family val="2"/>
          </rPr>
          <t>The cost for trace metal ores is larger than for Fe (1.6) because we do not know how many metals will be mined at the same time.</t>
        </r>
      </text>
    </comment>
    <comment ref="F56" authorId="0" shapeId="0" xr:uid="{18AF6E77-B834-4A1A-B05D-097D0597C4B1}">
      <text>
        <r>
          <rPr>
            <sz val="9"/>
            <color indexed="81"/>
            <rFont val="Tahoma"/>
            <family val="2"/>
          </rPr>
          <t xml:space="preserve">Rudnick and Gao, 2014
</t>
        </r>
      </text>
    </comment>
    <comment ref="G56" authorId="0" shapeId="0" xr:uid="{7B9190E5-6BD5-49B6-B190-DA6C52ADE586}">
      <text>
        <r>
          <rPr>
            <sz val="9"/>
            <color indexed="81"/>
            <rFont val="Tahoma"/>
            <family val="2"/>
          </rPr>
          <t xml:space="preserve">Thallium(1) chloride is insoluble, and an oxidising environment is needed to give ThCl3 </t>
        </r>
      </text>
    </comment>
    <comment ref="H56" authorId="0" shapeId="0" xr:uid="{170EDD1D-FA95-4E54-99AD-FFF053B52E6D}">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6" authorId="0" shapeId="0" xr:uid="{2B175C95-855C-4150-8433-0C101CC84313}">
      <text>
        <r>
          <rPr>
            <sz val="9"/>
            <color indexed="81"/>
            <rFont val="Tahoma"/>
            <family val="2"/>
          </rPr>
          <t xml:space="preserve">It is unclear how much TlCl will decrease the leaching efficiency
</t>
        </r>
      </text>
    </comment>
    <comment ref="F57" authorId="0" shapeId="0" xr:uid="{FA1CE836-081B-455B-8AE0-3C66E8CFB9F0}">
      <text>
        <r>
          <rPr>
            <sz val="9"/>
            <color indexed="81"/>
            <rFont val="Tahoma"/>
            <family val="2"/>
          </rPr>
          <t xml:space="preserve">Rudnick and Gao, 2014
</t>
        </r>
      </text>
    </comment>
    <comment ref="G57" authorId="0" shapeId="0" xr:uid="{FE207126-8881-45EA-8EA7-762C9E7681E4}">
      <text>
        <r>
          <rPr>
            <sz val="10"/>
            <color indexed="81"/>
            <rFont val="Tahoma"/>
            <family val="2"/>
          </rPr>
          <t xml:space="preserve">Fairly well known chemical properties. Acid leaching is used commercially today. </t>
        </r>
      </text>
    </comment>
    <comment ref="H57" authorId="0" shapeId="0" xr:uid="{421B28A1-7DAA-48D1-B52C-B6B86AE641A9}">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7" authorId="0" shapeId="0" xr:uid="{65F6E9A2-83E3-4235-B938-8C132C800044}">
      <text>
        <r>
          <rPr>
            <sz val="9"/>
            <color indexed="81"/>
            <rFont val="Tahoma"/>
            <family val="2"/>
          </rPr>
          <t>The cost for trace metal ores is larger than for Fe (1.6) because we do not know how many metals will be mined at the same time.</t>
        </r>
      </text>
    </comment>
    <comment ref="F58" authorId="0" shapeId="0" xr:uid="{C066F648-6143-405F-A708-5D5EC5F5437A}">
      <text>
        <r>
          <rPr>
            <sz val="9"/>
            <color indexed="81"/>
            <rFont val="Tahoma"/>
            <family val="2"/>
          </rPr>
          <t>U abundance according to Rudnick and Gao, 2014. Isotop abundance according to https://ciaaw.org/isotopic-abundances.htm</t>
        </r>
      </text>
    </comment>
    <comment ref="H58" authorId="0" shapeId="0" xr:uid="{CC131253-9433-4DE2-A3AD-068AE16CBF9C}">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8" authorId="0" shapeId="0" xr:uid="{663A4D98-A5B4-4053-870C-E53F33DAE6ED}">
      <text>
        <r>
          <rPr>
            <sz val="9"/>
            <color indexed="81"/>
            <rFont val="Tahoma"/>
            <family val="2"/>
          </rPr>
          <t>The cost for trace metal ores is larger than for Fe (1.6) because we do not know how many metals will be mined at the same time.</t>
        </r>
      </text>
    </comment>
    <comment ref="F59" authorId="0" shapeId="0" xr:uid="{FD27B894-A21F-4539-B95C-FCA7FD36CA00}">
      <text>
        <r>
          <rPr>
            <sz val="9"/>
            <color indexed="81"/>
            <rFont val="Tahoma"/>
            <family val="2"/>
          </rPr>
          <t>U abundance according to Rudnick and Gao, 2014. Isotop abundance according to https://ciaaw.org/isotopic-abundances.htm</t>
        </r>
      </text>
    </comment>
    <comment ref="H59" authorId="0" shapeId="0" xr:uid="{967A4FBD-A309-4098-8133-E5D9C87073F8}">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59" authorId="0" shapeId="0" xr:uid="{360C5AED-1055-4A83-AAF3-45051DCF2088}">
      <text>
        <r>
          <rPr>
            <sz val="9"/>
            <color indexed="81"/>
            <rFont val="Tahoma"/>
            <family val="2"/>
          </rPr>
          <t>The cost for trace metal ores is larger than for Fe (1.6) because we do not know how many metals will be mined at the same time.</t>
        </r>
      </text>
    </comment>
    <comment ref="F60" authorId="0" shapeId="0" xr:uid="{32D16925-75D4-4E1E-8778-CD3376046EDD}">
      <text>
        <r>
          <rPr>
            <sz val="9"/>
            <color indexed="81"/>
            <rFont val="Tahoma"/>
            <family val="2"/>
          </rPr>
          <t xml:space="preserve">Rudnick and Gao, 2014
</t>
        </r>
      </text>
    </comment>
    <comment ref="G60" authorId="0" shapeId="0" xr:uid="{F92B50FA-3826-43E7-86DE-11DEF640E602}">
      <text>
        <r>
          <rPr>
            <sz val="9"/>
            <color indexed="81"/>
            <rFont val="Tahoma"/>
            <family val="2"/>
          </rPr>
          <t xml:space="preserve">When using granite and granodiorit. Steen and Borg, Ecological Economics 42 (2002) 401 /413. 
</t>
        </r>
      </text>
    </comment>
    <comment ref="H60" authorId="0" shapeId="0" xr:uid="{3DC3402D-C4C5-49C1-85D6-A4698919042B}">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0" authorId="0" shapeId="0" xr:uid="{9A4C24A9-8C2A-463A-8FF5-A6F82D4C0F41}">
      <text>
        <r>
          <rPr>
            <sz val="9"/>
            <color indexed="81"/>
            <rFont val="Tahoma"/>
            <family val="2"/>
          </rPr>
          <t>There are many chloride forms indicating a large dependence on the redox potential in leaching</t>
        </r>
      </text>
    </comment>
    <comment ref="F61" authorId="0" shapeId="0" xr:uid="{CB4B306E-66ED-4D1C-92D7-6A784BD34A54}">
      <text>
        <r>
          <rPr>
            <sz val="9"/>
            <color indexed="81"/>
            <rFont val="Tahoma"/>
            <family val="2"/>
          </rPr>
          <t xml:space="preserve">Rudnick and Gao, 2014
</t>
        </r>
      </text>
    </comment>
    <comment ref="H61" authorId="0" shapeId="0" xr:uid="{97DE72A8-01A2-4023-9798-91F7DD28FFCA}">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1" authorId="0" shapeId="0" xr:uid="{9C698810-82B7-4433-BF92-07FAE1BCB90E}">
      <text>
        <r>
          <rPr>
            <sz val="9"/>
            <color indexed="81"/>
            <rFont val="Tahoma"/>
            <family val="2"/>
          </rPr>
          <t>The cost for trace metal ores is larger than for Fe (1.6) because we do not know how many metals will be mined at the same time.</t>
        </r>
      </text>
    </comment>
    <comment ref="F62" authorId="0" shapeId="0" xr:uid="{7C875E50-0399-4C1D-8D89-F20DBEA396E1}">
      <text>
        <r>
          <rPr>
            <sz val="9"/>
            <color indexed="81"/>
            <rFont val="Tahoma"/>
            <family val="2"/>
          </rPr>
          <t xml:space="preserve">Rudnick and Gao, 2014
</t>
        </r>
      </text>
    </comment>
    <comment ref="G62" authorId="0" shapeId="0" xr:uid="{849D386C-D72A-4658-910D-5EF81553DD58}">
      <text>
        <r>
          <rPr>
            <sz val="10"/>
            <color indexed="81"/>
            <rFont val="Tahoma"/>
            <family val="2"/>
          </rPr>
          <t xml:space="preserve">Fairly well known chemical properties. Acid leaching is used commercially today. </t>
        </r>
      </text>
    </comment>
    <comment ref="H62" authorId="0" shapeId="0" xr:uid="{FC9D8232-F0E5-4C25-BCCC-FA508502032B}">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2" authorId="0" shapeId="0" xr:uid="{8CFD3C47-A923-4CC1-92D9-0DF831660CB3}">
      <text>
        <r>
          <rPr>
            <sz val="9"/>
            <color indexed="81"/>
            <rFont val="Tahoma"/>
            <family val="2"/>
          </rPr>
          <t>The cost for trace metal ores is larger than for Fe (1.6) because we do not know how many metals will be mined at the same time.</t>
        </r>
      </text>
    </comment>
    <comment ref="F63" authorId="0" shapeId="0" xr:uid="{235BCC01-760E-4011-ABBA-639DBBB9E3D8}">
      <text>
        <r>
          <rPr>
            <sz val="9"/>
            <color indexed="81"/>
            <rFont val="Tahoma"/>
            <family val="2"/>
          </rPr>
          <t xml:space="preserve">Rudnick and Gao, 2014
</t>
        </r>
      </text>
    </comment>
    <comment ref="G63" authorId="0" shapeId="0" xr:uid="{362311A9-C29F-4CE0-B8C4-0C9BAAD3A6AF}">
      <text>
        <r>
          <rPr>
            <sz val="10"/>
            <color indexed="81"/>
            <rFont val="Tahoma"/>
            <family val="2"/>
          </rPr>
          <t xml:space="preserve">Fairly well known chemical properties. Acid leaching is used commercially today. </t>
        </r>
      </text>
    </comment>
    <comment ref="H63" authorId="0" shapeId="0" xr:uid="{4A7F06F0-0747-498C-8AF2-A19189FD441F}">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3" authorId="0" shapeId="0" xr:uid="{361F5E80-5CB8-40A6-A946-BDD9347CE46E}">
      <text>
        <r>
          <rPr>
            <sz val="9"/>
            <color indexed="81"/>
            <rFont val="Tahoma"/>
            <family val="2"/>
          </rPr>
          <t>The cost for trace metal ores is larger than for Fe (1.6) because we do not know how many metals will be mined at the same time.</t>
        </r>
      </text>
    </comment>
    <comment ref="F64" authorId="0" shapeId="0" xr:uid="{62B131DC-6BD6-4250-B4CB-9E162A236D13}">
      <text>
        <r>
          <rPr>
            <sz val="9"/>
            <color indexed="81"/>
            <rFont val="Tahoma"/>
            <family val="2"/>
          </rPr>
          <t xml:space="preserve">Rudnick and Gao, 2014
</t>
        </r>
      </text>
    </comment>
    <comment ref="G64" authorId="0" shapeId="0" xr:uid="{CC52B009-3CC4-4211-8C08-361D39AD0430}">
      <text>
        <r>
          <rPr>
            <sz val="9"/>
            <color indexed="81"/>
            <rFont val="Tahoma"/>
            <family val="2"/>
          </rPr>
          <t xml:space="preserve">When using granite and granodiorit. Steen and Borg, Ecological Economics 42 (2002) 401 /413. 
</t>
        </r>
      </text>
    </comment>
    <comment ref="H64" authorId="0" shapeId="0" xr:uid="{49B4CD6A-084C-4147-88DB-E9F37CD6F6A5}">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4" authorId="0" shapeId="0" xr:uid="{145A6965-C9AB-41FA-A597-8D7AD7DF2DAC}">
      <text>
        <r>
          <rPr>
            <sz val="9"/>
            <color indexed="81"/>
            <rFont val="Tahoma"/>
            <family val="2"/>
          </rPr>
          <t>The cost for trace metal ores is larger than for Fe (1.6) because we do not know how many metals will be mined at the same time.</t>
        </r>
      </text>
    </comment>
    <comment ref="A65" authorId="0" shapeId="0" xr:uid="{7CD67A68-8BEA-4823-837A-FC4DE9B93DD2}">
      <text>
        <r>
          <rPr>
            <sz val="9"/>
            <color indexed="81"/>
            <rFont val="Tahoma"/>
            <family val="2"/>
          </rPr>
          <t xml:space="preserve">The natural form of Zr mined today is Zr-silicate. It is assued that Zircon silicate is the dominating compound in earths crust.
</t>
        </r>
      </text>
    </comment>
    <comment ref="F65" authorId="0" shapeId="0" xr:uid="{B4843880-CE4B-4EEC-875C-38CC76AFA681}">
      <text>
        <r>
          <rPr>
            <sz val="9"/>
            <color indexed="81"/>
            <rFont val="Tahoma"/>
            <family val="2"/>
          </rPr>
          <t xml:space="preserve">Rudnick and Gao, 2014
</t>
        </r>
      </text>
    </comment>
    <comment ref="G65" authorId="0" shapeId="0" xr:uid="{8918485D-33EB-4F1E-97BF-55A4C63DB6C7}">
      <text>
        <r>
          <rPr>
            <sz val="9"/>
            <color indexed="81"/>
            <rFont val="Tahoma"/>
            <family val="2"/>
          </rPr>
          <t>Zirconium silicate is insoluble in water, acids, alkali and aqua regia and cannot be expected to be extracted by HCl together with other metals.  Today it is extracted from sea sand by gravity, electroststic and magnetic methods. It is assumed that Zr is extracted from (extracted?) bedrock fines and concentrated with similar technology, but not togehter with other minerals.</t>
        </r>
      </text>
    </comment>
    <comment ref="H65" authorId="0" shapeId="0" xr:uid="{95292BD8-893C-480E-8FC1-F9702B94BA71}">
      <text>
        <r>
          <rPr>
            <sz val="9"/>
            <color indexed="81"/>
            <rFont val="Tahoma"/>
            <family val="2"/>
          </rPr>
          <t>The damage cost = K/(Ci*ηi*n), where K is a constant, representing the cost of chemicals and energy for hydrometallurgically processing one ton of bedrock, Ci the concentration of the metal i in the rock, ηi the leaching efficiency for metal i, and n the number of elements mined at the same time. n is assumed to be 20.
K is determined to 57.6 $/ton rock from the cost for chemicals and energy of hydrometallurgical extraction of Fe from granodiorite 2018. See chapter 5 in Steen, B. Monetary valuation of environmental impacts - Models and data, CRC press, Boca Raton, 2019. K for 2025 is adjusted for inflation to 73.6 $/ton or 62.5 €/ton.</t>
        </r>
      </text>
    </comment>
    <comment ref="I65" authorId="0" shapeId="0" xr:uid="{3A17ADBC-4530-445A-A125-222DED868841}">
      <text>
        <r>
          <rPr>
            <sz val="9"/>
            <color indexed="81"/>
            <rFont val="Tahoma"/>
            <family val="2"/>
          </rPr>
          <t xml:space="preserve">Uncertain technology.
</t>
        </r>
      </text>
    </comment>
    <comment ref="H67" authorId="0" shapeId="0" xr:uid="{1A09CC7B-A4DA-406E-BB00-46AB312A4687}">
      <text>
        <r>
          <rPr>
            <sz val="9"/>
            <color indexed="81"/>
            <rFont val="Tahoma"/>
            <family val="2"/>
          </rPr>
          <t>The cost of sustainably produce B through ion exchange of seawater was estmetd to 10$/kg. Steen, B., Monetary valuation of environmental impacts, CRC Press, Boca Raton, 2019. Translated to 2025 currency it would be 10.6 €/kg.</t>
        </r>
      </text>
    </comment>
    <comment ref="I67" authorId="0" shapeId="0" xr:uid="{0840C0DC-D670-405F-8A2F-BF4BA0521DDE}">
      <text>
        <r>
          <rPr>
            <sz val="9"/>
            <color indexed="81"/>
            <rFont val="Tahoma"/>
            <family val="2"/>
          </rPr>
          <t xml:space="preserve">The capital cost is uncertain 
</t>
        </r>
      </text>
    </comment>
    <comment ref="H68" authorId="0" shapeId="0" xr:uid="{00000000-0006-0000-0500-00001A000000}">
      <text>
        <r>
          <rPr>
            <sz val="9"/>
            <color indexed="81"/>
            <rFont val="Tahoma"/>
            <family val="2"/>
          </rPr>
          <t>Part of the Br is today extracted from seawater, why its resource value is estimated to 0 ELU/kg.</t>
        </r>
      </text>
    </comment>
    <comment ref="H69" authorId="0" shapeId="0" xr:uid="{00000000-0006-0000-0500-00001B000000}">
      <text>
        <r>
          <rPr>
            <sz val="9"/>
            <color indexed="81"/>
            <rFont val="Tahoma"/>
            <family val="2"/>
          </rPr>
          <t xml:space="preserve">Current resource, water is considered sustainable
</t>
        </r>
      </text>
    </comment>
    <comment ref="H70" authorId="0" shapeId="0" xr:uid="{00000000-0006-0000-0500-00001C000000}">
      <text>
        <r>
          <rPr>
            <sz val="9"/>
            <color indexed="81"/>
            <rFont val="Tahoma"/>
            <family val="2"/>
          </rPr>
          <t xml:space="preserve">Current resources like sea water is considered sustainable
</t>
        </r>
      </text>
    </comment>
    <comment ref="H71" authorId="0" shapeId="0" xr:uid="{00000000-0006-0000-0500-00001D000000}">
      <text>
        <r>
          <rPr>
            <sz val="9"/>
            <color indexed="81"/>
            <rFont val="Tahoma"/>
            <family val="2"/>
          </rPr>
          <t xml:space="preserve">Sustainably produced from seawater. Steen, B., Monetary valuation of environmental impacts, CRC Press, Boca Raton, 2019, 
</t>
        </r>
      </text>
    </comment>
    <comment ref="H72" authorId="0" shapeId="0" xr:uid="{00000000-0006-0000-0500-00001E000000}">
      <text>
        <r>
          <rPr>
            <sz val="9"/>
            <color indexed="81"/>
            <rFont val="Tahoma"/>
            <family val="2"/>
          </rPr>
          <t xml:space="preserve">Mg is today produced from sea water
</t>
        </r>
      </text>
    </comment>
    <comment ref="H73" authorId="0" shapeId="0" xr:uid="{00000000-0006-0000-0500-00001F000000}">
      <text>
        <r>
          <rPr>
            <sz val="9"/>
            <color indexed="81"/>
            <rFont val="Tahoma"/>
            <family val="2"/>
          </rPr>
          <t xml:space="preserve">S can be obtained in a sustainable way from vulcanic activities and seawater. Cost estimates is from Steen, B., Monetary valuation of environmental impacts, CRC Press, Boca Raton, 2019, </t>
        </r>
      </text>
    </comment>
    <comment ref="H74" authorId="0" shapeId="0" xr:uid="{F04453C8-C594-4A86-A66A-55E1CBDDD8D7}">
      <text>
        <r>
          <rPr>
            <sz val="9"/>
            <color indexed="81"/>
            <rFont val="Tahoma"/>
            <family val="2"/>
          </rPr>
          <t xml:space="preserve">Si, is the second most abundant element in the continental
crust. Resources are so large that present mining is considered close to
sustainable, and the extra cost set to 0.
</t>
        </r>
      </text>
    </comment>
    <comment ref="H75" authorId="0" shapeId="0" xr:uid="{00000000-0006-0000-0500-000020000000}">
      <text>
        <r>
          <rPr>
            <sz val="9"/>
            <color indexed="81"/>
            <rFont val="Tahoma"/>
            <family val="2"/>
          </rPr>
          <t>Iodine is currently extracted from seawater via kelp. If larger volumes is needed, desalination brines may be used, and the cost would be in the order of 30$/kg
Ref: Steen, B. Monetary valuation of environmental impacts - Models and data. CRC press. Boka Raton 2019. Inflation adjusted to 2025 currency it is 31.8 €/kg</t>
        </r>
      </text>
    </comment>
    <comment ref="I75" authorId="0" shapeId="0" xr:uid="{72122126-501F-488A-BB06-EC5CC36FE9A7}">
      <text>
        <r>
          <rPr>
            <sz val="9"/>
            <color indexed="81"/>
            <rFont val="Tahoma"/>
            <family val="2"/>
          </rPr>
          <t>There is a large difference in costs depending on plant size
(Shahmansouri, A., et al., Feasibility of extracting valuable minerals from desalination 
concentrate: a comprehensive literature review. Journal of Cleaner Production, 2015, 100: 4–16)</t>
        </r>
      </text>
    </comment>
    <comment ref="H76" authorId="0" shapeId="0" xr:uid="{00000000-0006-0000-0500-000021000000}">
      <text>
        <r>
          <rPr>
            <sz val="9"/>
            <color indexed="81"/>
            <rFont val="Tahoma"/>
            <family val="2"/>
          </rPr>
          <t xml:space="preserve">Current resources like sea water is considered sustainable
</t>
        </r>
      </text>
    </comment>
    <comment ref="H78" authorId="0" shapeId="0" xr:uid="{00000000-0006-0000-0500-000022000000}">
      <text>
        <r>
          <rPr>
            <sz val="9"/>
            <color indexed="81"/>
            <rFont val="Tahoma"/>
            <family val="2"/>
          </rPr>
          <t xml:space="preserve">Currently produced from air, which is considered a sustainable resource
</t>
        </r>
      </text>
    </comment>
    <comment ref="H79" authorId="0" shapeId="0" xr:uid="{00000000-0006-0000-0500-000023000000}">
      <text>
        <r>
          <rPr>
            <sz val="9"/>
            <color indexed="81"/>
            <rFont val="Tahoma"/>
            <family val="2"/>
          </rPr>
          <t xml:space="preserve">Currently produced from air, which is considered a sustainable resource
</t>
        </r>
      </text>
    </comment>
    <comment ref="H80" authorId="0" shapeId="0" xr:uid="{00000000-0006-0000-0500-000024000000}">
      <text>
        <r>
          <rPr>
            <sz val="9"/>
            <color indexed="81"/>
            <rFont val="Tahoma"/>
            <family val="2"/>
          </rPr>
          <t xml:space="preserve">Currently produced from air, which is considered a sustainable resource
</t>
        </r>
      </text>
    </comment>
    <comment ref="H81" authorId="0" shapeId="0" xr:uid="{00000000-0006-0000-0500-000025000000}">
      <text>
        <r>
          <rPr>
            <sz val="9"/>
            <color indexed="81"/>
            <rFont val="Tahoma"/>
            <family val="2"/>
          </rPr>
          <t xml:space="preserve">Currently produced from air, which is considered a sustainable resource
</t>
        </r>
      </text>
    </comment>
    <comment ref="H82" authorId="0" shapeId="0" xr:uid="{00000000-0006-0000-0500-000026000000}">
      <text>
        <r>
          <rPr>
            <sz val="9"/>
            <color indexed="81"/>
            <rFont val="Tahoma"/>
            <family val="2"/>
          </rPr>
          <t xml:space="preserve">Currently produced from air, which is considered a sustainable resource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F1" authorId="0" shapeId="0" xr:uid="{00000000-0006-0000-0700-000001000000}">
      <text>
        <r>
          <rPr>
            <sz val="9"/>
            <color indexed="81"/>
            <rFont val="Tahoma"/>
            <family val="2"/>
          </rPr>
          <t xml:space="preserve">Either the total decrease (+) or decrease (-) of indicator units due to the emission (=substance flow group)
or
decrease or increase of indicator units from 1 kg of a reference substance. The latter is used to model the characterisation factors, when  equivalency factors are available. </t>
        </r>
      </text>
    </comment>
    <comment ref="G1" authorId="0" shapeId="0" xr:uid="{00000000-0006-0000-0700-000002000000}">
      <text>
        <r>
          <rPr>
            <sz val="9"/>
            <color indexed="81"/>
            <rFont val="Tahoma"/>
            <family val="2"/>
          </rPr>
          <t>If not specifically noted, the uncertaitny is expressed as a factor equal to one standard deviation in a log normal distribution</t>
        </r>
      </text>
    </comment>
    <comment ref="I1" authorId="0" shapeId="0" xr:uid="{00000000-0006-0000-0700-000003000000}">
      <text>
        <r>
          <rPr>
            <sz val="9"/>
            <color indexed="81"/>
            <rFont val="Tahoma"/>
            <family val="2"/>
          </rPr>
          <t>If not specifically noted, the uncertaitny is expressed as a factor equal ti one standard deviation in a log normal distribution</t>
        </r>
      </text>
    </comment>
    <comment ref="A3" authorId="0" shapeId="0" xr:uid="{483A71B2-D2A6-47E7-9199-9810FBF499F7}">
      <text>
        <r>
          <rPr>
            <sz val="9"/>
            <color indexed="81"/>
            <rFont val="Tahoma"/>
            <family val="2"/>
          </rPr>
          <t xml:space="preserve">Emission to ambient air, anywhere in the world 2025 at any source strength
</t>
        </r>
      </text>
    </comment>
    <comment ref="F3" authorId="0" shapeId="0" xr:uid="{5D3CA275-E729-4E8C-BB31-EA603BC47BAF}">
      <text>
        <r>
          <rPr>
            <sz val="9"/>
            <color indexed="81"/>
            <rFont val="Tahoma"/>
            <family val="2"/>
          </rPr>
          <t>AR6 WGII mentions two studies. One from WHO 2014 conluding that by 2050 (SSP3 7.0, RCP 6.0) there will be 95000 deaths per year extra from heat stress (chapter 7.3.1.1), mainly for persons over 65 suffering from CVD diseases. Using this figure as an average for the whole period 2015-2100 we obtain  85*95000=8.1E+06 deaths. Day to day statistics show a lag in mortality of days to weeks during heat waves. Mortality increases during the heat wave and decreases under normal the following days. It is unclear how many YLL there is per death case, but 1 month is assumed as a best estimate. It varies in different regions in the world (WHO 2014, ISBN 978 92 4 150769 1). This means that the extent of impacts is 8.1E+06*1/12 = 6.7E+05 YLL. 
The second study referred to is by Carleton et al (2022). They estimate excess heat induced mortality relative to 2000 by all causes and includes scenarios for adaption. It is based on statistics from different regions and the RCP 4.5 and RCP 8.5. For RCP 6.0 we extrapolate their result to 20 cases per 100000 inhabitants as an average for the period 2020-2100. That would mean that the extension is 20*10*1000*9 cases/year*1/12 personyears/case*75years = 1.13E+07 personyears. 
We choose the results from Carleton et al as it covers more causes than the WHO study.</t>
        </r>
      </text>
    </comment>
    <comment ref="G3" authorId="0" shapeId="0" xr:uid="{00000000-0006-0000-0700-000006000000}">
      <text>
        <r>
          <rPr>
            <sz val="9"/>
            <color indexed="81"/>
            <rFont val="Tahoma"/>
            <family val="2"/>
          </rPr>
          <t xml:space="preserve">Most unceratiny is in the YLL/case. Values  have been reported between zero to 30 days
</t>
        </r>
      </text>
    </comment>
    <comment ref="H3" authorId="0" shapeId="0" xr:uid="{0FB9D6CD-E174-43F4-99DD-56C2A2517E92}">
      <text>
        <r>
          <rPr>
            <sz val="9"/>
            <color indexed="81"/>
            <rFont val="Tahoma"/>
            <family val="2"/>
          </rPr>
          <t>By the year 2100 the accumulated CO2 emissions from 2025 are estimated in the MESSAGE-GLOBIOM model, for the scenario SSP2-4.5 to be 2469 Gton.  The contribution of 1 kg of extra CO2 to global warming is therefore =0.785/2.469E+15 = 2.18E–16, where 0.785 is the share of global warming coming from CO2.</t>
        </r>
      </text>
    </comment>
    <comment ref="I3" authorId="0" shapeId="0" xr:uid="{00000000-0006-0000-0700-000008000000}">
      <text>
        <r>
          <rPr>
            <sz val="9"/>
            <color indexed="81"/>
            <rFont val="Tahoma"/>
            <family val="2"/>
          </rPr>
          <t>uncertainty range is given as 3080 to 4585 in AR5 WGII table SPM 3.</t>
        </r>
      </text>
    </comment>
    <comment ref="F4" authorId="0" shapeId="0" xr:uid="{1ED73843-8CE7-41E7-983A-48D3247D1094}">
      <text>
        <r>
          <rPr>
            <sz val="9"/>
            <color indexed="81"/>
            <rFont val="Tahoma"/>
            <family val="2"/>
          </rPr>
          <t xml:space="preserve">Walkowiak et al (Population and Environment (2025) 47:10) estimate a 2 mounths increased life expectancy  for Europe and RCP 4.5 until the period 2041-2070. Apping this as a median value globally for RCP6 until 2100 we get 8.3E+09*2/12 = 1.38E+09 YLL. Wang et al (Nature Climate Change, 15 (2025) DOI 10.1038/s41558-025-02303-3) find that cold moderation impacts in EU are somewhat larger than the rest of the world, why such an assumption seems reasonable.
</t>
        </r>
      </text>
    </comment>
    <comment ref="G4" authorId="0" shapeId="0" xr:uid="{1D309E49-32CF-40E8-8209-B9FCE23418CC}">
      <text>
        <r>
          <rPr>
            <sz val="9"/>
            <color indexed="81"/>
            <rFont val="Tahoma"/>
            <family val="2"/>
          </rPr>
          <t xml:space="preserve">There are some uncertainty in the assessing YLL/case. There is also a model uncertainty in the consideration of confounding factors in the epidemiological analyses.  
</t>
        </r>
      </text>
    </comment>
    <comment ref="F5" authorId="0" shapeId="0" xr:uid="{067CCD88-95B6-454C-A375-DDF5B3F9CF99}">
      <text>
        <r>
          <rPr>
            <sz val="9"/>
            <color indexed="81"/>
            <rFont val="Tahoma"/>
            <family val="2"/>
          </rPr>
          <t>IPCC AR6, WGII, Chapter 7.3.1.1. referring to WHO:s 2014 report estimate childhood excess mortality to 85000 by the year 2050 for the A1B scenario, a mid scenario. This figure is used as an average for 2020 to 2100 years. YLL/case is assumed to be 70. The total impact extent is 85000*75*70 = 4.46E+08 YLLs</t>
        </r>
      </text>
    </comment>
    <comment ref="G5" authorId="0" shapeId="0" xr:uid="{00000000-0006-0000-0700-00000E000000}">
      <text>
        <r>
          <rPr>
            <sz val="9"/>
            <color indexed="81"/>
            <rFont val="Tahoma"/>
            <family val="2"/>
          </rPr>
          <t xml:space="preserve">Assuming the state 2050 is representative during 85 years is a simplification. Estimations also vaies with a factor of 2 beween growth scenarios used by WHO.
</t>
        </r>
      </text>
    </comment>
    <comment ref="F6" authorId="0" shapeId="0" xr:uid="{EFCA9177-F5B2-4761-9B78-9B0AC0D5785C}">
      <text>
        <r>
          <rPr>
            <sz val="9"/>
            <color indexed="81"/>
            <rFont val="Tahoma"/>
            <family val="2"/>
          </rPr>
          <t>WHO estimates (Hales et al, 2014) excess mortality to be in the order of 50000 cases per year. An average YLL/case is estimated to be 40 years. The extent of the impact is therefore 50000 cases*40years/case*75years = 1.5E+08 YLL</t>
        </r>
      </text>
    </comment>
    <comment ref="G6" authorId="0" shapeId="0" xr:uid="{D2121F02-8228-422D-A9B5-864158E9750F}">
      <text>
        <r>
          <rPr>
            <sz val="9"/>
            <color indexed="81"/>
            <rFont val="Tahoma"/>
            <family val="2"/>
          </rPr>
          <t>High uncertainty depending on preventive measures taken. WHO point on high uncertainty and reports no specific figure, only ranges</t>
        </r>
      </text>
    </comment>
    <comment ref="E7" authorId="0" shapeId="0" xr:uid="{C1B2A5F8-559D-4A8F-8A3A-4F9503EC1C3F}">
      <text>
        <r>
          <rPr>
            <sz val="9"/>
            <color indexed="81"/>
            <rFont val="Tahoma"/>
            <family val="2"/>
          </rPr>
          <t>Malaria, diarrhea</t>
        </r>
      </text>
    </comment>
    <comment ref="F7" authorId="0" shapeId="0" xr:uid="{841D2609-CD1B-4575-9393-23FB8A37A975}">
      <text>
        <r>
          <rPr>
            <sz val="9"/>
            <color indexed="81"/>
            <rFont val="Tahoma"/>
            <family val="2"/>
          </rPr>
          <t>IPCC AR6, WGII, Chapter 7.3.1.1 refers to WHO 2014 and estimates and excess mortality from malaria and diarroheal disease to 33000 and 33000, i.e. 66000 in total in the year 2050. As children are most at risk an average YLL/case of 60 is assumed. The total extent of the impact will therefore be 66000*60*80 = 2.97E+08 YLL.</t>
        </r>
      </text>
    </comment>
    <comment ref="G7" authorId="0" shapeId="0" xr:uid="{F6A9895E-6B98-40B5-A8F9-D543D75A0DEF}">
      <text>
        <r>
          <rPr>
            <sz val="9"/>
            <color indexed="81"/>
            <rFont val="Tahoma"/>
            <family val="2"/>
          </rPr>
          <t xml:space="preserve">Assuming the state 2050 is representative during 85 years is a simplification.
</t>
        </r>
      </text>
    </comment>
    <comment ref="F8" authorId="0" shapeId="0" xr:uid="{7E1DFC92-B9EA-41BA-8A19-63EFCED34B1E}">
      <text>
        <r>
          <rPr>
            <sz val="9"/>
            <color indexed="81"/>
            <rFont val="Tahoma"/>
            <family val="2"/>
          </rPr>
          <t>WHO estimates that climate change will cause an increase in the number of undernourished children under 5 with severe stunting to 4 million by the year 2050 in the A1B scenario. (Hales et al 2014). This figure is used as an average for the period 2020-2100. YLL/case is set to 70 years. The extent of the impact is therefore 4E+06 cases per year*70 years/case*80 years = 2.10E+10 personyears</t>
        </r>
      </text>
    </comment>
    <comment ref="G8" authorId="0" shapeId="0" xr:uid="{00000000-0006-0000-0700-00001A000000}">
      <text>
        <r>
          <rPr>
            <sz val="9"/>
            <color indexed="81"/>
            <rFont val="Tahoma"/>
            <family val="2"/>
          </rPr>
          <t xml:space="preserve">IPCC AR5 WGII have reported the increase in undernutrition to 22% and 10% in two different scenarios. The YLD is today half of the estimation for 2050. </t>
        </r>
      </text>
    </comment>
    <comment ref="F9" authorId="0" shapeId="0" xr:uid="{2E1D9688-F6B4-4B7E-B7D1-D692170FF2F7}">
      <text>
        <r>
          <rPr>
            <sz val="9"/>
            <color indexed="81"/>
            <rFont val="Tahoma"/>
            <family val="2"/>
          </rPr>
          <t>AR5 WGII, Chapter 11.6.2.4 cites an estimation from Dunne et al. [11] of a 20% loss of productivity globally in RCP4.5 by 2100 compared to 1990 and 30% for RCP8.5. From Dunne et al. (their Figure 2), the decrease in productivity for the global labor force (performing physical labor) is estimated to be 6% as an average for 2020–2100 for RCP6.0. Dunne et al. estimate the global population weighted reduction in working capacity to between 2 and 20%, so 6% is an average in a log-normal distribution with
an uncertainty factor of 1.8. The total workforce with a global population of 9 billion is estimated to be 6*0.65*0.3 = 1.17 billion, where 6 is the population in billions in ages 20–65 years, 0.65 is the approximate present employment rate in OECD countries and 0.3 is the share of the work force performing physical labor (estimates from ILO database ILOSTAT and the OECD labor market outcomes—employment rates). However, for individuals also non-paid labor has a value. Assuming the same share of physical labor, the affected population will be 1.8 billion. The model by Dunne et al. does not cover non-paid labor outside working hours. One would expect that the reduction of labor capacity is less severe in the mornings and evenings but the same during weekends. The total reduction in working capacity for the years 2020–2100 is set to 1.8E+09*0.06*365*8*80 = 2.52E+13 person-hours
In AR6 WGII, Chapter 7.3.1.2,  it was mentioned that RCP8.5 would result in a 1.4 to 2.4% reduction in global GDP by 2100 compared to a 0.5% reduction under RCP2.6 (Orlov et al., 2020). Assuming a 1% reduction in working capacity and keeping the estimation of 0.3 as the share of the work force performing physical labor, the total reduction in working capacity is 1.8E+09*0.01/0.3*8*365*80 = 1.31E+13 person-hours</t>
        </r>
      </text>
    </comment>
    <comment ref="G9" authorId="0" shapeId="0" xr:uid="{00000000-0006-0000-0700-00001E000000}">
      <text>
        <r>
          <rPr>
            <sz val="9"/>
            <color indexed="81"/>
            <rFont val="Tahoma"/>
            <family val="2"/>
          </rPr>
          <t>There is an uncertainty in the estimation of the size of the physical workforce during the time until 2100, its work intensity distribution and to what extent this is included in the modelling made by Dunne et al.</t>
        </r>
      </text>
    </comment>
    <comment ref="F10" authorId="0" shapeId="0" xr:uid="{D99CE60E-0F40-4B2B-968F-DA006DED3934}">
      <text>
        <r>
          <rPr>
            <sz val="9"/>
            <color indexed="81"/>
            <rFont val="Tahoma"/>
            <family val="2"/>
          </rPr>
          <t>In AR6 WGII, Chapter 7, Carton (2016) is cited, estimating a 7% increase in diarrhoeal prevalence per 1 degree temperture increase. RCP6 and SSP2-4.5 points at an average temperture increase of around 1-2 degrees  2000-2100. Present (2021) global burden of diarrhoeal disease is 59.3 million DALY according to Ferrari, Lancet 2024. A 10% increase would result in around 6 million DALY per year and 450 million DALY for the whole period 2020-2100.</t>
        </r>
      </text>
    </comment>
    <comment ref="G10" authorId="0" shapeId="0" xr:uid="{00000000-0006-0000-0700-000022000000}">
      <text>
        <r>
          <rPr>
            <sz val="9"/>
            <color indexed="81"/>
            <rFont val="Tahoma"/>
            <family val="2"/>
          </rPr>
          <t xml:space="preserve">GBD gives a range for diarrehoal  
</t>
        </r>
      </text>
    </comment>
    <comment ref="E11" authorId="0" shapeId="0" xr:uid="{00000000-0006-0000-0700-000025000000}">
      <text>
        <r>
          <rPr>
            <sz val="9"/>
            <color indexed="81"/>
            <rFont val="Tahoma"/>
            <family val="2"/>
          </rPr>
          <t xml:space="preserve">temperature, draught, extreme temperature and precipitation, CO2 concentration
</t>
        </r>
      </text>
    </comment>
    <comment ref="F11" authorId="0" shapeId="0" xr:uid="{BA70A3AB-D417-466A-82CA-AD649EEEE280}">
      <text>
        <r>
          <rPr>
            <sz val="9"/>
            <color indexed="81"/>
            <rFont val="Tahoma"/>
            <family val="2"/>
          </rPr>
          <t>FAO https://www.fao.org/faostat/en/#data/QCL reports a global crop production of 9.9 billion tons for 2024 and IPCC WGII AR5 Chapter 7 figure 7-7 estmates an average 5 % decline (1% per decade) until 2100. The world production is assumed to follow population growth.
In AR6 WGII, it noted that: The impact of climate change on crop yield without adaptation projected in the 21st century is generally negative even with the CO2 fertilisation effects, with the overall median per-decade effect being −2.3% for maize, −3.3% for soybean, −0.7% for rice and −1.3% for wheat, which is consistent with previous IPCC assessments (Porter et al., 2014).
The total loss of crop production is therefore 0.05*9.9E+12*10/8*75 =4.64E+13 kg</t>
        </r>
      </text>
    </comment>
    <comment ref="G11" authorId="0" shapeId="0" xr:uid="{00000000-0006-0000-0700-000027000000}">
      <text>
        <r>
          <rPr>
            <sz val="9"/>
            <color indexed="81"/>
            <rFont val="Tahoma"/>
            <family val="2"/>
          </rPr>
          <t xml:space="preserve">AR5 WGII figure 7-7 gives an interval in predicted decrease of about a factor of 2.
</t>
        </r>
      </text>
    </comment>
    <comment ref="F12" authorId="0" shapeId="0" xr:uid="{79C29001-CDDB-41C2-8071-947ADF6D0E2C}">
      <text>
        <r>
          <rPr>
            <sz val="9"/>
            <color indexed="81"/>
            <rFont val="Tahoma"/>
            <family val="2"/>
          </rPr>
          <t>Economy-wide Estimates of the Implications of Climate Change: Sea Level Rise FRANCESCO BOSELLO, ROBERTO ROSON and RICHARD S. J. TOL
Environmental &amp; Resource Economics (2007) 37:549–571 estimates land loss to 1.25E+05 km2 until 2100. An anverage fertility of 5000 kg/ha is assumed and persisting during an assumed impact time of about 200 years.</t>
        </r>
      </text>
    </comment>
    <comment ref="G12" authorId="0" shapeId="0" xr:uid="{00000000-0006-0000-0700-00002B000000}">
      <text>
        <r>
          <rPr>
            <sz val="9"/>
            <color indexed="81"/>
            <rFont val="Tahoma"/>
            <family val="2"/>
          </rPr>
          <t>Modelling made by Dasgupta 2009 indicate 30000 km2 to be affected in 84 developing countries. (AR5, WGII, Ch 11.4.2.2)
Average global yield may not be the best estimate for low land.</t>
        </r>
      </text>
    </comment>
    <comment ref="D13" authorId="0" shapeId="0" xr:uid="{2C848C82-4CC3-45B9-AE14-98EE79DFFAA7}">
      <text>
        <r>
          <rPr>
            <sz val="9"/>
            <color indexed="81"/>
            <rFont val="Tahoma"/>
            <family val="2"/>
          </rPr>
          <t xml:space="preserve">livestock
</t>
        </r>
      </text>
    </comment>
    <comment ref="F13" authorId="0" shapeId="0" xr:uid="{0DD79587-1841-454D-9E92-82D1DD68E1C7}">
      <text>
        <r>
          <rPr>
            <sz val="9"/>
            <color indexed="81"/>
            <rFont val="Tahoma"/>
            <family val="2"/>
          </rPr>
          <t>IPCC AR6 WGII chapter 5.5.3.1. refers to Boone et.al. 2018, estimating the loss of livestock to 7-10% by 2050 due to climate change. If that figure is used for the whole 75 year period (2025-2100), the total impact is 75*3.9E+11*0.085 = 2.49E+12 kg, where 3.9E+11 is present production according to FAO. http://faostat.fao.org/site/339/default.aspx</t>
        </r>
      </text>
    </comment>
    <comment ref="G13" authorId="0" shapeId="0" xr:uid="{00000000-0006-0000-0700-000035000000}">
      <text>
        <r>
          <rPr>
            <sz val="9"/>
            <color indexed="81"/>
            <rFont val="Tahoma"/>
            <family val="2"/>
          </rPr>
          <t xml:space="preserve">AR5 WGII figure 7-7 gives an interval in predicted decrease of about a factor of 2.
</t>
        </r>
      </text>
    </comment>
    <comment ref="F14" authorId="0" shapeId="0" xr:uid="{EF971C01-B95D-4746-B01E-79EAA7B801AB}">
      <text>
        <r>
          <rPr>
            <sz val="9"/>
            <color indexed="81"/>
            <rFont val="Tahoma"/>
            <family val="2"/>
          </rPr>
          <t xml:space="preserve">IPCC AR5 WG2 reports both positive effects and negative. The only quantitative estimation found is on mollusk production, which declines due to ocean acidification.
The total harvest of mollusks was 13.6 million tons/year as an average 1997 – 2006 (Narita et al, Climatic Change, </t>
        </r>
        <r>
          <rPr>
            <b/>
            <sz val="9"/>
            <color indexed="81"/>
            <rFont val="Tahoma"/>
            <family val="2"/>
          </rPr>
          <t>113</t>
        </r>
        <r>
          <rPr>
            <sz val="9"/>
            <color indexed="81"/>
            <rFont val="Tahoma"/>
            <family val="2"/>
          </rPr>
          <t xml:space="preserve"> 2012). A decrease in calcination of 28% and survival of 30% is estimated for the IPCC IS92a business-as-usual scenario for the year 2100 by Kroeker et al. (Ecology Letters </t>
        </r>
        <r>
          <rPr>
            <b/>
            <sz val="9"/>
            <color indexed="81"/>
            <rFont val="Tahoma"/>
            <family val="2"/>
          </rPr>
          <t xml:space="preserve">13, </t>
        </r>
        <r>
          <rPr>
            <sz val="9"/>
            <color indexed="81"/>
            <rFont val="Tahoma"/>
            <family val="2"/>
          </rPr>
          <t xml:space="preserve">2010). With unchanged production and an average decline of 15% this will indicate a loss of 13.6*0.15*75 = 153 million tons for the period 2025– 2100. </t>
        </r>
      </text>
    </comment>
    <comment ref="G14" authorId="0" shapeId="0" xr:uid="{9856F1F0-5BB5-49D6-AA24-5CE2B0409948}">
      <text>
        <r>
          <rPr>
            <sz val="9"/>
            <color indexed="81"/>
            <rFont val="Tahoma"/>
            <family val="2"/>
          </rPr>
          <t xml:space="preserve">An uncertainty of a factor 2 was used by Steen 2019 for impacts from acidification. IPCC AR6 WGII reports that there are limited evidence for quantitative assessment of other climate impacts
</t>
        </r>
      </text>
    </comment>
    <comment ref="F15" authorId="0" shapeId="0" xr:uid="{E4BE9742-E310-4E50-988B-716D84C25B25}">
      <text>
        <r>
          <rPr>
            <sz val="9"/>
            <color indexed="81"/>
            <rFont val="Tahoma"/>
            <family val="2"/>
          </rPr>
          <t>On a global and regional scale, IPCC AR6, WGII, Chapter 5 reports "limited evidence and high agreement (medium confidence) that climate change will increase global and regional supply of timber and other forest products."
The latest assessent was made by Alice Favero et al 2021 Environ. Res. Lett. 16 014051 for the scenarios RCP 2.6 and 8.5. From their results one may estimate that there will be an average increase in timber supply to 2100 by 5% for RCP 2.6 and 20% for RCP 8.5. We use the figure 10% with an uncertainty factor of 2 for the RCP 6 scenario modeled here. Forests cover about 4 billion hectares of land. An average production capacity is estimated to be 6 m3 wood/hectare, resulting in 0.1*6*4E+09 = 2.4E+09 m3 or 2.4E+09*500 = 1.2E+12 kg/yr or 9.0E+13 kg for the period 2025-2100.</t>
        </r>
      </text>
    </comment>
    <comment ref="G15" authorId="0" shapeId="0" xr:uid="{6D4A03DF-0E5B-4CDC-9A22-88C4B889DDB9}">
      <text>
        <r>
          <rPr>
            <sz val="9"/>
            <color indexed="81"/>
            <rFont val="Tahoma"/>
            <family val="2"/>
          </rPr>
          <t xml:space="preserve">Difference beween the results for the RCP2.6 and RCP8.5 scenarios.
</t>
        </r>
      </text>
    </comment>
    <comment ref="F16" authorId="0" shapeId="0" xr:uid="{A08D34FC-B41B-4CB6-AC96-CF87FB296D63}">
      <text>
        <r>
          <rPr>
            <sz val="9"/>
            <color indexed="81"/>
            <rFont val="Tahoma"/>
            <family val="2"/>
          </rPr>
          <t xml:space="preserve">AR5 WGII Chapter 3, 4.4:"Each degree of global warming (up to 2.7°C above pre-industrial levels; Schewe et al., 2013) is projected to decrease renewable water resources by at least 20% for an additional 7% of the world population." For RCP 6.0 this means about 1 degree C as an average from 2020- to 2100, 0.07*9 billion persons living with water scarcity is affected. The average water withdrawal today is aroung 400-700 m3/person and year in countries at risk like Mexico, India and China. The decrease of water availablity is therefore estimated to around, 0.07*9 billion persons*500m3/person*0.2 =6.3E12 kg/year.
</t>
        </r>
      </text>
    </comment>
    <comment ref="G16" authorId="0" shapeId="0" xr:uid="{5E96E858-D904-4CFD-B588-9D9F8F2309DE}">
      <text>
        <r>
          <rPr>
            <sz val="9"/>
            <color indexed="81"/>
            <rFont val="Tahoma"/>
            <family val="2"/>
          </rPr>
          <t xml:space="preserve">Which part of the water that has drinking water quality adds extra uncertainty
</t>
        </r>
      </text>
    </comment>
    <comment ref="F17" authorId="0" shapeId="0" xr:uid="{78332469-F592-4229-BBE6-82D2D13CB8A3}">
      <text>
        <r>
          <rPr>
            <sz val="9"/>
            <color indexed="81"/>
            <rFont val="Tahoma"/>
            <family val="2"/>
          </rPr>
          <t>The median risk for extinction at RCP6 (3-4 degrees C at 2100) is around 13% according to models on projected impacts. (IPPC AR6 WG2 figure 2.7). Present risk for extinction is about 9%, indicating a 40% increase of NEX.</t>
        </r>
      </text>
    </comment>
    <comment ref="G17" authorId="0" shapeId="0" xr:uid="{00000000-0006-0000-0700-00004E000000}">
      <text>
        <r>
          <rPr>
            <sz val="9"/>
            <color indexed="81"/>
            <rFont val="Tahoma"/>
            <family val="2"/>
          </rPr>
          <t xml:space="preserve">Model predictions in figure 2.7 vary between 2.5 and 40%, which is a factor 4 and two standard deviations indiating one standard deviation of a factor 2. </t>
        </r>
      </text>
    </comment>
    <comment ref="A20" authorId="0" shapeId="0" xr:uid="{FD05B5D5-AEA3-48F6-BD80-42968A6FD2F2}">
      <text>
        <r>
          <rPr>
            <sz val="9"/>
            <color indexed="81"/>
            <rFont val="Tahoma"/>
            <family val="2"/>
          </rPr>
          <t xml:space="preserve">Emission to ambient air, anywhere in the world 2025 at moderate to low source strength
</t>
        </r>
      </text>
    </comment>
    <comment ref="G20" authorId="0" shapeId="0" xr:uid="{897315A2-931C-4420-9C87-D0F212CA02D3}">
      <text>
        <r>
          <rPr>
            <sz val="9"/>
            <color indexed="81"/>
            <rFont val="Tahoma"/>
            <family val="2"/>
          </rPr>
          <t xml:space="preserve">=SQRT(2*2+2.2*2.2), which are estimated uncertainties for CO2
</t>
        </r>
      </text>
    </comment>
    <comment ref="H20" authorId="0" shapeId="0" xr:uid="{D5638209-86B1-4E86-94D7-D61955CA27E8}">
      <text>
        <r>
          <rPr>
            <sz val="9"/>
            <color indexed="81"/>
            <rFont val="Tahoma"/>
            <family val="2"/>
          </rPr>
          <t xml:space="preserve"> Aamaas et al., Atmos. Chem. Phys., 16, 7451–7468, 2016 finds 2.3 to be a best estimate in an model intercomparison.</t>
        </r>
      </text>
    </comment>
    <comment ref="I20" authorId="0" shapeId="0" xr:uid="{5A4C973B-99E9-41D9-988E-C45188A0E9DD}">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H21" authorId="0" shapeId="0" xr:uid="{00000000-0006-0000-0700-000053000000}">
      <text>
        <r>
          <rPr>
            <sz val="9"/>
            <color indexed="81"/>
            <rFont val="Tahoma"/>
            <family val="2"/>
          </rPr>
          <t>Average of POCP AOT40 and AOT 60  for Nox is 0.62 and for CO 0.021 according to
Eric Labouze, Cécile Honoré, Lamya Moulay, Bénédicte Couffignal and Matthias Beekmann, Photochemical Ozone Creation Potentials, Int J LCA 9 (3) 187- 195 (2004)</t>
        </r>
      </text>
    </comment>
    <comment ref="I21" authorId="0" shapeId="0" xr:uid="{00000000-0006-0000-0700-000054000000}">
      <text>
        <r>
          <rPr>
            <sz val="9"/>
            <color indexed="81"/>
            <rFont val="Tahoma"/>
            <family val="2"/>
          </rPr>
          <t>The contribution to the impact on YOLL varies considerably between regions</t>
        </r>
      </text>
    </comment>
    <comment ref="I22" authorId="0" shapeId="0" xr:uid="{2B1D02C1-122F-4806-894D-F6EF02754C73}">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3" authorId="0" shapeId="0" xr:uid="{86E4610D-9BF3-488A-ADC0-09168E5812F6}">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4" authorId="0" shapeId="0" xr:uid="{61FC6222-7676-4632-8F18-FDDF16B20B6D}">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5" authorId="0" shapeId="0" xr:uid="{A846BFAE-C012-4D8B-984D-8BE260EC415C}">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6" authorId="0" shapeId="0" xr:uid="{CB44E8D2-8020-4818-85E9-08BDC045671B}">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7" authorId="0" shapeId="0" xr:uid="{6CE21E19-070A-4EDF-B38E-87152EF665BC}">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8" authorId="0" shapeId="0" xr:uid="{E3166D27-27D2-43B3-9D88-9E989CB325C6}">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29" authorId="0" shapeId="0" xr:uid="{65D81CCC-1EA1-46D7-BC90-16DACF2920B1}">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I30" authorId="0" shapeId="0" xr:uid="{A36A3F55-2484-47E6-90E9-70E6AE6B6011}">
      <text>
        <r>
          <rPr>
            <sz val="9"/>
            <color indexed="81"/>
            <rFont val="Tahoma"/>
            <family val="2"/>
          </rPr>
          <t>The range of outcomes from the models in the intercomparison was 1.5 to 3.5 for the global mean. In addition there are regional and seasonal variations indicating a standard deviation of a factor of 1.5.</t>
        </r>
      </text>
    </comment>
    <comment ref="A33" authorId="0" shapeId="0" xr:uid="{B67F9DC0-C324-4AB9-8835-87D5D9E9286F}">
      <text>
        <r>
          <rPr>
            <sz val="9"/>
            <color indexed="81"/>
            <rFont val="Tahoma"/>
            <family val="2"/>
          </rPr>
          <t xml:space="preserve">Emission to ambient air, anywhere in the world 2025 at moderate to low source strength
</t>
        </r>
      </text>
    </comment>
    <comment ref="H33" authorId="0" shapeId="0" xr:uid="{00000000-0006-0000-0700-000076000000}">
      <text>
        <r>
          <rPr>
            <sz val="9"/>
            <color indexed="81"/>
            <rFont val="Tahoma"/>
            <family val="2"/>
          </rPr>
          <t xml:space="preserve">The global anthropogenic emission of NOx 2023 was 1.1E+11 kg NO2/year (Soulie et al Earth Syst. Sci. Data, 16, 2261–2279, 2024) Natural emissions, mainly from soil are around 0.23E+11 kg/year (Weng et al, scinentific Data, </t>
        </r>
        <r>
          <rPr>
            <b/>
            <sz val="9"/>
            <color indexed="81"/>
            <rFont val="Tahoma"/>
            <family val="2"/>
          </rPr>
          <t>7</t>
        </r>
        <r>
          <rPr>
            <sz val="9"/>
            <color indexed="81"/>
            <rFont val="Tahoma"/>
            <family val="2"/>
          </rPr>
          <t xml:space="preserve">, 2020) i.e a total of 1.33E+11 kg NO2/year. Nitrates are around 15% of PM2.5 mass in the US (Dominici et al, Epidemiology </t>
        </r>
        <r>
          <rPr>
            <b/>
            <sz val="9"/>
            <color indexed="81"/>
            <rFont val="Tahoma"/>
            <family val="2"/>
          </rPr>
          <t>26</t>
        </r>
        <r>
          <rPr>
            <sz val="9"/>
            <color indexed="81"/>
            <rFont val="Tahoma"/>
            <family val="2"/>
          </rPr>
          <t xml:space="preserve">, 2015). It is unclear how much different components contribute to the helath effects by PM2.5, but recent studies by Dominici (2015) and Li et al (Scientific Reports  </t>
        </r>
        <r>
          <rPr>
            <b/>
            <sz val="9"/>
            <color indexed="81"/>
            <rFont val="Tahoma"/>
            <family val="2"/>
          </rPr>
          <t>13</t>
        </r>
        <r>
          <rPr>
            <sz val="9"/>
            <color indexed="81"/>
            <rFont val="Tahoma"/>
            <family val="2"/>
          </rPr>
          <t xml:space="preserve">, 2023) indicates that there is a significant correlation to life expectancy and ischemic disease. Karimi and Samadi (Atmospheric Pollution Research </t>
        </r>
        <r>
          <rPr>
            <b/>
            <sz val="9"/>
            <color indexed="81"/>
            <rFont val="Tahoma"/>
            <family val="2"/>
          </rPr>
          <t>14</t>
        </r>
        <r>
          <rPr>
            <sz val="9"/>
            <color indexed="81"/>
            <rFont val="Tahoma"/>
            <family val="2"/>
          </rPr>
          <t xml:space="preserve"> 2023) made a review and meta analysis. Their results indicate that impacts from nitrates are 60% of them from PM2.5 mass. The contribution of an emission of 1 kg NOx-nitrates is 0.15*0.6/(1.33E+11) = 6.77E–13. When NO2 is oxidised to nitrate, mass increases with 26%. However all NO2 is not converted to particles. The same conversion factor as for sulphate is assumed, i.e. 50%. This gives an equivalency factor of 1.26*0.5 =  0.63 and a net contribution to the PM2.5 YLL effect of 0.63*6.77E-13 = 4.27E-13 per kg NOx.</t>
        </r>
      </text>
    </comment>
    <comment ref="I33" authorId="0" shapeId="0" xr:uid="{0DA86842-8E5C-448E-9CF4-ADEF73F4AC4F}">
      <text>
        <r>
          <rPr>
            <sz val="9"/>
            <color indexed="81"/>
            <rFont val="Tahoma"/>
            <family val="2"/>
          </rPr>
          <t>Uncertain emission data, varying conversion effciency to nitrate, and varying regional residence times indicate an overall uncertainty of 1.5 as a standard deviation factor</t>
        </r>
      </text>
    </comment>
    <comment ref="G34" authorId="0" shapeId="0" xr:uid="{F4E4AE73-0DFE-4425-9368-A90885305879}">
      <text>
        <r>
          <rPr>
            <sz val="9"/>
            <color indexed="81"/>
            <rFont val="Tahoma"/>
            <family val="2"/>
          </rPr>
          <t xml:space="preserve">Combined uncertainty for extent and contribution in determination of the added characterisation factor for YLL from CO2.
</t>
        </r>
      </text>
    </comment>
    <comment ref="H34" authorId="0" shapeId="0" xr:uid="{357CEB6A-7E7C-4E2E-827C-5E8A521FEB89}">
      <text>
        <r>
          <rPr>
            <sz val="9"/>
            <color indexed="81"/>
            <rFont val="Tahoma"/>
            <family val="2"/>
          </rPr>
          <t>GWP value taken from AR5 and used in EPS 2015 version was -95. It was taken from a very large spread in values. AR6 is assumed to be better than AR5, although it lacks GWP data and only presents effective radiative forcing, ERF. The impact potential of a short lived substance, i, relative to CO2 is here approximated by an expression (ERFi/(Emi))/(ERF</t>
        </r>
        <r>
          <rPr>
            <sz val="8"/>
            <color indexed="81"/>
            <rFont val="Tahoma"/>
            <family val="2"/>
          </rPr>
          <t>CO2</t>
        </r>
        <r>
          <rPr>
            <sz val="9"/>
            <color indexed="81"/>
            <rFont val="Tahoma"/>
            <family val="2"/>
          </rPr>
          <t>/(EM</t>
        </r>
        <r>
          <rPr>
            <sz val="8"/>
            <color indexed="81"/>
            <rFont val="Tahoma"/>
            <family val="2"/>
          </rPr>
          <t>CO2</t>
        </r>
        <r>
          <rPr>
            <sz val="9"/>
            <color indexed="81"/>
            <rFont val="Tahoma"/>
            <family val="2"/>
          </rPr>
          <t>*R</t>
        </r>
        <r>
          <rPr>
            <sz val="8"/>
            <color indexed="81"/>
            <rFont val="Tahoma"/>
            <family val="2"/>
          </rPr>
          <t>CO2</t>
        </r>
        <r>
          <rPr>
            <sz val="9"/>
            <color indexed="81"/>
            <rFont val="Tahoma"/>
            <family val="2"/>
          </rPr>
          <t>), where ERFi is the present effective radiative forcing of substance i, compared to 1750, Emi is the present global emission contributing to ERFi (which for  climate gases with a life time less than a year is equal to the yearly emssion), ERF</t>
        </r>
        <r>
          <rPr>
            <sz val="8"/>
            <color indexed="81"/>
            <rFont val="Tahoma"/>
            <family val="2"/>
          </rPr>
          <t>CO2</t>
        </r>
        <r>
          <rPr>
            <sz val="9"/>
            <color indexed="81"/>
            <rFont val="Tahoma"/>
            <family val="2"/>
          </rPr>
          <t xml:space="preserve"> is the effective radiative forcing for CO2, EM</t>
        </r>
        <r>
          <rPr>
            <sz val="8"/>
            <color indexed="81"/>
            <rFont val="Tahoma"/>
            <family val="2"/>
          </rPr>
          <t>CO2</t>
        </r>
        <r>
          <rPr>
            <sz val="9"/>
            <color indexed="81"/>
            <rFont val="Tahoma"/>
            <family val="2"/>
          </rPr>
          <t xml:space="preserve"> is the global emission of CO2 contributing to present CO2 concentrations and RCO2 is the share of CO2 remaing in the atmosphere today. R is taken from Joos et al Atmos. Chem. Phys., 13, 2793–2825, 2013 www.atmos-chem-phys.net/13/2793/2013/ doi:10.5194/acp-13-2793-2013. ERF from Table 6.SM.1 in IPPC AR6 WG1.</t>
        </r>
      </text>
    </comment>
    <comment ref="I34" authorId="0" shapeId="0" xr:uid="{946BA82D-8EDB-4E35-AEBA-2E4D9BD5919F}">
      <text>
        <r>
          <rPr>
            <sz val="9"/>
            <color indexed="81"/>
            <rFont val="Tahoma"/>
            <family val="2"/>
          </rPr>
          <t>The range of outcomes from the models in the intercomparisment was -10 to -80 for the global mean. In addition there are regional and seasonal variations indicating a standard deviation of a factor of 2.</t>
        </r>
      </text>
    </comment>
    <comment ref="F35" authorId="0" shapeId="0" xr:uid="{00000000-0006-0000-0700-000078000000}">
      <text>
        <r>
          <rPr>
            <sz val="9"/>
            <color indexed="81"/>
            <rFont val="Tahoma"/>
            <family val="2"/>
          </rPr>
          <t>Atpe et al. DOI: 10.1021/acs.estlett.8b00360, Environ. Sci. Technol. Lett. 2018, 5, 546−551 mention an average global decrease of 0.05 YLL/person due to ozone exposure. The global population is 8.2 billion and the average life expectancy is 72.5 years. The total extent of impact is therfore 8.2*0.05/72.5 = 5.66E+06 personyears.</t>
        </r>
      </text>
    </comment>
    <comment ref="G35" authorId="0" shapeId="0" xr:uid="{07FB08D9-DC3B-4307-9435-FC1530CF225F}">
      <text>
        <r>
          <rPr>
            <sz val="9"/>
            <color indexed="81"/>
            <rFont val="Tahoma"/>
            <family val="2"/>
          </rPr>
          <t>There was a substantial increase in the estimation of extent of impacts since previous versions. Models and data have improved, but part of uncertainties is expected to remain.</t>
        </r>
      </text>
    </comment>
    <comment ref="H35" authorId="0" shapeId="0" xr:uid="{00000000-0006-0000-0700-000079000000}">
      <text>
        <r>
          <rPr>
            <sz val="9"/>
            <color indexed="81"/>
            <rFont val="Tahoma"/>
            <family val="2"/>
          </rPr>
          <t xml:space="preserve">The global anthropogenic emission of NOx 2023 was 1.1E+11 kg NO2/year (Soulie et al Earth Syst. Sci. Data, 16, 2261–2279, 2024) Natural emissions, mainly from soil are around 0.23E+11 kg/year (Weng et al, scinentific Data, 7, 2020) i.e. a total of 1.33E+11 kg NO2/year. Anthropogenic NOx emissions contribute with 61.7 % to population weighted ground level ozone. (Nalam et al Atmos. Chem. Phys. </t>
        </r>
        <r>
          <rPr>
            <b/>
            <sz val="9"/>
            <color indexed="81"/>
            <rFont val="Tahoma"/>
            <family val="2"/>
          </rPr>
          <t>25</t>
        </r>
        <r>
          <rPr>
            <sz val="9"/>
            <color indexed="81"/>
            <rFont val="Tahoma"/>
            <family val="2"/>
          </rPr>
          <t>, 2025). The contibution is thus 1/1.33E+11*0.617 = 4.64E-12 per kg NOx.</t>
        </r>
      </text>
    </comment>
    <comment ref="I35" authorId="0" shapeId="0" xr:uid="{0FC2926F-823F-473D-A008-A375EC7CB537}">
      <text>
        <r>
          <rPr>
            <sz val="9"/>
            <color indexed="81"/>
            <rFont val="Tahoma"/>
            <family val="2"/>
          </rPr>
          <t xml:space="preserve">Uncertainty in global emissions and regional differences.
</t>
        </r>
      </text>
    </comment>
    <comment ref="F39" authorId="0" shapeId="0" xr:uid="{00000000-0006-0000-0700-000088000000}">
      <text>
        <r>
          <rPr>
            <sz val="9"/>
            <color indexed="81"/>
            <rFont val="Tahoma"/>
            <family val="2"/>
          </rPr>
          <t xml:space="preserve">IPCC AR6, WGII cites Mills (2018), who finds a total crop loss on Soybean, wheat, rice and maize of 12.4%, 7.1%, 4.4% and 6.1% respectively. Combined with FAO data for world production in 2022 we obtain a net crop loss of 218 million tons. </t>
        </r>
      </text>
    </comment>
    <comment ref="G39" authorId="0" shapeId="0" xr:uid="{FB4AFBDC-BE0F-43D4-88FB-7AE37A7BCD96}">
      <text>
        <r>
          <rPr>
            <sz val="9"/>
            <color indexed="81"/>
            <rFont val="Tahoma"/>
            <family val="2"/>
          </rPr>
          <t xml:space="preserve">Only the major crops are included. </t>
        </r>
      </text>
    </comment>
    <comment ref="H39" authorId="0" shapeId="0" xr:uid="{2D7BB4B8-BE58-4C0A-9D7B-E571A0B2A946}">
      <text>
        <r>
          <rPr>
            <sz val="9"/>
            <color indexed="81"/>
            <rFont val="Tahoma"/>
            <family val="2"/>
          </rPr>
          <t>The global emission of NOx is 1.6E+11 kgNO2/year (IPCC AR6 WG1 figure 6.18)</t>
        </r>
      </text>
    </comment>
    <comment ref="E42" authorId="0" shapeId="0" xr:uid="{00000000-0006-0000-0700-000090000000}">
      <text>
        <r>
          <rPr>
            <sz val="9"/>
            <color indexed="81"/>
            <rFont val="Tahoma"/>
            <family val="2"/>
          </rPr>
          <t>in coastal waters</t>
        </r>
        <r>
          <rPr>
            <sz val="9"/>
            <color indexed="81"/>
            <rFont val="Tahoma"/>
            <family val="2"/>
          </rPr>
          <t xml:space="preserve">
</t>
        </r>
      </text>
    </comment>
    <comment ref="F42" authorId="0" shapeId="0" xr:uid="{00000000-0006-0000-0700-000091000000}">
      <text>
        <r>
          <rPr>
            <sz val="9"/>
            <color indexed="81"/>
            <rFont val="Tahoma"/>
            <family val="2"/>
          </rPr>
          <t>According to Diaz and Rosenberg (Science 15 August 2008: Vol. 321 no. 5891 pp. 926-929), dead zones cover 245 000 km2. Mauro et al (Nature communications 2021) estimates coastal areas potential eutrophication to 1.3 million km2. A typical production rate of 10 kg/ha, year will give a total loss of 2.45E+07*10=2.45E+08 kg/year from the dead zones. FAO has recommended that the global catch should level out at 100 million tons in order for fishing to be sustainable. This corresponds to about 3 kg per ha if all ocean and sea areas are counted. An assumption of 10 kg/ha for production and  fishing at continental shelfs may thus be of a resonable order.</t>
        </r>
      </text>
    </comment>
    <comment ref="G42" authorId="0" shapeId="0" xr:uid="{00000000-0006-0000-0700-000092000000}">
      <text>
        <r>
          <rPr>
            <sz val="9"/>
            <color indexed="81"/>
            <rFont val="Tahoma"/>
            <family val="2"/>
          </rPr>
          <t>There is no consideration in the model of temporal and spatial variations. All the water body is assumed to be dead, in the dead zones. There is further no considearation of impacts outside the dead zones. The bioproductivity is also uncertain. There has also been an increase in eutrophicatiion the last decades 
therefore a standard deviation of a factor of 3 is assumed</t>
        </r>
      </text>
    </comment>
    <comment ref="H42" authorId="0" shapeId="0" xr:uid="{00000000-0006-0000-0700-000093000000}">
      <text>
        <r>
          <rPr>
            <sz val="9"/>
            <color indexed="81"/>
            <rFont val="Tahoma"/>
            <family val="2"/>
          </rPr>
          <t xml:space="preserve">The global anthropogenic emission of NOx 2023 was 1.1E+11 kg NO2/year (Soulie et al Earth Syst. Sci. Data, 16, 2261–2279, 2024) Natural emissions, mainly from soil are around 0.23E+11 kg/year (Weng et al, scinentific Data, 7, 2020) i.e a total of 1.33E+11 kg NO2/year. 
According to Galloway, J. N. et al. Nitrogen cycles: past, present, future. Biogeochemistry 70, 153–226 (2004) is the anthropogenic deposition of NOx to marine areas 21 Tg N/year and 18 Tg for NH3  for the year 1990.  About half of the global emission of NOx is deposited in oceans. The export from rivers to coastal areas is estimated to 47.8 Tg N/year. (F. Dentener et al. Nitrogen and sulfur deposition on regional and global scales: A multimodel evaluation, GLOBAL BIOGEOCHEMICAL CYCLES, VOL. 20, GB4003, doi:10.1029/2005GB002672, 2006). The emissions of BOD is estimated to 0.83 Tg N-eq/yr. (see estimation for BOD to seawater)  This means that about 21/(21+18+47.8 +0.83) = 0.24 of the emitted NOX  contribute to dead zones and that the contribution from 1 kg NOx is 1/1.33E+11*0.24 = 1.8E-12.
</t>
        </r>
      </text>
    </comment>
    <comment ref="I42" authorId="0" shapeId="0" xr:uid="{306B3FAB-A8C6-4756-9AB8-D3DECCD626F9}">
      <text>
        <r>
          <rPr>
            <sz val="9"/>
            <color indexed="81"/>
            <rFont val="Tahoma"/>
            <family val="2"/>
          </rPr>
          <t xml:space="preserve">Signifiant regional differences may be expected
</t>
        </r>
      </text>
    </comment>
    <comment ref="F43" authorId="0" shapeId="0" xr:uid="{00000000-0006-0000-0700-000094000000}">
      <text>
        <r>
          <rPr>
            <sz val="9"/>
            <color indexed="81"/>
            <rFont val="Tahoma"/>
            <family val="2"/>
          </rPr>
          <t xml:space="preserve"> FAO has recommended that the global catch should level out at 100 million tons in order for fishing to be sustainable. The global deposition of Nox to oceans is abput 40 Tg/year. In the upper 100 meters, this will contribute to a 0.123% increase of reactive nitrogen. (the ocean area is 360 million km2, the average concentration of reactive nitrogen is 0.9 g/m3 and the added contentration from atmospheric deposition is 0.00111 g/m3 in the upper 100 m) It is here assumed that the increase in fish catch is propotional to nitrogen availability, as nitrogen is rate limiting. (this is a rough simplification as many other factors determine which catch is available)</t>
        </r>
      </text>
    </comment>
    <comment ref="G43" authorId="0" shapeId="0" xr:uid="{00000000-0006-0000-0700-000095000000}">
      <text>
        <r>
          <rPr>
            <sz val="9"/>
            <color indexed="81"/>
            <rFont val="Tahoma"/>
            <family val="2"/>
          </rPr>
          <t xml:space="preserve">The growth model is very simplistic.
</t>
        </r>
      </text>
    </comment>
    <comment ref="I43" authorId="0" shapeId="0" xr:uid="{80589EBA-70B0-4504-8109-C4BF29BDE6C5}">
      <text>
        <r>
          <rPr>
            <sz val="9"/>
            <color indexed="81"/>
            <rFont val="Tahoma"/>
            <family val="2"/>
          </rPr>
          <t xml:space="preserve">Signifiant regional differences may be expected
</t>
        </r>
      </text>
    </comment>
    <comment ref="F44" authorId="0" shapeId="0" xr:uid="{00000000-0006-0000-0700-000096000000}">
      <text>
        <r>
          <rPr>
            <sz val="9"/>
            <color indexed="81"/>
            <rFont val="Tahoma"/>
            <family val="2"/>
          </rPr>
          <t xml:space="preserve">A rough estimation of decrease of fish production may be based on an estimation of land areas where the critical load are exceeded 1980 (10%) and on the total fresh water catch of fish (10 million tons annually, globally as estimated by FAO). Only a part of the lakes in a region with excess sulphur deposition is acidified, normally those that are small and in the most upstream regions. A rough guess is that 20% of the lake area in regions where the critical load is exceeded is acidified to an extent that no fish is reproduced. This will correspond to a loss of 200 000 ton of fish annually 1980. 2020 about half of the lakes have recovered (Moldan, Ambio 2013). An updated figure for the loss is therefore estimated to 100 000 tons.
</t>
        </r>
      </text>
    </comment>
    <comment ref="G44" authorId="0" shapeId="0" xr:uid="{1BFDAB1F-EC2E-4190-A01F-F53E932E5FEE}">
      <text>
        <r>
          <rPr>
            <sz val="9"/>
            <color indexed="81"/>
            <rFont val="Tahoma"/>
            <family val="2"/>
          </rPr>
          <t xml:space="preserve">There are significant variations between regions in terms of freshwater abundance and its buffering capacity
</t>
        </r>
      </text>
    </comment>
    <comment ref="H44" authorId="0" shapeId="0" xr:uid="{00000000-0006-0000-0700-000097000000}">
      <text>
        <r>
          <rPr>
            <sz val="9"/>
            <color indexed="81"/>
            <rFont val="Tahoma"/>
            <family val="2"/>
          </rPr>
          <t>The global anthropogenic emission of NOx 2023 was 1.1E+11 kg NO2/year (Soulie et al Earth Syst. Sci. Data, 16, 2261–2279, 2024) Natural emissions, mainly from soil are around 0.23E+11 kg/year (Weng et al, scinentific Data, 7, 2020) i.e a total of 1.33E+11 kg NO2/year. As SOx also is a cause of lake acidification, the contribution from NOx should not be 100%. The global emission of SOx is 7.3E4 Gg (https://ourworldindata.org/grapher/so-emissions-by-world-region-in-million-tonnes), which results in 7.3E4/64*2 = 2281 Gmoles of H+, compared to the = 2891 Gmoles H+ from NOx, an approximate estimate is that 1 kg NOx contributes with 1/1.33E+11*3480/(3480+2891) = 4.11E-12</t>
        </r>
      </text>
    </comment>
    <comment ref="I44" authorId="0" shapeId="0" xr:uid="{96C3E9D5-D809-4926-9C33-B506164201CB}">
      <text>
        <r>
          <rPr>
            <sz val="9"/>
            <color indexed="81"/>
            <rFont val="Tahoma"/>
            <family val="2"/>
          </rPr>
          <t xml:space="preserve">Signifiant regional differences may be expected
</t>
        </r>
      </text>
    </comment>
    <comment ref="F46" authorId="0" shapeId="0" xr:uid="{00000000-0006-0000-0700-000098000000}">
      <text>
        <r>
          <rPr>
            <sz val="9"/>
            <color indexed="81"/>
            <rFont val="Tahoma"/>
            <family val="2"/>
          </rPr>
          <t>The decline in growth in Pine and Hardwood is around 1-2% at 0.015 increased ozone concentrations when the total concentration is in the range 0.05-0.06 ppm, which is most common in rural areas. ( PETER B. REICH, Quantifying plant response to ozone: a unifying theory, Tree Physiology 3, 63-91 (1987)). The global average ozone concentration is estimated to have increased by about 15 ppb since 1850 (Stevenson et al. Atmos. Chem. Phys., 13, 3063–3085, 2013). The global wood production is estimated to 4 billion m3 (state of the worlds forests 2024, FAO). This corresponds approximately to 2E+12 kg/year. The deccrease in wood production due to ozone is therefore etimated to 0.015*2E+12  = 3E+10 kg</t>
        </r>
      </text>
    </comment>
    <comment ref="G46" authorId="0" shapeId="0" xr:uid="{5FE621D2-90A6-4035-BB35-5239244FDE67}">
      <text>
        <r>
          <rPr>
            <sz val="9"/>
            <color indexed="81"/>
            <rFont val="Tahoma"/>
            <family val="2"/>
          </rPr>
          <t xml:space="preserve">There are regional differences
</t>
        </r>
      </text>
    </comment>
    <comment ref="H46" authorId="0" shapeId="0" xr:uid="{00000000-0006-0000-0700-000099000000}">
      <text>
        <r>
          <rPr>
            <sz val="9"/>
            <color indexed="81"/>
            <rFont val="Tahoma"/>
            <family val="2"/>
          </rPr>
          <t>The global anthropogenic emission of NOx 2023 was 1.1E+11 kg NO2/year (Soulie et al Earth Syst. Sci. Data, 16, 2261–2279, 2024) Natural emissions, mainly from soil are around 0.23E+11 kg/year (Weng et al, scinentific Data, 7, 2020) i.e a total of 1.33E+11 kg NO2/year. Antropogenic NOx contributes to about 48 % of the surface mean ozone concentration. The net contribution is therefore 1/(1.33E+11)*0.48 = 3.61E-12 per kg NOx.</t>
        </r>
      </text>
    </comment>
    <comment ref="I46" authorId="0" shapeId="0" xr:uid="{15ABEDCE-4C8B-480B-B6D9-D458820D50C3}">
      <text>
        <r>
          <rPr>
            <sz val="9"/>
            <color indexed="81"/>
            <rFont val="Tahoma"/>
            <family val="2"/>
          </rPr>
          <t xml:space="preserve">Signifiant regional differences may be expected
</t>
        </r>
      </text>
    </comment>
    <comment ref="F47" authorId="0" shapeId="0" xr:uid="{00000000-0006-0000-0700-00009A000000}">
      <text>
        <r>
          <rPr>
            <sz val="9"/>
            <color indexed="81"/>
            <rFont val="Tahoma"/>
            <family val="2"/>
          </rPr>
          <t xml:space="preserve">Nitrogen is a rate limiting factor for wood growth in a large part of the world.
About 40% of the land area in the temperate regions arearea in the temperate regions is covered with forests, and about 50% of the emissions of NOx are assumed to deposit on land areas. Most of the global emissions are estimated to origin in temperate regions. As half of the N is used by the trees in the wood structure (ratio experienced when fertilising with calcium ammonium nitrate), as 11% of the forests have nitrogen deposition above the critical load, and as the wood consists of 1% N, (on dry basis),  1 kg NOx will result in 0.4*0.5*0.5*(1-0.11)*14/46*100 =2.71 kg wood.
An alternative model may be based on the experiments of Nadelhoffer et al with N15 (Nature </t>
        </r>
        <r>
          <rPr>
            <b/>
            <sz val="9"/>
            <color indexed="81"/>
            <rFont val="Tahoma"/>
            <family val="2"/>
          </rPr>
          <t>398</t>
        </r>
        <r>
          <rPr>
            <sz val="9"/>
            <color indexed="81"/>
            <rFont val="Tahoma"/>
            <family val="2"/>
          </rPr>
          <t>, March 1999). They conclude that for temperate forests only 5% of the deposited nitrogen is taken up by the woody part of the trees with a 1:500 N:C ratio. This means that 1 kg of NOx cause an inceased growth of C in wood of 0.05*1000/46*500 moles, which is 0.05*1000/46*500*12 =6521 g. Using the above mentioned estimates on fthe ractions of NOx that deposition on land (0.5) and forests (0.4) and the IPCC recommendation of C content in wood (50%) the wood growth becomes 6.521*0.5*0.4/0.5 = 2.61 kg wood/kg NOx.</t>
        </r>
      </text>
    </comment>
    <comment ref="G47" authorId="0" shapeId="0" xr:uid="{3976AEC3-21DB-4E79-8ED7-CE2EBF91A2E9}">
      <text>
        <r>
          <rPr>
            <sz val="9"/>
            <color indexed="81"/>
            <rFont val="Tahoma"/>
            <family val="2"/>
          </rPr>
          <t xml:space="preserve">There are regional differences
</t>
        </r>
      </text>
    </comment>
    <comment ref="H47" authorId="0" shapeId="0" xr:uid="{01C6D3A3-4FC6-48CA-A76C-78A17367B81B}">
      <text>
        <r>
          <rPr>
            <sz val="9"/>
            <color indexed="81"/>
            <rFont val="Tahoma"/>
            <family val="2"/>
          </rPr>
          <t xml:space="preserve">Already accounted for in the extent of impact
</t>
        </r>
      </text>
    </comment>
    <comment ref="F51" authorId="0" shapeId="0" xr:uid="{00000000-0006-0000-0700-0000A9000000}">
      <text>
        <r>
          <rPr>
            <sz val="9"/>
            <color indexed="81"/>
            <rFont val="Tahoma"/>
            <family val="2"/>
          </rPr>
          <t xml:space="preserve">IUCN redlist http://www.iucnredlist.org/search, accessed at 15 October 2014. The share of species threatened by agricultural and forestry effluents in aquatic environments is 0.007.  </t>
        </r>
      </text>
    </comment>
    <comment ref="G51" authorId="0" shapeId="0" xr:uid="{3BEB4EED-5FEF-49F4-B370-C8571F7E6334}">
      <text>
        <r>
          <rPr>
            <sz val="9"/>
            <color indexed="81"/>
            <rFont val="Tahoma"/>
            <family val="2"/>
          </rPr>
          <t xml:space="preserve">Aquatic environments are less examined than land environments
</t>
        </r>
      </text>
    </comment>
    <comment ref="H51" authorId="0" shapeId="0" xr:uid="{00000000-0006-0000-0700-0000AA000000}">
      <text>
        <r>
          <rPr>
            <sz val="9"/>
            <color indexed="81"/>
            <rFont val="Tahoma"/>
            <family val="2"/>
          </rPr>
          <t>The global anthropogenic emission of NOx 2023 was 1.1E+11 kg NO2/year (Soulie et al Earth Syst. Sci. Data, 16, 2261–2279, 2024) Natural emissions, mainly from soil are around 0.23E+11 kg/year (Weng et al, scinentific Data, 7, 2020) i.e a total of 1.33E+11 kg NO2/year. Global N emissions  are estimated by Solie et al to 50.6 Tg NH3 2023. Impacts on biodiversity from N is mainly seen in relation to oxygen deficiency in marine environments. The NOx emissions are thus   133*14/46/(133*14/46+50.6*14/17) = 0.492 of the total N emissions and 1 kg of emitted NOX is consequently contributing with 0.492/1.33E+11 = 3.7E-12 to the extent of the impact.</t>
        </r>
      </text>
    </comment>
    <comment ref="I51" authorId="0" shapeId="0" xr:uid="{BD2020B6-CD78-435C-BDEB-D06346E4DBCF}">
      <text>
        <r>
          <rPr>
            <sz val="9"/>
            <color indexed="81"/>
            <rFont val="Tahoma"/>
            <family val="2"/>
          </rPr>
          <t xml:space="preserve">Contributions are likely to vary between different regions.
</t>
        </r>
      </text>
    </comment>
    <comment ref="H57" authorId="0" shapeId="0" xr:uid="{00000000-0006-0000-0700-0000AB000000}">
      <text>
        <r>
          <rPr>
            <sz val="9"/>
            <color indexed="81"/>
            <rFont val="Tahoma"/>
            <family val="2"/>
          </rPr>
          <t>GWP 100 according to IPCC AR6 WGI, Table 7.15
(265 i AR5 WGI)</t>
        </r>
      </text>
    </comment>
    <comment ref="I57" authorId="0" shapeId="0" xr:uid="{75B90E76-673E-4BC0-A45F-D2064F85A609}">
      <text>
        <r>
          <rPr>
            <sz val="9"/>
            <color indexed="81"/>
            <rFont val="Tahoma"/>
            <family val="2"/>
          </rPr>
          <t>IPCC AR6 WGI, Table 7 reports an uncertainty of +- 130
Table 7.SM.9 | In Table 7.SM.8, uncertinty ( 5-95% CI) is estimated to 47 % for N2O. This indicates a standard deviation of SQRT(1.47) = 1.21</t>
        </r>
      </text>
    </comment>
    <comment ref="F58" authorId="0" shapeId="0" xr:uid="{62088035-515E-4DE6-A827-03FE75AD238E}">
      <text>
        <r>
          <rPr>
            <sz val="9"/>
            <color indexed="81"/>
            <rFont val="Tahoma"/>
            <family val="2"/>
          </rPr>
          <t>The emisssion scenario based on the Copenhagen amendment to the Montreal protocol is used. For that, WHO estimates an average incidence of around 50 cases per million inhabitants per year until 2100, when excess cancer incidence cease. There are three types of skin cancer: melanoma,  squamous cell carcinoma (SCC), and basal cell carcinoma (BCC). Mortality in skin cancer is low, about 12% for melanoma and 0,2% for SCC and BCC. If applying the ratio of predicted cancer incidences for melanoma vs SCC + BCC the US (HUMAN HEALTH BENEFITS OF STRATOSPHERIC OZONE PROTECTION, USEPA April 2006) which estimate the mealnoma incidence to 2.7% of all cases, the global mortality rate until 2100 will be 50/1E6*7.2E9*88*(0.12*0.027+0.002*0.973)=1.64E5.
The average shortening of life due to fatal cancer is 24 years. This means that there are 3.94E6 YLLs caused by ozone depletion.
The total emission of ozone depletion substances to 2100 is estimated from a scenario made by A. R. Ravishankara, et al. (Science 326, 123 (2009)) to 22000 kton or 2.2E10 kg CFC11 equivalents. An emission of 1 kg CFC11 eqivalents therefore contributes with 3.94E6/2.2E10 YLLs = 1.79E-4.</t>
        </r>
      </text>
    </comment>
    <comment ref="G58" authorId="0" shapeId="0" xr:uid="{00000000-0006-0000-0700-0000AD000000}">
      <text>
        <r>
          <rPr>
            <sz val="9"/>
            <color indexed="81"/>
            <rFont val="Tahoma"/>
            <family val="2"/>
          </rPr>
          <t xml:space="preserve">There is an uncertainty in future emission scenarios, and in how people will protect themselves
</t>
        </r>
      </text>
    </comment>
    <comment ref="H58" authorId="0" shapeId="0" xr:uid="{00000000-0006-0000-0700-0000AE000000}">
      <text>
        <r>
          <rPr>
            <sz val="9"/>
            <color indexed="81"/>
            <rFont val="Tahoma"/>
            <family val="2"/>
          </rPr>
          <t xml:space="preserve">ODP according to Ravishankara et al. (2009)
</t>
        </r>
      </text>
    </comment>
    <comment ref="I58" authorId="0" shapeId="0" xr:uid="{37D39787-0FF6-4455-B949-740AD552D7F5}">
      <text>
        <r>
          <rPr>
            <sz val="9"/>
            <color indexed="81"/>
            <rFont val="Tahoma"/>
            <family val="2"/>
          </rPr>
          <t xml:space="preserve">Revell et al. (Geophysical Research Letters, </t>
        </r>
        <r>
          <rPr>
            <b/>
            <sz val="9"/>
            <color indexed="81"/>
            <rFont val="Tahoma"/>
            <family val="2"/>
          </rPr>
          <t>42</t>
        </r>
        <r>
          <rPr>
            <sz val="9"/>
            <color indexed="81"/>
            <rFont val="Tahoma"/>
            <family val="2"/>
          </rPr>
          <t xml:space="preserve">, 2015) have demonstrated that differences of a factor of 2 occur for the future ODP of N2O, driven by the uncertainty in future levels of CH4 and CO2 that alter the future atmospheric chemical background, temperatures, and circulation
</t>
        </r>
      </text>
    </comment>
    <comment ref="G64" authorId="0" shapeId="0" xr:uid="{DC01E9B1-4174-48B9-B8E8-BEB9FFB71401}">
      <text>
        <r>
          <rPr>
            <sz val="9"/>
            <color indexed="81"/>
            <rFont val="Tahoma"/>
            <family val="2"/>
          </rPr>
          <t xml:space="preserve">An uncertainty of a factor 2 was used by Steen 2019 for impacts from acidification. IPCC AR6 WGII reports that there are limited evidence for quantitative assessment of other climate impacts
</t>
        </r>
      </text>
    </comment>
    <comment ref="G65" authorId="0" shapeId="0" xr:uid="{4B17D7F8-140E-4668-A163-75D7BD3BB1DB}">
      <text>
        <r>
          <rPr>
            <sz val="9"/>
            <color indexed="81"/>
            <rFont val="Tahoma"/>
            <family val="2"/>
          </rPr>
          <t xml:space="preserve">Difference beween the results for the RCP2.6 and RCP8.5 scenarios.
</t>
        </r>
      </text>
    </comment>
    <comment ref="F70" authorId="0" shapeId="0" xr:uid="{00000000-0006-0000-0700-0000BC000000}">
      <text>
        <r>
          <rPr>
            <sz val="9"/>
            <color indexed="81"/>
            <rFont val="Tahoma"/>
            <family val="2"/>
          </rPr>
          <t>The dose-respons for mortality due to SO2 exposure is estimated to + 0.6% per 10 μg/m3 (24 hour mean); (Committee on the Medical Effects of Air Pollution (COMEAP) Report: the Quantification of the Effects of Air Pollution on Health in the United Kingdom 1998. London:UK Department of Health, 1998). No treshold is found so it is assumed here that the dose-respons curve is linear, (Orellano et al. Environment International 150 (2021) 106434) why it is applicable also to yearly averages. The average annual urban population exposure to SO2 was determined to 30 μg/m3 for the European region by WHO regional office 1997. No new data have been found, but as  emissions have decreased by nearly 50% since then, present concentrations is set to 15 μg/m3. So, this figure will be used for the global urban population, which was 51,6% of the total 2010 (UN). The lost life expectancy per case of premature death is estimated to be the same as for heat stroke, 1 month, as it has a similar health effect for persons with cardiovascular deseases. The total YLLs due to SO2-exposure is therefore estimated to 0.006*15/10*0.516*8200000000/75*1/12 = 4.23E+04, where 75 is an estimated average life expectancy</t>
        </r>
      </text>
    </comment>
    <comment ref="G70" authorId="0" shapeId="0" xr:uid="{141AE920-4603-446F-8993-C3521658E794}">
      <text>
        <r>
          <rPr>
            <sz val="9"/>
            <color indexed="81"/>
            <rFont val="Tahoma"/>
            <family val="2"/>
          </rPr>
          <t xml:space="preserve">The risk estimation is somewhat old with respect to exposure and population 
</t>
        </r>
      </text>
    </comment>
    <comment ref="H70" authorId="0" shapeId="0" xr:uid="{00000000-0006-0000-0700-0000BD000000}">
      <text>
        <r>
          <rPr>
            <sz val="9"/>
            <color indexed="81"/>
            <rFont val="Tahoma"/>
            <family val="2"/>
          </rPr>
          <t xml:space="preserve">The present global emission of SO2 was estimated to 120 Tg in figure 6.18 AR6 WG1, which is based on Hoesly et al Geosci. Model Dev., 11, 369–408, 2018. Later estimation for 2023 by Soulie et al indicate global SO2 emissions of 76 Tg. (Earth Syst. Sci. Data, 16, 2261–2279, 2024). The average contribution was therefore 1/76E+9 = 1.32E-11 per kg SO2
</t>
        </r>
      </text>
    </comment>
    <comment ref="I70" authorId="0" shapeId="0" xr:uid="{00000000-0006-0000-0700-0000BE000000}">
      <text>
        <r>
          <rPr>
            <sz val="9"/>
            <color indexed="81"/>
            <rFont val="Tahoma"/>
            <family val="2"/>
          </rPr>
          <t xml:space="preserve">There are large local variations in exposure, partly moderated by several emission points from product systems
</t>
        </r>
      </text>
    </comment>
    <comment ref="H71" authorId="0" shapeId="0" xr:uid="{98101E0F-0155-4E9D-A7EE-4FA09387C66A}">
      <text>
        <r>
          <rPr>
            <sz val="9"/>
            <color indexed="81"/>
            <rFont val="Tahoma"/>
            <family val="2"/>
          </rPr>
          <t>Data from AR5 used in EPS 2015 version was -38.4, but was only based on radiative forcing. AR6 lacks GWP data and only presents effective radiative forcing, ERF, which is - 0.938 W/m2 (from Figure 6.12 in AR6
and Table 6.SM.1). The impact potential of a short lived substance, i, relative to CO2 is approximated by an expression (ERFi/(Emi))/(ERF</t>
        </r>
        <r>
          <rPr>
            <sz val="8"/>
            <color indexed="81"/>
            <rFont val="Tahoma"/>
            <family val="2"/>
          </rPr>
          <t>CO2</t>
        </r>
        <r>
          <rPr>
            <sz val="9"/>
            <color indexed="81"/>
            <rFont val="Tahoma"/>
            <family val="2"/>
          </rPr>
          <t>/(EM</t>
        </r>
        <r>
          <rPr>
            <sz val="8"/>
            <color indexed="81"/>
            <rFont val="Tahoma"/>
            <family val="2"/>
          </rPr>
          <t>CO2</t>
        </r>
        <r>
          <rPr>
            <sz val="9"/>
            <color indexed="81"/>
            <rFont val="Tahoma"/>
            <family val="2"/>
          </rPr>
          <t>*R</t>
        </r>
        <r>
          <rPr>
            <sz val="8"/>
            <color indexed="81"/>
            <rFont val="Tahoma"/>
            <family val="2"/>
          </rPr>
          <t>CO2</t>
        </r>
        <r>
          <rPr>
            <sz val="9"/>
            <color indexed="81"/>
            <rFont val="Tahoma"/>
            <family val="2"/>
          </rPr>
          <t>), where ERFi is the present effective radiative forcing of substance i, Emi is the global emission contributing to ERFi (which for  climate gaseswith a life time less than a year) is equal to the yearly emssion, ERF</t>
        </r>
        <r>
          <rPr>
            <sz val="8"/>
            <color indexed="81"/>
            <rFont val="Tahoma"/>
            <family val="2"/>
          </rPr>
          <t>CO2</t>
        </r>
        <r>
          <rPr>
            <sz val="9"/>
            <color indexed="81"/>
            <rFont val="Tahoma"/>
            <family val="2"/>
          </rPr>
          <t xml:space="preserve"> is the effective radiative forcing for CO2, EM</t>
        </r>
        <r>
          <rPr>
            <sz val="8"/>
            <color indexed="81"/>
            <rFont val="Tahoma"/>
            <family val="2"/>
          </rPr>
          <t>CO2</t>
        </r>
        <r>
          <rPr>
            <sz val="9"/>
            <color indexed="81"/>
            <rFont val="Tahoma"/>
            <family val="2"/>
          </rPr>
          <t xml:space="preserve"> is the global emission of CO2 contributing to present CO2 concentrations and RCO2 is the share of CO2 remaing in the atmosphere today. R is taken from Joos et al Atmos. Chem. Phys., 13, 2793–2825, 2013 www.atmos-chem-phys.net/13/2793/2013/ doi:10.5194/acp-13-2793-2013. ERF from Table 6.SM.1 in IPPC AR6 WG1.</t>
        </r>
      </text>
    </comment>
    <comment ref="I71" authorId="0" shapeId="0" xr:uid="{825E3EE4-2486-403B-8DD6-52BBDCB07FF6}">
      <text>
        <r>
          <rPr>
            <sz val="9"/>
            <color indexed="81"/>
            <rFont val="Tahoma"/>
            <family val="2"/>
          </rPr>
          <t xml:space="preserve">similar as for Nox
</t>
        </r>
      </text>
    </comment>
    <comment ref="E72" authorId="0" shapeId="0" xr:uid="{99EEB59C-80DB-4FA0-9DE8-5B56E381757A}">
      <text>
        <r>
          <rPr>
            <sz val="9"/>
            <color indexed="81"/>
            <rFont val="Tahoma"/>
            <family val="2"/>
          </rPr>
          <t xml:space="preserve">inhalation of secondary aerosols
</t>
        </r>
      </text>
    </comment>
    <comment ref="F72" authorId="0" shapeId="0" xr:uid="{615A07B6-BDA5-4542-8985-B0D62D3263EB}">
      <text>
        <r>
          <rPr>
            <sz val="9"/>
            <color indexed="81"/>
            <rFont val="Tahoma"/>
            <family val="2"/>
          </rPr>
          <t xml:space="preserve">Global impact of PM2.5 in air in DALY for 2021,  all causes
https://vizhub.healthdata.org/gbd-results/
Database accessed at 18 jan 2024.
</t>
        </r>
      </text>
    </comment>
    <comment ref="G72" authorId="0" shapeId="0" xr:uid="{7D1BA541-5827-4DD9-AEB8-F70FD66E7CA9}">
      <text>
        <r>
          <rPr>
            <sz val="9"/>
            <color indexed="81"/>
            <rFont val="Tahoma"/>
            <family val="2"/>
          </rPr>
          <t>There are regional differencies in exposure to humans dues to population densities and 
oxidation rates</t>
        </r>
      </text>
    </comment>
    <comment ref="H72" authorId="0" shapeId="0" xr:uid="{0CCE8835-232A-4804-BD64-35F7CAA05765}">
      <text>
        <r>
          <rPr>
            <sz val="9"/>
            <color indexed="81"/>
            <rFont val="Tahoma"/>
            <family val="2"/>
          </rPr>
          <t xml:space="preserve">The global emission of SO2 is largely anthropgenic and estimated to 76 Tg 2023 (Soulie et al Earth Syst. Sci. Data, 16, 2261–2279, 2024).  Sulfates make up about 15% of the PM2.5 mass at an average, the contribution of an emission of 1 kg SO2 to the 2.32E+08 YLL/year is 0.15*0.25/(1.2E+11) = 3.12E-13. When SO2 is oxidised to sulfate, mass increases with 50%. However all SO2 is not converted to particles. A conversion factor of 50% is assumed. Sulfate particles comtribute to YLL 1.8 times compared to average PM2.5 mass. (Karimi and Samadi Atmospheric Pollution Research, </t>
        </r>
        <r>
          <rPr>
            <b/>
            <sz val="9"/>
            <color indexed="81"/>
            <rFont val="Tahoma"/>
            <family val="2"/>
          </rPr>
          <t>14</t>
        </r>
        <r>
          <rPr>
            <sz val="9"/>
            <color indexed="81"/>
            <rFont val="Tahoma"/>
            <family val="2"/>
          </rPr>
          <t>, 2023). This gives a net contribution of 1.8*1.5*0.5*3.12E-13 = 4.21E-13</t>
        </r>
      </text>
    </comment>
    <comment ref="I72" authorId="0" shapeId="0" xr:uid="{AFF178F7-817B-48F9-B9BC-6CFA188E4274}">
      <text>
        <r>
          <rPr>
            <sz val="9"/>
            <color indexed="81"/>
            <rFont val="Tahoma"/>
            <family val="2"/>
          </rPr>
          <t xml:space="preserve">There is an uncertainty of the share of SO2 that will be deposited from the atmosphere before being oxidized to sulfate and the share of sulfates in PM2.5
</t>
        </r>
      </text>
    </comment>
    <comment ref="C73" authorId="0" shapeId="0" xr:uid="{00000000-0006-0000-0700-0000C3000000}">
      <text>
        <r>
          <rPr>
            <sz val="9"/>
            <color indexed="81"/>
            <rFont val="Tahoma"/>
            <family val="2"/>
          </rPr>
          <t>asthma cases are used as a proxy for the acute decreased lung capacity at episodes of exposure to high particle concentration</t>
        </r>
      </text>
    </comment>
    <comment ref="F73" authorId="0" shapeId="0" xr:uid="{00000000-0006-0000-0700-0000C4000000}">
      <text>
        <r>
          <rPr>
            <sz val="9"/>
            <color indexed="81"/>
            <rFont val="Tahoma"/>
            <family val="2"/>
          </rPr>
          <t>The dose-respons for hospitalisation due to SO2 exposure is estimated to + 0.5% per 10 μg/m3 (24 hour mean); (Committee on the Medical Effects of Air Pollution (COMEAP) Report: the Quantification of the Effects of Air Pollution on Health in the United Kingdom 1998. London:UK Department of Health, 1998). No treshold is found so it is assumed here that the dose-respons curve is linear, why it is applicable also to yeraly averages. The average annual urban population exposure to SO2 was determined to 30 μg/m3 for the European region by WHO regional office 1997. The SO2 exposure in western countries has decrease since then, and increased in Asia, in particular south Asia. (IPCC AR6 WG1)
So, this figure will be used for the global urban population, which was 51,6% 2010 (UN). The time for hospitalisation is assumed to be 3  days. The total YLD of respiratory impacts due to SO2-exposure is therefore estimated to 0.005*30/10*0.516*8200000000*0.01*3/365 = 5.22E+04, where 0.01 is the baseline rate of hospital admission per year. (The same reference from COMEAP as above)</t>
        </r>
      </text>
    </comment>
    <comment ref="G73" authorId="0" shapeId="0" xr:uid="{669886CA-8E1F-4D4A-B828-A83F28F29621}">
      <text>
        <r>
          <rPr>
            <sz val="9"/>
            <color indexed="81"/>
            <rFont val="Tahoma"/>
            <family val="2"/>
          </rPr>
          <t>The length of hopital admission or duration of symptoms are roughly estimated. The SO2 concentration are vaguel known. Vos et al (Global burden of disease 2010) find that globally there are about 50 million YLD yearly from respiratory diseases, mostly being COPD and asthma, so the estimated extent of the impact from SO2 exposure is at least withing that range.</t>
        </r>
      </text>
    </comment>
    <comment ref="H73" authorId="0" shapeId="0" xr:uid="{2DCDC64A-A455-4342-8CD5-653C73C0A551}">
      <text>
        <r>
          <rPr>
            <sz val="9"/>
            <color indexed="81"/>
            <rFont val="Tahoma"/>
            <family val="2"/>
          </rPr>
          <t xml:space="preserve">The present global emission of SO2 was estimated to 120 Tg in figure 6.18 AR6 WG1, which is based on Hoesly et al Geosci. Model Dev., 11, 369–408, 2018. Later estimation for 2023 by Soulie et al indicate global SO2 emissions of 76 Tg. (Earth Syst. Sci. Data, 16, 2261–2279, 2024).
</t>
        </r>
      </text>
    </comment>
    <comment ref="I73" authorId="0" shapeId="0" xr:uid="{0F3E9598-DD7B-4C6F-918E-5C0705EFCB8A}">
      <text>
        <r>
          <rPr>
            <sz val="9"/>
            <color indexed="81"/>
            <rFont val="Tahoma"/>
            <family val="2"/>
          </rPr>
          <t xml:space="preserve">There are large local variations in exposure, partly moderated several emission points from product systems
</t>
        </r>
      </text>
    </comment>
    <comment ref="I74" authorId="0" shapeId="0" xr:uid="{00000000-0006-0000-0700-0000CB000000}">
      <text>
        <r>
          <rPr>
            <sz val="9"/>
            <color indexed="81"/>
            <rFont val="Tahoma"/>
            <family val="2"/>
          </rPr>
          <t xml:space="preserve">similar as for Nox
</t>
        </r>
      </text>
    </comment>
    <comment ref="I78" authorId="0" shapeId="0" xr:uid="{00000000-0006-0000-0700-0000C9000000}">
      <text>
        <r>
          <rPr>
            <sz val="9"/>
            <color indexed="81"/>
            <rFont val="Tahoma"/>
            <family val="2"/>
          </rPr>
          <t xml:space="preserve">There is a large variation of sensitivity to acidification between different regions
</t>
        </r>
      </text>
    </comment>
    <comment ref="F84" authorId="0" shapeId="0" xr:uid="{00000000-0006-0000-0700-0000D8000000}">
      <text>
        <r>
          <rPr>
            <sz val="9"/>
            <color indexed="81"/>
            <rFont val="Tahoma"/>
            <family val="2"/>
          </rPr>
          <t>In Sweden approximately 2 % of the threatened evertebrates are claimed to be threatened by acidification. (Faunavårdskommitten 1988). If this is assumed to be relevant for other acidified regions, roughly estimated to 10% of the earth’s land area, this would indicate that as a global average 0.2 % of the NEX are endangered due to SO2.
Today, emissions and acidified lakes are about half the numbers compared to 1988, indicating a figure of 0.1% of NEX.</t>
        </r>
      </text>
    </comment>
    <comment ref="G84" authorId="0" shapeId="0" xr:uid="{13EEEACF-C932-47AB-969B-4A03A75867EF}">
      <text>
        <r>
          <rPr>
            <sz val="9"/>
            <color indexed="81"/>
            <rFont val="Tahoma"/>
            <family val="2"/>
          </rPr>
          <t>Old data, local model used for global impacts
adds to large uncertainty</t>
        </r>
      </text>
    </comment>
    <comment ref="H84" authorId="0" shapeId="0" xr:uid="{00000000-0006-0000-0700-0000D9000000}">
      <text>
        <r>
          <rPr>
            <sz val="9"/>
            <color indexed="81"/>
            <rFont val="Tahoma"/>
            <family val="2"/>
          </rPr>
          <t>The present global emission of SO2 is estimated to 76 Tg/yr in 2023 (Soulie et al, Earth Syst. Sci. Data, 16, 2261–2279, 2024)
As NOx also is a cause of lake acidification, the contribution from SOx should not be 100%. The yearly global antropogenic emission of NOx is 1.1E+11 kg NO2/year (Soulie et al Earth Syst. Sci. Data, 16, 2261–2279, 2024) Natural emissions, mainly from soil are around 0.23E+11 kg/year (Weng et al, scinentific Data, 7, 2020) i.e. a total of 1.33E+11 kg NO2/year. 1.33E+11 kg NO2 corresponds to = 2.894E+12 moles H+ and SOx 76 Tg to 2.27E+12, which correponds to 2.27E+12/64*2 = 2.37E+12 moles of H+. An approximate estimate is that 1 kg SOx contributes with 1/7.6E+10*2.89/(2.27+2.89)=7.37E-12</t>
        </r>
      </text>
    </comment>
    <comment ref="I84" authorId="0" shapeId="0" xr:uid="{2EDA0D3A-3BE3-4760-8FD0-4F58D67868B1}">
      <text>
        <r>
          <rPr>
            <sz val="9"/>
            <color indexed="81"/>
            <rFont val="Tahoma"/>
            <family val="2"/>
          </rPr>
          <t xml:space="preserve">Regional variations can vary the contribution with an order of magnitude
</t>
        </r>
      </text>
    </comment>
    <comment ref="F85" authorId="0" shapeId="0" xr:uid="{00000000-0006-0000-0700-0000DA000000}">
      <text>
        <r>
          <rPr>
            <sz val="9"/>
            <color indexed="81"/>
            <rFont val="Tahoma"/>
            <family val="2"/>
          </rPr>
          <t>The global replacement of steel caused by corrosion due to SOx is estimated to 3.8 E+10 kg/year. The estimations is based on assumptions of a 5 % reduction in the usage time for exposed steel constructions  and a world steel production of around 1.9 billion tons 2024. Export statistics indicate that Around 40% of the  steel may be exposed to air although coated. (World Steel Association 2014) (1.9E12*0.05*0.4 = 3.8E+10)
When producing i kg of steel, there is an emission of around 1.2 kg of CO2 (including benefits from recycling). This will cause an extra global emission of 3.8E+10*1.2 = 4.56E+10. Using the current steel price today (2025-02-21) of 0.45$/kg which equals 0.41€/kg and a CO2 impact cost 0.18 €/kg, the total replacemnt cost will be 3.8E+10*(0.41+1.2*0.18) = 2.38E+10 €</t>
        </r>
      </text>
    </comment>
    <comment ref="G85" authorId="0" shapeId="0" xr:uid="{0DA188AF-BA9B-4973-A5CB-209006BBA32F}">
      <text>
        <r>
          <rPr>
            <sz val="9"/>
            <color indexed="81"/>
            <rFont val="Tahoma"/>
            <family val="2"/>
          </rPr>
          <t xml:space="preserve">Significant uncertainty in reduction of lifetime and variation in space
</t>
        </r>
      </text>
    </comment>
    <comment ref="H85" authorId="0" shapeId="0" xr:uid="{BF627F88-061D-4237-B24E-436255E00EBF}">
      <text>
        <r>
          <rPr>
            <sz val="9"/>
            <color indexed="81"/>
            <rFont val="Tahoma"/>
            <family val="2"/>
          </rPr>
          <t xml:space="preserve">The present global emission of SO2 is estimated to 120 Tg in figure 6.18 AR6 WG1.
</t>
        </r>
      </text>
    </comment>
    <comment ref="I85" authorId="0" shapeId="0" xr:uid="{100B9125-DD84-4879-880A-712C9585D751}">
      <text>
        <r>
          <rPr>
            <sz val="9"/>
            <color indexed="81"/>
            <rFont val="Tahoma"/>
            <family val="2"/>
          </rPr>
          <t xml:space="preserve">There are large local variations in exposure, partly moderated several emission points from product systems
</t>
        </r>
      </text>
    </comment>
    <comment ref="G88" authorId="0" shapeId="0" xr:uid="{DEC56A70-D834-4EC8-AE58-07BAD0D3F35B}">
      <text>
        <r>
          <rPr>
            <sz val="9"/>
            <color indexed="81"/>
            <rFont val="Tahoma"/>
            <family val="2"/>
          </rPr>
          <t>Uncertainty for most material impacts from SO2.</t>
        </r>
      </text>
    </comment>
    <comment ref="H88" authorId="0" shapeId="0" xr:uid="{00000000-0006-0000-0700-0000DC000000}">
      <text>
        <r>
          <rPr>
            <sz val="9"/>
            <color indexed="81"/>
            <rFont val="Tahoma"/>
            <family val="2"/>
          </rPr>
          <t xml:space="preserve">No studies quantifying the transformation to SO2 has been found, except one that claims that the general opinion is that this is a major process eliminating H2S from the atmosphere. (Meszaros, 1981, Atmospheric Chemistry, Elsevier, Amsterdam)
</t>
        </r>
      </text>
    </comment>
    <comment ref="I88" authorId="0" shapeId="0" xr:uid="{7D717EB1-6358-44B0-A864-59157F6584A2}">
      <text>
        <r>
          <rPr>
            <sz val="9"/>
            <color indexed="81"/>
            <rFont val="Tahoma"/>
            <family val="2"/>
          </rPr>
          <t xml:space="preserve">Spacial variations in contribution as for SO2
</t>
        </r>
      </text>
    </comment>
    <comment ref="H90" authorId="0" shapeId="0" xr:uid="{00000000-0006-0000-0700-0000DD000000}">
      <text>
        <r>
          <rPr>
            <sz val="9"/>
            <color indexed="81"/>
            <rFont val="Tahoma"/>
            <family val="2"/>
          </rPr>
          <t xml:space="preserve">There are somewhat less particle mass from 1 kg of HF compared to 1 kg of SO2. The equivalency factor will be (19/20)/(96/64) = 0.63
</t>
        </r>
      </text>
    </comment>
    <comment ref="I90" authorId="0" shapeId="0" xr:uid="{00000000-0006-0000-0700-0000DE000000}">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1" authorId="0" shapeId="0" xr:uid="{661C2E9A-DFDA-4394-896F-4839C2169DC2}">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2" authorId="0" shapeId="0" xr:uid="{4E12A9B0-0DC9-4759-8596-43812C5EFFEF}">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3" authorId="0" shapeId="0" xr:uid="{6F7AC9EB-43BD-4BDB-806B-D4B17284981B}">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4" authorId="0" shapeId="0" xr:uid="{427B3615-603A-4862-BCE8-A67CF4EDDB95}">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5" authorId="0" shapeId="0" xr:uid="{EA78F7D6-4EBE-468A-A735-1921A23484C8}">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96" authorId="0" shapeId="0" xr:uid="{97904176-DB50-48B4-829A-D6D2B39C4415}">
      <text>
        <r>
          <rPr>
            <sz val="9"/>
            <color indexed="81"/>
            <rFont val="Tahoma"/>
            <family val="2"/>
          </rPr>
          <t xml:space="preserve">The molar weight per H+ is 32 for SO2 and 20 for HF, resulting in a higher impact per kg for HF
</t>
        </r>
      </text>
    </comment>
    <comment ref="I96" authorId="0" shapeId="0" xr:uid="{AAD0D58C-A4EC-4505-B6F5-2C1E8E1E58CC}">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7" authorId="0" shapeId="0" xr:uid="{19235DD9-E002-450E-9840-51192B57CF0F}">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8" authorId="0" shapeId="0" xr:uid="{9C88E3BF-193A-4A14-8D47-0B02BF9EACDB}">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99" authorId="0" shapeId="0" xr:uid="{E728D805-5C29-4D80-B222-808A0B908FEC}">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I100" authorId="0" shapeId="0" xr:uid="{9C88A6FA-2E17-4DB6-B6A4-96F52AED7B8C}">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1" authorId="0" shapeId="0" xr:uid="{66E98CDF-ABE9-4F6C-9D0F-DD89FD9B1912}">
      <text>
        <r>
          <rPr>
            <sz val="9"/>
            <color indexed="81"/>
            <rFont val="Tahoma"/>
            <family val="2"/>
          </rPr>
          <t xml:space="preserve">The molar weight per H+ is 32 for SO2 and 20 for HF, resulting in a higher impact per kg for HF
</t>
        </r>
      </text>
    </comment>
    <comment ref="I101" authorId="0" shapeId="0" xr:uid="{C41B7FF8-DFBA-45CD-9C8C-59E3AAC9EFAC}">
      <text>
        <r>
          <rPr>
            <sz val="9"/>
            <color indexed="81"/>
            <rFont val="Tahoma"/>
            <family val="2"/>
          </rPr>
          <t>Some gaseous HF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4" authorId="0" shapeId="0" xr:uid="{5CAAA818-3C0E-45AA-B92E-9B13FE0C2C90}">
      <text>
        <r>
          <rPr>
            <sz val="9"/>
            <color indexed="81"/>
            <rFont val="Tahoma"/>
            <family val="2"/>
          </rPr>
          <t xml:space="preserve">There are somewhat less particle mass from 1 kg of HCl compared to 1 kg of SO2. The equivalency factor will be (34/35)/(96/64) = 0.65
</t>
        </r>
      </text>
    </comment>
    <comment ref="I104" authorId="0" shapeId="0" xr:uid="{65A73C46-BDF9-4366-804C-AB1B15812A42}">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5" authorId="0" shapeId="0" xr:uid="{4F4DA4F1-8D3F-457A-8E45-37608C494EDB}">
      <text>
        <r>
          <rPr>
            <sz val="9"/>
            <color indexed="81"/>
            <rFont val="Tahoma"/>
            <family val="2"/>
          </rPr>
          <t xml:space="preserve">There are somewhat less particle mass from 1 kg of HCl compared to 1 kg of SO2. The equivalency factor will be (34/35)/(96/64) = 0.65
</t>
        </r>
      </text>
    </comment>
    <comment ref="I105" authorId="0" shapeId="0" xr:uid="{AC15A366-815B-4E72-8D73-8093CC8715B9}">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6" authorId="0" shapeId="0" xr:uid="{9D2F9252-8FE3-41ED-9B9C-1617E39E6E76}">
      <text>
        <r>
          <rPr>
            <sz val="9"/>
            <color indexed="81"/>
            <rFont val="Tahoma"/>
            <family val="2"/>
          </rPr>
          <t xml:space="preserve">There are somewhat less particle mass from 1 kg of HCl compared to 1 kg of SO2. The equivalency factor will be (34/35)/(96/64) = 0.65
</t>
        </r>
      </text>
    </comment>
    <comment ref="I106" authorId="0" shapeId="0" xr:uid="{35B81934-7CCE-4730-85A3-522C39749453}">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7" authorId="0" shapeId="0" xr:uid="{B2B5A3E5-CDEA-4272-9DEE-455571B406B8}">
      <text>
        <r>
          <rPr>
            <sz val="9"/>
            <color indexed="81"/>
            <rFont val="Tahoma"/>
            <family val="2"/>
          </rPr>
          <t xml:space="preserve">There are somewhat less particle mass from 1 kg of HCl compared to 1 kg of SO2. The equivalency factor will be (34/35)/(96/64) = 0.65
</t>
        </r>
      </text>
    </comment>
    <comment ref="I107" authorId="0" shapeId="0" xr:uid="{D17F3F3E-52E2-46D1-9F88-AF5FDE207125}">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8" authorId="0" shapeId="0" xr:uid="{127D2BE7-5FE3-4478-A847-81A5B788C45D}">
      <text>
        <r>
          <rPr>
            <sz val="9"/>
            <color indexed="81"/>
            <rFont val="Tahoma"/>
            <family val="2"/>
          </rPr>
          <t xml:space="preserve">There are somewhat less particle mass from 1 kg of HCl compared to 1 kg of SO2. The equivalency factor will be (34/35)/(96/64) = 0.65
</t>
        </r>
      </text>
    </comment>
    <comment ref="I108" authorId="0" shapeId="0" xr:uid="{60DEFDED-AC79-4EA5-A08E-AD4949FF4EA9}">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09" authorId="0" shapeId="0" xr:uid="{41788613-D179-4E00-9ED8-B4FB1C91B549}">
      <text>
        <r>
          <rPr>
            <sz val="9"/>
            <color indexed="81"/>
            <rFont val="Tahoma"/>
            <family val="2"/>
          </rPr>
          <t xml:space="preserve">There are somewhat less particle mass from 1 kg of HCl compared to 1 kg of SO2. The equivalency factor will be (34/35)/(96/64) = 0.65
</t>
        </r>
      </text>
    </comment>
    <comment ref="I109" authorId="0" shapeId="0" xr:uid="{B7D6E9D6-24A4-4FA4-984D-9EEED1F2A8AD}">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10" authorId="0" shapeId="0" xr:uid="{00000000-0006-0000-0700-000003010000}">
      <text>
        <r>
          <rPr>
            <sz val="9"/>
            <color indexed="81"/>
            <rFont val="Tahoma"/>
            <family val="2"/>
          </rPr>
          <t xml:space="preserve">Acidification potential for HCl in SO2-equivalents
</t>
        </r>
      </text>
    </comment>
    <comment ref="I110" authorId="0" shapeId="0" xr:uid="{30D23792-5F71-40CC-9161-7F9F66C84279}">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11" authorId="0" shapeId="0" xr:uid="{B12A2F45-1294-4598-B2D3-1827E509D123}">
      <text>
        <r>
          <rPr>
            <sz val="9"/>
            <color indexed="81"/>
            <rFont val="Tahoma"/>
            <family val="2"/>
          </rPr>
          <t xml:space="preserve">There are somewhat less particle mass from 1 kg of HCl compared to 1 kg of SO2. The equivalency factor will be (34/35)/(96/64) = 0.65
</t>
        </r>
      </text>
    </comment>
    <comment ref="I111" authorId="0" shapeId="0" xr:uid="{1C479BBD-A158-43EE-91C2-351922805E01}">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12" authorId="0" shapeId="0" xr:uid="{9D0CF09D-AA33-4DDE-8A84-1B25DD981EE2}">
      <text>
        <r>
          <rPr>
            <sz val="9"/>
            <color indexed="81"/>
            <rFont val="Tahoma"/>
            <family val="2"/>
          </rPr>
          <t xml:space="preserve">There are somewhat less particle mass from 1 kg of HCl compared to 1 kg of SO2. The equivalency factor will be (34/35)/(96/64) = 0.65
</t>
        </r>
      </text>
    </comment>
    <comment ref="I112" authorId="0" shapeId="0" xr:uid="{A4F86DF9-37E9-436A-BE36-B489AE23F5D3}">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13" authorId="0" shapeId="0" xr:uid="{5F13BFE6-0737-4FFF-B531-71823C4D6F67}">
      <text>
        <r>
          <rPr>
            <sz val="9"/>
            <color indexed="81"/>
            <rFont val="Tahoma"/>
            <family val="2"/>
          </rPr>
          <t xml:space="preserve">There are somewhat less particle mass from 1 kg of HCl compared to 1 kg of SO2. The equivalency factor will be (34/35)/(96/64) = 0.65
</t>
        </r>
      </text>
    </comment>
    <comment ref="I113" authorId="0" shapeId="0" xr:uid="{B1362D8C-57BE-489C-98F3-B2CD95ED4D78}">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14" authorId="0" shapeId="0" xr:uid="{CE18343C-8A56-4C73-98A1-BF2E483C1EA3}">
      <text>
        <r>
          <rPr>
            <sz val="9"/>
            <color indexed="81"/>
            <rFont val="Tahoma"/>
            <family val="2"/>
          </rPr>
          <t xml:space="preserve">There are somewhat less particle mass from 1 kg of HCl compared to 1 kg of SO2. The equivalency factor will be (34/35)/(96/64) = 0.65
</t>
        </r>
      </text>
    </comment>
    <comment ref="I114" authorId="0" shapeId="0" xr:uid="{F03AD338-DC49-4289-AECB-03DF4150AB61}">
      <text>
        <r>
          <rPr>
            <sz val="9"/>
            <color indexed="81"/>
            <rFont val="Tahoma"/>
            <family val="2"/>
          </rPr>
          <t>Some gaseous HCl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15" authorId="0" shapeId="0" xr:uid="{00000000-0006-0000-0700-000004010000}">
      <text>
        <r>
          <rPr>
            <sz val="9"/>
            <color indexed="81"/>
            <rFont val="Tahoma"/>
            <family val="2"/>
          </rPr>
          <t xml:space="preserve">Acidification potential for HCl in SO2-equivalents
</t>
        </r>
      </text>
    </comment>
    <comment ref="I115" authorId="0" shapeId="0" xr:uid="{14646430-E7F6-4768-BE59-CD4AF64DF729}">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19" authorId="0" shapeId="0" xr:uid="{5640487D-8707-4072-BA36-2A0C31B1278E}">
      <text>
        <r>
          <rPr>
            <sz val="9"/>
            <color indexed="81"/>
            <rFont val="Tahoma"/>
            <family val="2"/>
          </rPr>
          <t xml:space="preserve">There are somewhat less particle mass from 1 kg of NH3 compared to 1 kg of SO2. The equivalency factor will be (18/17)/(96/64) = 0.706
</t>
        </r>
      </text>
    </comment>
    <comment ref="I119" authorId="0" shapeId="0" xr:uid="{15F435D1-74C1-492F-9E21-C9CADB0D0DA9}">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0" authorId="0" shapeId="0" xr:uid="{00000000-0006-0000-0700-00000A010000}">
      <text>
        <r>
          <rPr>
            <sz val="9"/>
            <color indexed="81"/>
            <rFont val="Tahoma"/>
            <family val="2"/>
          </rPr>
          <t xml:space="preserve">NH3 will add to the particle mass as NH4+
</t>
        </r>
      </text>
    </comment>
    <comment ref="I120" authorId="0" shapeId="0" xr:uid="{51174A0A-C280-4074-8B3F-4FD6BA02C771}">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1" authorId="0" shapeId="0" xr:uid="{00000000-0006-0000-0700-00000B010000}">
      <text>
        <r>
          <rPr>
            <sz val="9"/>
            <color indexed="81"/>
            <rFont val="Tahoma"/>
            <family val="2"/>
          </rPr>
          <t xml:space="preserve">NH3 will add to the particle mass as NH4+
</t>
        </r>
      </text>
    </comment>
    <comment ref="I121" authorId="0" shapeId="0" xr:uid="{4BC330DE-063D-4BE7-9B70-400656D23E71}">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2" authorId="0" shapeId="0" xr:uid="{00000000-0006-0000-0700-00000C010000}">
      <text>
        <r>
          <rPr>
            <sz val="9"/>
            <color indexed="81"/>
            <rFont val="Tahoma"/>
            <family val="2"/>
          </rPr>
          <t xml:space="preserve">NH3 will add to the particle mass as NH4+
</t>
        </r>
      </text>
    </comment>
    <comment ref="I122" authorId="0" shapeId="0" xr:uid="{A3D8E0BE-D551-4C4A-A23E-DA47B3CAF8E4}">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3" authorId="0" shapeId="0" xr:uid="{00000000-0006-0000-0700-00000D010000}">
      <text>
        <r>
          <rPr>
            <sz val="9"/>
            <color indexed="81"/>
            <rFont val="Tahoma"/>
            <family val="2"/>
          </rPr>
          <t xml:space="preserve">NH3 will add to the particle mass as NH4+
</t>
        </r>
      </text>
    </comment>
    <comment ref="I123" authorId="0" shapeId="0" xr:uid="{29E2E9F5-C425-4B56-AA56-5B34F121162E}">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4" authorId="0" shapeId="0" xr:uid="{00000000-0006-0000-0700-00000E010000}">
      <text>
        <r>
          <rPr>
            <sz val="9"/>
            <color indexed="81"/>
            <rFont val="Tahoma"/>
            <family val="2"/>
          </rPr>
          <t xml:space="preserve">NH3 will add to the particle mass as NH4+
</t>
        </r>
      </text>
    </comment>
    <comment ref="I124" authorId="0" shapeId="0" xr:uid="{DE09398F-1B15-42F6-820A-AC14BE0A2AEC}">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5" authorId="0" shapeId="0" xr:uid="{00000000-0006-0000-0700-000017010000}">
      <text>
        <r>
          <rPr>
            <sz val="9"/>
            <color indexed="81"/>
            <rFont val="Tahoma"/>
            <family val="2"/>
          </rPr>
          <t>Acidification potential in SO2 equivalents
UNEP/SETACs GLAM project recommends 1.7 for terrestial acidification.</t>
        </r>
      </text>
    </comment>
    <comment ref="I125" authorId="0" shapeId="0" xr:uid="{57CACA2C-BC44-4837-AC7E-FF5A652A4D72}">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26" authorId="0" shapeId="0" xr:uid="{00000000-0006-0000-0700-000019010000}">
      <text>
        <r>
          <rPr>
            <sz val="9"/>
            <color indexed="81"/>
            <rFont val="Tahoma"/>
            <family val="2"/>
          </rPr>
          <t xml:space="preserve">Eutrofication potential in NO2 eqivalents
</t>
        </r>
      </text>
    </comment>
    <comment ref="I126" authorId="0" shapeId="0" xr:uid="{9B0DA0BB-92E8-4316-9758-61007A070A5A}">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7" authorId="0" shapeId="0" xr:uid="{A571A5B7-276C-43B7-93A3-FCEF07ACE8C8}">
      <text>
        <r>
          <rPr>
            <sz val="9"/>
            <color indexed="81"/>
            <rFont val="Tahoma"/>
            <family val="2"/>
          </rPr>
          <t xml:space="preserve">NH3 will add to the particle mass as NH4+
</t>
        </r>
      </text>
    </comment>
    <comment ref="I127" authorId="0" shapeId="0" xr:uid="{A6188838-59D2-4214-A81F-BF0F32327615}">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8" authorId="0" shapeId="0" xr:uid="{3D7C242B-068C-4B99-9224-A6C3049599D6}">
      <text>
        <r>
          <rPr>
            <sz val="9"/>
            <color indexed="81"/>
            <rFont val="Tahoma"/>
            <family val="2"/>
          </rPr>
          <t xml:space="preserve">NH3 will add to the particle mass as NH4+
</t>
        </r>
      </text>
    </comment>
    <comment ref="I128" authorId="0" shapeId="0" xr:uid="{572BBB91-8EBC-4D9E-B6D6-3A35EB448384}">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29" authorId="0" shapeId="0" xr:uid="{00000000-0006-0000-0700-00001A010000}">
      <text>
        <r>
          <rPr>
            <sz val="9"/>
            <color indexed="81"/>
            <rFont val="Tahoma"/>
            <family val="2"/>
          </rPr>
          <t xml:space="preserve">Eutrofication potential in NO2 eqivalents
</t>
        </r>
      </text>
    </comment>
    <comment ref="I129" authorId="0" shapeId="0" xr:uid="{89EA68E9-71D3-4754-95C2-7BD66F5DC90E}">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30" authorId="0" shapeId="0" xr:uid="{8E64B61C-8186-4C75-8CDB-4C1A5DC9F135}">
      <text>
        <r>
          <rPr>
            <sz val="9"/>
            <color indexed="81"/>
            <rFont val="Tahoma"/>
            <family val="2"/>
          </rPr>
          <t xml:space="preserve">NH3 will add to the particle mass as NH4+
</t>
        </r>
      </text>
    </comment>
    <comment ref="I130" authorId="0" shapeId="0" xr:uid="{AC5301B7-7271-4929-9081-D128BAFB0373}">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31" authorId="0" shapeId="0" xr:uid="{C1A846F7-81C6-42C8-8A6E-2AA05C84C6DB}">
      <text>
        <r>
          <rPr>
            <sz val="9"/>
            <color indexed="81"/>
            <rFont val="Tahoma"/>
            <family val="2"/>
          </rPr>
          <t xml:space="preserve">NH3 will add to the particle mass as NH4+
</t>
        </r>
      </text>
    </comment>
    <comment ref="I131" authorId="0" shapeId="0" xr:uid="{275593DB-FC66-4C72-9754-8BA8A5AF19C2}">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32" authorId="0" shapeId="0" xr:uid="{00000000-0006-0000-0700-000018010000}">
      <text>
        <r>
          <rPr>
            <sz val="9"/>
            <color indexed="81"/>
            <rFont val="Tahoma"/>
            <family val="2"/>
          </rPr>
          <t xml:space="preserve">Acidification potential in SO2 equivalents
</t>
        </r>
      </text>
    </comment>
    <comment ref="I132" authorId="0" shapeId="0" xr:uid="{1C077E62-AE6C-4D56-9295-6082257ACC07}">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33" authorId="0" shapeId="0" xr:uid="{00000000-0006-0000-0700-00001B010000}">
      <text>
        <r>
          <rPr>
            <sz val="9"/>
            <color indexed="81"/>
            <rFont val="Tahoma"/>
            <family val="2"/>
          </rPr>
          <t xml:space="preserve">Eutrofication potential in NO2 eqivalents
</t>
        </r>
      </text>
    </comment>
    <comment ref="I133" authorId="0" shapeId="0" xr:uid="{1E3DE570-5995-4B82-91CB-B8EF44071534}">
      <text>
        <r>
          <rPr>
            <sz val="9"/>
            <color indexed="81"/>
            <rFont val="Tahoma"/>
            <family val="2"/>
          </rPr>
          <t>Some gaseous NH3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F137" authorId="0" shapeId="0" xr:uid="{00000000-0006-0000-0700-00001C010000}">
      <text>
        <r>
          <rPr>
            <sz val="9"/>
            <color indexed="81"/>
            <rFont val="Tahoma"/>
            <family val="2"/>
          </rPr>
          <t>Some groups of the population in North America, Europe and New Zealand eating much locally caught fish tend to get high mercury concentrations in body tissue. This may lead to various health effects but the one of most concern is mental retardation of children due to prenatal exposure (Kjellström et al., 1988). In a New Zealand study, 1000 out of 11000 new mothers had consumed fish more than three times a week. 73 of these had hair mercury levels above 6 mg/kg. 50% of the high mercury level children had abnormal or questionable test results in a Denver Development Screening Test, whereas only 17% of the reference children had such results. This indicates that 0.2% of a “fish eating” population like New Zealand is affected. Globally the “fish eating” population is in the order of 200 millions. 0.2% of these are 400000. .
In a USEPA study to the Congress 1997, 166000 pregnant women were estimated to be eating fish above 100 g/day. This corresponds to  0.07% of the population.  Upscaled to the global population, 4.8 million people/year will be eating fish above 100 g/day. If the same frequency of high mercury levels are assumed as in New Zealand (73/1000), we obtain a figure of 0.073*4.8 million =345000 personyears per year.
In an Iraqi study, cited by USEPA, severe neurogical effects is observed first at hair concentrations above 10 - 50 mg/kg. The effect corresponding to DALY clessification of mild mental retardations is thereore estimated to 1000000 personyears per year.</t>
        </r>
      </text>
    </comment>
    <comment ref="G137" authorId="0" shapeId="0" xr:uid="{00000000-0006-0000-0700-00001D010000}">
      <text>
        <r>
          <rPr>
            <sz val="9"/>
            <color indexed="81"/>
            <rFont val="Tahoma"/>
            <family val="2"/>
          </rPr>
          <t xml:space="preserve">Most of the literature on health risks from mercury aims at finding safe levels and setting standards. What actually happens at high exposures is unclear and in particular is it unclear how the effects recorded at the accidental exposure in Iraq coincides with the DALY classification, in this case "intellectual disability: mild, moderate, severe or profound". In the Iraqi study of the 1971 Iraqi methylmercury poisoning incident 8 out of 54 children with doses of mercury in hair above 10 ppm had mental symptoms, but significant impacts where evident first at those children having exposures at 53 ppm and above.
</t>
        </r>
      </text>
    </comment>
    <comment ref="H137" authorId="0" shapeId="0" xr:uid="{00000000-0006-0000-0700-00001E010000}">
      <text>
        <r>
          <rPr>
            <sz val="9"/>
            <color indexed="81"/>
            <rFont val="Tahoma"/>
            <family val="2"/>
          </rPr>
          <t xml:space="preserve">The global anthropogenic emission of Hg to air is estimated to 1960 tonnes and 1000 tonnes to water in 2010 (UNEP, 2010). Present (2023) estimations of emissions to air are 2223 tonnes (USEPA) The natural emission is around 670 tonnes, and there is a substatial reemission of mercury from old depositions, approximately 4000 tonnes. Totally the emissions contributing to the population exposure via fish is thus 7630 ton.
</t>
        </r>
      </text>
    </comment>
    <comment ref="I137" authorId="0" shapeId="0" xr:uid="{00000000-0006-0000-0700-00001F010000}">
      <text>
        <r>
          <rPr>
            <sz val="9"/>
            <color indexed="81"/>
            <rFont val="Tahoma"/>
            <family val="2"/>
          </rPr>
          <t xml:space="preserve">Even if mercury is distributed on a global scale, it is uncertain how much of a single emissions that is transfeerd to methylmercury
</t>
        </r>
      </text>
    </comment>
    <comment ref="F140" authorId="0" shapeId="0" xr:uid="{00000000-0006-0000-0700-000020010000}">
      <text>
        <r>
          <rPr>
            <sz val="9"/>
            <color indexed="81"/>
            <rFont val="Tahoma"/>
            <family val="2"/>
          </rPr>
          <t>Some groups of the population in North America, Europe and New Zealand eating much locally caught fish tend to get high mercury concentrations in body tissue. This may lead to various health effects but the one of most concern is mental retardation of children due to prenatal exposure (Kjellström et al., 1988). In a New Zealand study, 1000 out of 11000 new mothers had consumed fish more than three times a week. 73 of these had hair mercury levels above 6 mg/kg. 50% of the high mercury level children had abnormal or questionable test results in a Denver Development Screening Test, whereas only 17% of the reference children had such results. This indicates that 0.2% of a “fish eating” population like New Zealand is affected. Globally the “fish eating” population is in the order of 200 millions. 0.2% of these are 400000. .
In a USEPA study to the Congress 1997, 166000 pregnant women were estimated to be eating fish above 100 g/day. This corresponds to  0.07% of the population.  Upscaled to the global population, 4.8 million people/year will be eating fish above 100 g/day. If the same frequency of high mercury levels are assumed as in New Zealand (73/1000), we obtain a figure of 0.073*4.8 million =345000 personyears per year.
In an Iraqi study, cited by USEPA, severe neurogical effects is observed first at hair concentrations above 10 - 50 mg/kg. The effect corresponding to DALY clessification of mild mental retardations is thereore estimated to 1000000 personyears per year.</t>
        </r>
      </text>
    </comment>
    <comment ref="G140" authorId="0" shapeId="0" xr:uid="{00000000-0006-0000-0700-000021010000}">
      <text>
        <r>
          <rPr>
            <sz val="9"/>
            <color indexed="81"/>
            <rFont val="Tahoma"/>
            <family val="2"/>
          </rPr>
          <t xml:space="preserve">Most of the literature on health risks from mercury aims at finding safe levels and setting standards. What actually happens at high exposures is unclear and in particular is it unclear how the effects recorded at the accidental exposure in Iraq coincides with the DALY classification, in this case "intellectual disability: mild, moderate, severe or profound". In the Iraqi study of the 1971 Iraqi methylmercury poisoning incident 8 out of 54 children with doses of mercury in hair above 10 ppm had mental symptoms, but significant impacts where evident first at those children having exposures at 53 ppm and above.
</t>
        </r>
      </text>
    </comment>
    <comment ref="H140" authorId="0" shapeId="0" xr:uid="{00000000-0006-0000-0700-000022010000}">
      <text>
        <r>
          <rPr>
            <sz val="9"/>
            <color indexed="81"/>
            <rFont val="Tahoma"/>
            <family val="2"/>
          </rPr>
          <t xml:space="preserve">The global anthropogenic emission of Hg to air is estimated to 1960 tonnes and 1000 tonnes to water in 2010 (UNEP, 2010). The natural emission is around 670 tonnes, and there is a substatial reemission of mercury from old depositions, approximately 4000 tonnes. Totally the emissions contributing to the population exposure via fish is thus 7630 ton.
</t>
        </r>
      </text>
    </comment>
    <comment ref="I140" authorId="0" shapeId="0" xr:uid="{00000000-0006-0000-0700-000023010000}">
      <text>
        <r>
          <rPr>
            <sz val="9"/>
            <color indexed="81"/>
            <rFont val="Tahoma"/>
            <family val="2"/>
          </rPr>
          <t xml:space="preserve">Even if mercury is distributed on a global scale, it is uncertain how much of a single emissions that is transfeerd to methylmercury
</t>
        </r>
      </text>
    </comment>
    <comment ref="H145" authorId="0" shapeId="0" xr:uid="{263ADB3F-0021-4EF6-8057-57653A273CF1}">
      <text>
        <r>
          <rPr>
            <sz val="9"/>
            <color indexed="81"/>
            <rFont val="Tahoma"/>
            <family val="2"/>
          </rPr>
          <t xml:space="preserve">There are somewhat less particle mass from 1 kg of HBr compared to 1 kg of SO2. The equivalency factor will be (79.9/80.9)/(96/64) = 0.658
</t>
        </r>
      </text>
    </comment>
    <comment ref="I145" authorId="0" shapeId="0" xr:uid="{A94451AA-A4CB-4782-B752-3AF797DE7C97}">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46" authorId="0" shapeId="0" xr:uid="{0A5B0FFD-5BD1-4351-910B-3C5427DD114C}">
      <text>
        <r>
          <rPr>
            <sz val="9"/>
            <color indexed="81"/>
            <rFont val="Tahoma"/>
            <family val="2"/>
          </rPr>
          <t xml:space="preserve">There are somewhat less particle mass from 1 kg of HBr compared to 1 kg of SO2. The equivalency factor will be (79.9/80.9)/(96/64) = 0.658
</t>
        </r>
      </text>
    </comment>
    <comment ref="I146" authorId="0" shapeId="0" xr:uid="{17F3C451-D0FA-4D96-8750-D8CF6424E485}">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47" authorId="0" shapeId="0" xr:uid="{629687E4-46F8-4AFC-ACFF-1B9ECAC36E97}">
      <text>
        <r>
          <rPr>
            <sz val="9"/>
            <color indexed="81"/>
            <rFont val="Tahoma"/>
            <family val="2"/>
          </rPr>
          <t xml:space="preserve">There are somewhat less particle mass from 1 kg of HBr compared to 1 kg of SO2. The equivalency factor will be (79.9/80.9)/(96/64) = 0.658
</t>
        </r>
      </text>
    </comment>
    <comment ref="I147" authorId="0" shapeId="0" xr:uid="{CA9CEB88-A7B3-44E1-8477-BB05D319CE81}">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48" authorId="0" shapeId="0" xr:uid="{76695796-2C0F-4379-BDF5-A30F5AD9A916}">
      <text>
        <r>
          <rPr>
            <sz val="9"/>
            <color indexed="81"/>
            <rFont val="Tahoma"/>
            <family val="2"/>
          </rPr>
          <t xml:space="preserve">There are somewhat less particle mass from 1 kg of HBr compared to 1 kg of SO2. The equivalency factor will be (79.9/80.9)/(96/64) = 0.658
</t>
        </r>
      </text>
    </comment>
    <comment ref="I148" authorId="0" shapeId="0" xr:uid="{4E7D24C0-1441-4D71-BA26-77079198916B}">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49" authorId="0" shapeId="0" xr:uid="{CD6F1E24-AA5C-4EF0-A410-D1B204E40A5F}">
      <text>
        <r>
          <rPr>
            <sz val="9"/>
            <color indexed="81"/>
            <rFont val="Tahoma"/>
            <family val="2"/>
          </rPr>
          <t xml:space="preserve">There are somewhat less particle mass from 1 kg of HBr compared to 1 kg of SO2. The equivalency factor will be (79.9/80.9)/(96/64) = 0.658
</t>
        </r>
      </text>
    </comment>
    <comment ref="I149" authorId="0" shapeId="0" xr:uid="{7AB79071-2DFA-456D-8E69-36F021496D9A}">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0" authorId="0" shapeId="0" xr:uid="{F9D04755-B0F1-4007-A6AB-8CCB7F284854}">
      <text>
        <r>
          <rPr>
            <sz val="9"/>
            <color indexed="81"/>
            <rFont val="Tahoma"/>
            <family val="2"/>
          </rPr>
          <t xml:space="preserve">There are somewhat less particle mass from 1 kg of HBr compared to 1 kg of SO2. The equivalency factor will be (79.9/80.9)/(96/64) = 0.658
</t>
        </r>
      </text>
    </comment>
    <comment ref="I150" authorId="0" shapeId="0" xr:uid="{AB461395-33F6-4ADB-BD3B-25F87FB8DCBA}">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1" authorId="0" shapeId="0" xr:uid="{F7876C8D-0626-44FC-AD6C-85BE61F3F9BD}">
      <text>
        <r>
          <rPr>
            <sz val="9"/>
            <color indexed="81"/>
            <rFont val="Tahoma"/>
            <family val="2"/>
          </rPr>
          <t xml:space="preserve">Acidification potential for HBr in SO2-equivalents
</t>
        </r>
      </text>
    </comment>
    <comment ref="I151" authorId="0" shapeId="0" xr:uid="{A53DB25B-24F2-4586-A6E8-AA3CD0E4E7AE}">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52" authorId="0" shapeId="0" xr:uid="{75378254-4258-4050-830E-87EE3ADCF8A7}">
      <text>
        <r>
          <rPr>
            <sz val="9"/>
            <color indexed="81"/>
            <rFont val="Tahoma"/>
            <family val="2"/>
          </rPr>
          <t xml:space="preserve">There are somewhat less particle mass from 1 kg of HBr compared to 1 kg of SO2. The equivalency factor will be (79.9/80.9)/(96/64) = 0.658
</t>
        </r>
      </text>
    </comment>
    <comment ref="I152" authorId="0" shapeId="0" xr:uid="{13AF1EA9-8CDD-46DD-93D1-BDC5E314AC06}">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3" authorId="0" shapeId="0" xr:uid="{46E33F31-A432-4395-BEC6-883A0C7ADC58}">
      <text>
        <r>
          <rPr>
            <sz val="9"/>
            <color indexed="81"/>
            <rFont val="Tahoma"/>
            <family val="2"/>
          </rPr>
          <t xml:space="preserve">There are somewhat less particle mass from 1 kg of HBr compared to 1 kg of SO2. The equivalency factor will be (79.9/80.9)/(96/64) = 0.658
</t>
        </r>
      </text>
    </comment>
    <comment ref="I153" authorId="0" shapeId="0" xr:uid="{948B1AF1-E512-47B0-8FBC-01203C6B267F}">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4" authorId="0" shapeId="0" xr:uid="{410B3F3E-98DD-49C4-8658-CC093C1B27E7}">
      <text>
        <r>
          <rPr>
            <sz val="9"/>
            <color indexed="81"/>
            <rFont val="Tahoma"/>
            <family val="2"/>
          </rPr>
          <t xml:space="preserve">There are somewhat less particle mass from 1 kg of HBr compared to 1 kg of SO2. The equivalency factor will be (79.9/80.9)/(96/64) = 0.658
</t>
        </r>
      </text>
    </comment>
    <comment ref="I154" authorId="0" shapeId="0" xr:uid="{C56F2C50-12CA-4A65-BFCC-CFBF41AE6F6F}">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5" authorId="0" shapeId="0" xr:uid="{E8C8A960-D288-4D89-91A5-CAA8AFB9314A}">
      <text>
        <r>
          <rPr>
            <sz val="9"/>
            <color indexed="81"/>
            <rFont val="Tahoma"/>
            <family val="2"/>
          </rPr>
          <t xml:space="preserve">There are somewhat less particle mass from 1 kg of HBr compared to 1 kg of SO2. The equivalency factor will be (79.9/80.9)/(96/64) = 0.658
</t>
        </r>
      </text>
    </comment>
    <comment ref="I155" authorId="0" shapeId="0" xr:uid="{489E49D0-3F3F-4D38-8356-DFC0023F2159}">
      <text>
        <r>
          <rPr>
            <sz val="9"/>
            <color indexed="81"/>
            <rFont val="Tahoma"/>
            <family val="2"/>
          </rPr>
          <t>Some gaseous HBr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56" authorId="0" shapeId="0" xr:uid="{60BC927B-0A4E-4A18-9333-E190A091AFB9}">
      <text>
        <r>
          <rPr>
            <sz val="9"/>
            <color indexed="81"/>
            <rFont val="Tahoma"/>
            <family val="2"/>
          </rPr>
          <t xml:space="preserve">Acidification potential for HBr in SO2-equivalents
</t>
        </r>
      </text>
    </comment>
    <comment ref="I156" authorId="0" shapeId="0" xr:uid="{1CBF89C2-F6DD-4FB0-937B-721CA3558D40}">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59" authorId="0" shapeId="0" xr:uid="{CC6EF264-7B45-49E1-91C7-572D765312E8}">
      <text>
        <r>
          <rPr>
            <sz val="9"/>
            <color indexed="81"/>
            <rFont val="Tahoma"/>
            <family val="2"/>
          </rPr>
          <t xml:space="preserve">There are somewhat less particle mass from 1 kg of HCN compared to 1 kg of SO2. The equivalency factor will be (26/27)/(96/64) = 0.642
</t>
        </r>
      </text>
    </comment>
    <comment ref="I159" authorId="0" shapeId="0" xr:uid="{115D2843-2E0F-4EC8-8AA2-53EB0437A0A4}">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0" authorId="0" shapeId="0" xr:uid="{DEA838F6-DE5C-44F5-9306-F71A71905F8F}">
      <text>
        <r>
          <rPr>
            <sz val="9"/>
            <color indexed="81"/>
            <rFont val="Tahoma"/>
            <family val="2"/>
          </rPr>
          <t xml:space="preserve">There are somewhat less particle mass from 1 kg of HCN compared to 1 kg of SO2. The equivalency factor will be (26/27)/(96/64) = 0.642
</t>
        </r>
      </text>
    </comment>
    <comment ref="I160" authorId="0" shapeId="0" xr:uid="{2B8D20A9-C55F-49B9-820D-69D04E0D8D40}">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1" authorId="0" shapeId="0" xr:uid="{9812E866-5058-430B-B007-4B2CA80D2D10}">
      <text>
        <r>
          <rPr>
            <sz val="9"/>
            <color indexed="81"/>
            <rFont val="Tahoma"/>
            <family val="2"/>
          </rPr>
          <t xml:space="preserve">There are somewhat less particle mass from 1 kg of HCN compared to 1 kg of SO2. The equivalency factor will be (26/27)/(96/64) = 0.642
</t>
        </r>
      </text>
    </comment>
    <comment ref="I161" authorId="0" shapeId="0" xr:uid="{38FE60C5-857D-4B4F-AA76-90067DDC8CDF}">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2" authorId="0" shapeId="0" xr:uid="{25E36CC9-600F-4512-89D1-92FDE96C886F}">
      <text>
        <r>
          <rPr>
            <sz val="9"/>
            <color indexed="81"/>
            <rFont val="Tahoma"/>
            <family val="2"/>
          </rPr>
          <t xml:space="preserve">There are somewhat less particle mass from 1 kg of HCN compared to 1 kg of SO2. The equivalency factor will be (26/27)/(96/64) = 0.642
</t>
        </r>
      </text>
    </comment>
    <comment ref="I162" authorId="0" shapeId="0" xr:uid="{723ED6CC-09AF-4ACA-81E7-5E847E6F56C6}">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3" authorId="0" shapeId="0" xr:uid="{76F9E441-BDA0-4D15-ABA5-8C44906C81E3}">
      <text>
        <r>
          <rPr>
            <sz val="9"/>
            <color indexed="81"/>
            <rFont val="Tahoma"/>
            <family val="2"/>
          </rPr>
          <t xml:space="preserve">There are somewhat less particle mass from 1 kg of HCN compared to 1 kg of SO2. The equivalency factor will be (26/27)/(96/64) = 0.642
</t>
        </r>
      </text>
    </comment>
    <comment ref="I163" authorId="0" shapeId="0" xr:uid="{AB8CA7FB-AD1E-4266-8C36-FA928D084E70}">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4" authorId="0" shapeId="0" xr:uid="{5F95C53A-F5B9-4D3B-81CB-651FFCB6DEAA}">
      <text>
        <r>
          <rPr>
            <sz val="9"/>
            <color indexed="81"/>
            <rFont val="Tahoma"/>
            <family val="2"/>
          </rPr>
          <t xml:space="preserve">There are somewhat less particle mass from 1 kg of HCN compared to 1 kg of SO2. The equivalency factor will be (26/27)/(96/64) = 0.642
</t>
        </r>
      </text>
    </comment>
    <comment ref="I164" authorId="0" shapeId="0" xr:uid="{4CB1BEA6-6E6B-4FE7-ABAC-C7E8ADD004BD}">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5" authorId="0" shapeId="0" xr:uid="{8AF731FD-A967-4448-B059-81DAB8A4EA44}">
      <text>
        <r>
          <rPr>
            <sz val="9"/>
            <color indexed="81"/>
            <rFont val="Tahoma"/>
            <family val="2"/>
          </rPr>
          <t xml:space="preserve">Acidification potential for HCN in SO2-equivalents
</t>
        </r>
      </text>
    </comment>
    <comment ref="I165" authorId="0" shapeId="0" xr:uid="{4C7194DA-C496-480B-9E35-47A7F27FF37B}">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H166" authorId="0" shapeId="0" xr:uid="{0DB8335F-1DAE-452A-B6D4-B45DD19EDA76}">
      <text>
        <r>
          <rPr>
            <sz val="9"/>
            <color indexed="81"/>
            <rFont val="Tahoma"/>
            <family val="2"/>
          </rPr>
          <t xml:space="preserve">There are somewhat less particle mass from 1 kg of HCN compared to 1 kg of SO2. The equivalency factor will be (26/27)/(96/64) = 0.642
</t>
        </r>
      </text>
    </comment>
    <comment ref="I166" authorId="0" shapeId="0" xr:uid="{6DE04CC7-475B-4D38-9B1E-2B4B92080FDC}">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7" authorId="0" shapeId="0" xr:uid="{C8FBE463-68BD-4AD5-9B96-28EC1B185D80}">
      <text>
        <r>
          <rPr>
            <sz val="9"/>
            <color indexed="81"/>
            <rFont val="Tahoma"/>
            <family val="2"/>
          </rPr>
          <t xml:space="preserve">There are somewhat less particle mass from 1 kg of HCN compared to 1 kg of SO2. The equivalency factor will be (26/27)/(96/64) = 0.642
</t>
        </r>
      </text>
    </comment>
    <comment ref="I167" authorId="0" shapeId="0" xr:uid="{CCCEF200-1471-489E-9197-F333A47A5FBC}">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8" authorId="0" shapeId="0" xr:uid="{1A94721E-326F-4DB9-9BBE-01B5BC44E56F}">
      <text>
        <r>
          <rPr>
            <sz val="9"/>
            <color indexed="81"/>
            <rFont val="Tahoma"/>
            <family val="2"/>
          </rPr>
          <t xml:space="preserve">There are somewhat less particle mass from 1 kg of HCN compared to 1 kg of SO2. The equivalency factor will be (26/27)/(96/64) = 0.642
</t>
        </r>
      </text>
    </comment>
    <comment ref="I168" authorId="0" shapeId="0" xr:uid="{8CAAC65D-8367-4660-9A22-E98AFF4010A6}">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69" authorId="0" shapeId="0" xr:uid="{AF4BA082-5F1B-462B-A7A8-1CFFD2AA8DA1}">
      <text>
        <r>
          <rPr>
            <sz val="9"/>
            <color indexed="81"/>
            <rFont val="Tahoma"/>
            <family val="2"/>
          </rPr>
          <t xml:space="preserve">There are somewhat less particle mass from 1 kg of HCN compared to 1 kg of SO2. The equivalency factor will be (26/27)/(96/64) = 0.642
</t>
        </r>
      </text>
    </comment>
    <comment ref="I169" authorId="0" shapeId="0" xr:uid="{DB2543F6-1DFB-4B5E-B877-1E84E69E77D5}">
      <text>
        <r>
          <rPr>
            <sz val="9"/>
            <color indexed="81"/>
            <rFont val="Tahoma"/>
            <family val="2"/>
          </rPr>
          <t>Some gaseous HCN may be deposited from air through scavenging and dry deposition. The rain frequency is in most regions less than 10% of the time and transformation to particles presumably in the orders of hours, so the share that is not transformed to particles is assumed to be low.</t>
        </r>
      </text>
    </comment>
    <comment ref="H170" authorId="0" shapeId="0" xr:uid="{83577B12-5170-4425-B7C1-7AE45D5E091F}">
      <text>
        <r>
          <rPr>
            <sz val="9"/>
            <color indexed="81"/>
            <rFont val="Tahoma"/>
            <family val="2"/>
          </rPr>
          <t xml:space="preserve">Acidification potential for HCN in SO2-equivalents
</t>
        </r>
      </text>
    </comment>
    <comment ref="I170" authorId="0" shapeId="0" xr:uid="{36B9BA9C-F4DF-4032-806E-F46C8E8B40B1}">
      <text>
        <r>
          <rPr>
            <sz val="9"/>
            <color indexed="81"/>
            <rFont val="Tahoma"/>
            <family val="2"/>
          </rPr>
          <t>The variations between different countries is a factor 4 between the best estimate and 10 and 90 percentiles according to UNEP/SETACs global guidance for life cycle impact assessment, vol2, table 3.3 (2019)</t>
        </r>
      </text>
    </comment>
    <comment ref="F173" authorId="0" shapeId="0" xr:uid="{06DBBDC3-D6A8-4803-82DE-419248A41B7C}">
      <text>
        <r>
          <rPr>
            <sz val="9"/>
            <color indexed="81"/>
            <rFont val="Tahoma"/>
            <family val="2"/>
          </rPr>
          <t>Atpe et al. DOI: 10.1021/acs.estlett.8b00360, Environ. Sci. Technol. Lett. 2018, 5, 546−551Estimate an average global decrease of 0.05 YLL due to ozone exposure. The global population is 8.2 billion and the average life expectancy is 72.5 years. The total extent of impact is therfore 8.2*0.05/72.5 = 5.66E+06 personyears.</t>
        </r>
      </text>
    </comment>
    <comment ref="G173" authorId="0" shapeId="0" xr:uid="{00000000-0006-0000-0700-00004E010000}">
      <text>
        <r>
          <rPr>
            <sz val="9"/>
            <color indexed="81"/>
            <rFont val="Tahoma"/>
            <family val="2"/>
          </rPr>
          <t xml:space="preserve">Estimated uncertainty in epidemiological assessment due to confiding factors. Which ozone measure that is most relevant is also subject for discussion in literature.
</t>
        </r>
      </text>
    </comment>
    <comment ref="H173" authorId="0" shapeId="0" xr:uid="{00000000-0006-0000-0700-00004F010000}">
      <text>
        <r>
          <rPr>
            <sz val="9"/>
            <color indexed="81"/>
            <rFont val="Tahoma"/>
            <family val="2"/>
          </rPr>
          <t xml:space="preserve">AR5 WG1 Ch8, Table 8.1 Estimates  the ozone sources (including secondary) to between 3800 and 5100 Tg/yr. The figure is confirmed and somewhat higher in AR6 table 6.3. Here the figure of 4700 is used as a best estimate. </t>
        </r>
      </text>
    </comment>
    <comment ref="I173" authorId="0" shapeId="0" xr:uid="{5953F8E4-1DB5-4E10-973E-C9886E6E03CB}">
      <text>
        <r>
          <rPr>
            <sz val="9"/>
            <color indexed="81"/>
            <rFont val="Tahoma"/>
            <family val="2"/>
          </rPr>
          <t xml:space="preserve">IPCC AR6, WG1 Table 6.3 reports an average of 4708 ± 589 Tg/yr, where 589 is a standard deviation between model results in an intercomparison study.
</t>
        </r>
      </text>
    </comment>
    <comment ref="H174" authorId="0" shapeId="0" xr:uid="{00000000-0006-0000-0700-000050010000}">
      <text>
        <r>
          <rPr>
            <sz val="9"/>
            <color indexed="81"/>
            <rFont val="Tahoma"/>
            <family val="2"/>
          </rPr>
          <t xml:space="preserve"> AR6 lacks GWP data but presents effective radiative forcing, ERF, which is 0.5 W/m2 for ozone. The impact potential of a short lived substance, i, relative to CO2 is approximated by an expression (ERFi/(Emi))/(ERFCO2/(EMCO2*RCO2), where ERFi is the present effective radiative forcing of substance i, Emi is the global emission contributing to ERFi (which for  climate gaseswith a life time less than a year) is equal to the yearly emssion, ERFCO2 is the efficient radiative forcing for CO2, EMCO2 is the global emission of CO2 contributing to present CO2 concentrations and RCO2 is the share of CO2 remaing in the atmosphere today. R is taken from Joos et al Atmos. Chem. Phys., 13, 2793–2825, 2013 www.atmos-chem-phys.net/13/2793/2013/ doi:10.5194/acp-13-2793-2013. ERF from Table 6.SM.1 in IPPC AR6 WG1.</t>
        </r>
      </text>
    </comment>
    <comment ref="I174" authorId="0" shapeId="0" xr:uid="{8C3A58AE-3376-4806-A95F-AEF926161181}">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E178" authorId="0" shapeId="0" xr:uid="{00000000-0006-0000-0700-000054010000}">
      <text>
        <r>
          <rPr>
            <sz val="9"/>
            <color indexed="81"/>
            <rFont val="Tahoma"/>
            <family val="2"/>
          </rPr>
          <t xml:space="preserve">temperature, draught, extreme temperature and precipitation, CO2 concentration
</t>
        </r>
      </text>
    </comment>
    <comment ref="I178" authorId="0" shapeId="0" xr:uid="{A909C4DD-C36F-4C56-84E5-800BD9E1C818}">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H179" authorId="0" shapeId="0" xr:uid="{FCC3B015-2032-423A-9898-2AFA29AC9C7C}">
      <text>
        <r>
          <rPr>
            <sz val="9"/>
            <color indexed="81"/>
            <rFont val="Tahoma"/>
            <family val="2"/>
          </rPr>
          <t xml:space="preserve">AR5 WG1 Ch8, Table 8.1 Estimates  the ozone sources (including secondary) to between 3800 and 5100 Tg/yr. The figure is confirmed and somewhat higher in AR6 table 6.3. Here the figure of 4700 is used as a best estimate. </t>
        </r>
      </text>
    </comment>
    <comment ref="I180" authorId="0" shapeId="0" xr:uid="{B8FC6AF8-FB38-45F3-BC5F-6E41179DE094}">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I181" authorId="0" shapeId="0" xr:uid="{C75026F3-0DC3-4ACF-B2E8-0EF196B1C8B2}">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I182" authorId="0" shapeId="0" xr:uid="{47220B42-D16F-4769-B4EF-B4273325884D}">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I183" authorId="0" shapeId="0" xr:uid="{4BD21BFE-0D81-4BB4-8C05-CE77FE0AEA88}">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 ref="I184" authorId="0" shapeId="0" xr:uid="{83B501EA-0081-4C5F-9E4F-69E24998BD5F}">
      <text>
        <r>
          <rPr>
            <sz val="9"/>
            <color indexed="81"/>
            <rFont val="Tahoma"/>
            <family val="2"/>
          </rPr>
          <t xml:space="preserve">Data on ERF is taken from a figure where it is difficullt to estimate the exact value. ERF data has an uncertainty of a factor of 2 for  NMVOC and Nox, (5-95% CI) where ozone plays an important role. (table 6.SM.1, AR6 WG1)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A1" authorId="0" shapeId="0" xr:uid="{D5A8ACFE-0373-42C5-9EA4-BAD3BBD38A40}">
      <text>
        <r>
          <rPr>
            <sz val="9"/>
            <color indexed="81"/>
            <rFont val="Tahoma"/>
            <family val="2"/>
          </rPr>
          <t>Emissions to soil, anywhere, anytime during the year
at any source strength in the world.
Flow unit: kg</t>
        </r>
      </text>
    </comment>
    <comment ref="C1" authorId="0" shapeId="0" xr:uid="{6FB45734-E603-4A6E-B828-0EC955D28503}">
      <text>
        <r>
          <rPr>
            <sz val="9"/>
            <color indexed="81"/>
            <rFont val="Tahoma"/>
            <family val="2"/>
          </rPr>
          <t xml:space="preserve">mg/kg
</t>
        </r>
      </text>
    </comment>
    <comment ref="D1" authorId="0" shapeId="0" xr:uid="{F3DEE5CE-4CB8-4315-A8C5-8B758CC7154D}">
      <text>
        <r>
          <rPr>
            <sz val="9"/>
            <color indexed="81"/>
            <rFont val="Tahoma"/>
            <family val="2"/>
          </rPr>
          <t xml:space="preserve">Includes a preliminar estimation of model uncertainty for potency to humans. LD50 to rat uncertainty is rather low but as no data is known on actual impacts from specific substances, an uncertainty in the order of magnitude is assumed.
 </t>
        </r>
      </text>
    </comment>
    <comment ref="I1" authorId="0" shapeId="0" xr:uid="{26CB923E-FCC5-43EF-8F7E-14B7C3DFA1DD}">
      <text>
        <r>
          <rPr>
            <sz val="9"/>
            <color indexed="81"/>
            <rFont val="Tahoma"/>
            <family val="2"/>
          </rPr>
          <t>Low uncertainty as it is calculated from the
molecular weights of the elements and the pesticide</t>
        </r>
      </text>
    </comment>
    <comment ref="J1" authorId="0" shapeId="0" xr:uid="{BBDB4643-B215-472F-9451-60CA67BEB623}">
      <text>
        <r>
          <rPr>
            <sz val="9"/>
            <color indexed="81"/>
            <rFont val="Tahoma"/>
            <family val="2"/>
          </rPr>
          <t>Low uncertainty as it is calculated from the
molecular weights of the elements and the pesticide</t>
        </r>
      </text>
    </comment>
    <comment ref="K1" authorId="0" shapeId="0" xr:uid="{C8A76C73-98A7-4499-859B-9D5AD58E06BB}">
      <text>
        <r>
          <rPr>
            <sz val="9"/>
            <color indexed="81"/>
            <rFont val="Tahoma"/>
            <family val="2"/>
          </rPr>
          <t>Low uncertainty as it is calculated from the
molecular weights of the elements and the pesticide</t>
        </r>
      </text>
    </comment>
    <comment ref="L1" authorId="0" shapeId="0" xr:uid="{27DA3229-2ED7-4BE0-B0EE-2A4ABD78DE90}">
      <text>
        <r>
          <rPr>
            <sz val="9"/>
            <color indexed="81"/>
            <rFont val="Tahoma"/>
            <family val="2"/>
          </rPr>
          <t>Low uncertainty as it is calculated from the
molecular weights of the elements and the pesticide</t>
        </r>
      </text>
    </comment>
    <comment ref="M1" authorId="0" shapeId="0" xr:uid="{5CC7F260-8820-4D2C-8D13-04CD2B85406A}">
      <text>
        <r>
          <rPr>
            <sz val="9"/>
            <color indexed="81"/>
            <rFont val="Tahoma"/>
            <family val="2"/>
          </rPr>
          <t>Low uncertainty as it is calculated from the
molecular weights of the elements and the pesticide</t>
        </r>
      </text>
    </comment>
    <comment ref="N1" authorId="0" shapeId="0" xr:uid="{5085B182-5952-4610-A7F9-5B69F177A6A6}">
      <text>
        <r>
          <rPr>
            <sz val="9"/>
            <color indexed="81"/>
            <rFont val="Tahoma"/>
            <family val="2"/>
          </rPr>
          <t>Low uncertainty as it is calculated from the
molecular weights of the elements and the pesticide</t>
        </r>
      </text>
    </comment>
    <comment ref="O1" authorId="0" shapeId="0" xr:uid="{BBE71D10-7002-413F-B70E-2F11802FE0B3}">
      <text>
        <r>
          <rPr>
            <sz val="9"/>
            <color indexed="81"/>
            <rFont val="Tahoma"/>
            <family val="2"/>
          </rPr>
          <t>Low uncertainty as it is calculated from the
molecular weights of the elements and the pesticide</t>
        </r>
      </text>
    </comment>
    <comment ref="P1" authorId="0" shapeId="0" xr:uid="{EF808F17-45D0-40E0-92E4-34179D6BAE7A}">
      <text>
        <r>
          <rPr>
            <sz val="9"/>
            <color indexed="81"/>
            <rFont val="Tahoma"/>
            <family val="2"/>
          </rPr>
          <t>Low uncertainty as it is calculated from the
molecular weights of the elements and the pesticide</t>
        </r>
      </text>
    </comment>
    <comment ref="Q1" authorId="0" shapeId="0" xr:uid="{1AB49D0B-86EE-4691-87F2-0A2EA7F92A08}">
      <text>
        <r>
          <rPr>
            <sz val="9"/>
            <color indexed="81"/>
            <rFont val="Tahoma"/>
            <family val="2"/>
          </rPr>
          <t>Low uncertainty as it is calculated from the
molecular weights of the elements and the pesticide</t>
        </r>
      </text>
    </comment>
    <comment ref="R1" authorId="0" shapeId="0" xr:uid="{CDE00685-6EA3-43CE-B587-E3D20EA81EC1}">
      <text>
        <r>
          <rPr>
            <sz val="9"/>
            <color indexed="81"/>
            <rFont val="Tahoma"/>
            <family val="2"/>
          </rPr>
          <t>Low uncertainty as it is calculated from the
molecular weights of the elements and the pesticide</t>
        </r>
      </text>
    </comment>
    <comment ref="S1" authorId="0" shapeId="0" xr:uid="{873BCF2B-FD75-44AC-9F7A-8330CF106B03}">
      <text>
        <r>
          <rPr>
            <sz val="9"/>
            <color indexed="81"/>
            <rFont val="Tahoma"/>
            <family val="2"/>
          </rPr>
          <t>Low uncertainty as it is calculated from the
molecular weights of the elements and the pesticide</t>
        </r>
      </text>
    </comment>
    <comment ref="C2" authorId="0" shapeId="0" xr:uid="{CC6B5A37-11FC-4273-9911-8E70BF19EE19}">
      <text>
        <r>
          <rPr>
            <sz val="9"/>
            <color indexed="81"/>
            <rFont val="Tahoma"/>
            <family val="2"/>
          </rPr>
          <t>https://pubchem.ncbi.nlm.nih.gov/compound/2_3_6-Trichlorobenzoic-acid#section=Acute-Effects
Oral, rat</t>
        </r>
      </text>
    </comment>
    <comment ref="D2" authorId="0" shapeId="0" xr:uid="{8C50DB5D-70A3-437F-AF27-F2BF2ED8492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G2" authorId="0" shapeId="0" xr:uid="{00000000-0006-0000-0B00-000001000000}">
      <text>
        <r>
          <rPr>
            <sz val="9"/>
            <color indexed="81"/>
            <rFont val="Tahoma"/>
            <family val="2"/>
          </rPr>
          <t>There are 18000 deaths per year, (Miller GT (2004), Sustaining the Earth, 6th edition. Thompson Learning, Inc. Pacific Grove, California. Chapter 9, Pages 211-216), and a total use of 3700000000 kg of pesticides per year (FAO https://www.fao.org/statistics/highlights-archive/highlights-detail/pesticides-use-and-trade-1990-2022/en). An average shortening of life expectancy of 35 years is assumed and the potency factor of the substance  is used to allocate part of the total effect to the particular substance.</t>
        </r>
      </text>
    </comment>
    <comment ref="H2" authorId="0" shapeId="0" xr:uid="{00000000-0006-0000-0B00-000002000000}">
      <text>
        <r>
          <rPr>
            <sz val="9"/>
            <color indexed="81"/>
            <rFont val="Tahoma"/>
            <family val="2"/>
          </rPr>
          <t>There are 3 million cases of severe poisoning per year in developing countries registred in health care, and possibly as much as 25 million not registred. A median of 9 is used here. ( J. Jeyaratnam, WORLD HEALTH STATISTICS QUARTERLY, Vol 43, No 3, 1990). A duration of the effects of 0.02 years (a week) is a ssumed. The total use of pesticides are  3700000000 kg of pesticides per year (FAO https://www.fao.org/statistics/highlights-archive/highlights-detail/pesticides-use-and-trade-1990-2022/en).
The potency factor of the substance  is used to allocate part of the total effect to the particular substance.</t>
        </r>
      </text>
    </comment>
    <comment ref="T2" authorId="0" shapeId="0" xr:uid="{00000000-0006-0000-0B00-000003000000}">
      <text>
        <r>
          <rPr>
            <sz val="9"/>
            <color indexed="81"/>
            <rFont val="Tahoma"/>
            <family val="2"/>
          </rPr>
          <t xml:space="preserve">Pesticides are responsible for 0.8382 % of the threat causes for redlisted species (IUCN 2014). The global use (=emission) of pesticides is 2360000000 kg/year.  The potency factor of the substance  is used to allocate part of the total effect to the particular substance.
</t>
        </r>
      </text>
    </comment>
    <comment ref="C3" authorId="0" shapeId="0" xr:uid="{39C8BE31-B207-4B7D-828D-42454EF471F4}">
      <text>
        <r>
          <rPr>
            <sz val="9"/>
            <color indexed="81"/>
            <rFont val="Tahoma"/>
            <family val="2"/>
          </rPr>
          <t xml:space="preserve">Oral, rat  "2,4-D". National Institute for Occupational Safety and Health. December 4, 2014. Retrieved February 26, 2015.
</t>
        </r>
      </text>
    </comment>
    <comment ref="D3" authorId="0" shapeId="0" xr:uid="{3976EB36-BDB4-4F12-9842-E0F8C453D58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 authorId="0" shapeId="0" xr:uid="{106E2C51-A5DD-408B-BA92-3906494386C2}">
      <text>
        <r>
          <rPr>
            <sz val="9"/>
            <color indexed="81"/>
            <rFont val="Tahoma"/>
            <family val="2"/>
          </rPr>
          <t xml:space="preserve">https://www.cdms.net/ldat/mp44N003.pdf
</t>
        </r>
      </text>
    </comment>
    <comment ref="D4" authorId="0" shapeId="0" xr:uid="{7D92DB28-CE5C-43C1-98D3-0830541FB33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 authorId="0" shapeId="0" xr:uid="{CA969980-7F01-4D8A-A071-AEE718607695}">
      <text>
        <r>
          <rPr>
            <sz val="9"/>
            <color indexed="81"/>
            <rFont val="Tahoma"/>
            <family val="2"/>
          </rPr>
          <t>https://pubchem.ncbi.nlm.nih.gov/compound/2-Naphthoxyacetic-acid#section=Toxicological-Information
accessed at 20251024
Oral intake, rat</t>
        </r>
      </text>
    </comment>
    <comment ref="D5" authorId="0" shapeId="0" xr:uid="{2EABB183-9E58-45AA-B37B-B27AB7EB87C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 authorId="0" shapeId="0" xr:uid="{B36BB59C-3386-4670-9B91-031D9E57F44E}">
      <text>
        <r>
          <rPr>
            <sz val="9"/>
            <color indexed="81"/>
            <rFont val="Tahoma"/>
            <family val="2"/>
          </rPr>
          <t xml:space="preserve">https://pubchem.ncbi.nlm.nih.gov/compound/7290#section=Acute-Effects. Accessed at 251024
Oral intake, rat
</t>
        </r>
      </text>
    </comment>
    <comment ref="D6" authorId="0" shapeId="0" xr:uid="{32C94A6C-322B-42E1-8790-72AEBC23C48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E6" authorId="0" shapeId="0" xr:uid="{0D616122-2255-4466-A3B0-8741ADAFADAA}">
      <text>
        <r>
          <rPr>
            <sz val="9"/>
            <color indexed="81"/>
            <rFont val="Tahoma"/>
            <family val="2"/>
          </rPr>
          <t xml:space="preserve">Possibly carcinogenic to human (IARC)
</t>
        </r>
      </text>
    </comment>
    <comment ref="C7" authorId="0" shapeId="0" xr:uid="{C7510EF1-83D4-4CCC-9337-E925CB584506}">
      <text>
        <r>
          <rPr>
            <sz val="9"/>
            <color indexed="81"/>
            <rFont val="Tahoma"/>
            <family val="2"/>
          </rPr>
          <t>Oral intake in rat
https://pubchem.ncbi.nlm.nih.gov/compound/4-Chlorophenoxy_acetic-acid#section=Acute-Effects
Accessed at 20251024</t>
        </r>
      </text>
    </comment>
    <comment ref="D7" authorId="0" shapeId="0" xr:uid="{4CEFFC60-7DE3-4254-A0EA-83FEFB8D926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 authorId="0" shapeId="0" xr:uid="{6C2B3937-54E9-4B1C-8A94-675A963DFBAD}">
      <text>
        <r>
          <rPr>
            <sz val="9"/>
            <color indexed="81"/>
            <rFont val="Tahoma"/>
            <family val="2"/>
          </rPr>
          <t xml:space="preserve">oral intake, rat
https://pubchem.ncbi.nlm.nih.gov/compound/Acephate#section=Acute-Effects
Accessed at 20251024
</t>
        </r>
      </text>
    </comment>
    <comment ref="D8" authorId="0" shapeId="0" xr:uid="{53A5A217-A83B-43F0-A515-E6C67937BBF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 authorId="0" shapeId="0" xr:uid="{B154674C-3FB6-4EB0-BFA9-EA2AFA53356F}">
      <text>
        <r>
          <rPr>
            <sz val="9"/>
            <color indexed="81"/>
            <rFont val="Tahoma"/>
            <family val="2"/>
          </rPr>
          <t>Oral intake, tar
https://pubchem.ncbi.nlm.nih.gov/compound/Acifluorfen#section=Acute-Effects
Accessed at 20251024</t>
        </r>
      </text>
    </comment>
    <comment ref="D9" authorId="0" shapeId="0" xr:uid="{5F02C7A6-DB4E-4944-81E9-C4EA4D1DBB3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 authorId="0" shapeId="0" xr:uid="{D6D3DDFE-556A-42E5-8F98-58A3633EFF2E}">
      <text>
        <r>
          <rPr>
            <sz val="9"/>
            <color indexed="81"/>
            <rFont val="Tahoma"/>
            <family val="2"/>
          </rPr>
          <t xml:space="preserve">Oral intake, rat
https://www.intersurfchem.net/intermediates/acrolein/
Accessed at 20251024
</t>
        </r>
      </text>
    </comment>
    <comment ref="D10" authorId="0" shapeId="0" xr:uid="{1E75B284-A931-4FC9-8D6F-2B7E62DE950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 authorId="0" shapeId="0" xr:uid="{B119EA64-489B-4B86-B68B-8556B8BC0CD9}">
      <text>
        <r>
          <rPr>
            <sz val="9"/>
            <color indexed="81"/>
            <rFont val="Tahoma"/>
            <family val="2"/>
          </rPr>
          <t>Oral intake, rat
https://pubchem.ncbi.nlm.nih.gov/compound/Alachlor#section=Acute-Effects
Accessed at 20251023</t>
        </r>
      </text>
    </comment>
    <comment ref="D11" authorId="0" shapeId="0" xr:uid="{E3F8F9E3-87E3-4070-BC29-A006EFAA23F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 authorId="0" shapeId="0" xr:uid="{159E2C5D-8EDA-48FC-A591-626E127304DE}">
      <text>
        <r>
          <rPr>
            <sz val="9"/>
            <color indexed="81"/>
            <rFont val="Tahoma"/>
            <family val="2"/>
          </rPr>
          <t>Oral intake, rat
https://www.chemsrc.com/en/cas/83130-01-2_403938.html
Accessed at 20251024</t>
        </r>
      </text>
    </comment>
    <comment ref="D12" authorId="0" shapeId="0" xr:uid="{3AED9967-C3D1-4DC9-A0A9-464164E19AC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 authorId="0" shapeId="0" xr:uid="{4CDCC27A-C486-4C3D-A7FC-FDD5B7FC3155}">
      <text>
        <r>
          <rPr>
            <sz val="9"/>
            <color indexed="81"/>
            <rFont val="Tahoma"/>
            <family val="2"/>
          </rPr>
          <t>Oral intake, rat
https://pmc.ncbi.nlm.nih.gov/articles/PMC7708594/
Accessed at 20251024</t>
        </r>
      </text>
    </comment>
    <comment ref="D13" authorId="0" shapeId="0" xr:uid="{E444EE87-CFF5-4437-BE43-9B9E4977CFD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 authorId="0" shapeId="0" xr:uid="{00000000-0006-0000-0B00-000004000000}">
      <text>
        <r>
          <rPr>
            <sz val="9"/>
            <color indexed="81"/>
            <rFont val="Tahoma"/>
            <family val="2"/>
          </rPr>
          <t>Oral intake rat
https://www.deanpestcontrol.com/wp-content/uploads/2017/12/MSDS-rich-d-trans-allethrin.pdf
Accessed at 20251024</t>
        </r>
      </text>
    </comment>
    <comment ref="D14" authorId="0" shapeId="0" xr:uid="{BA83992F-CDB5-4FF7-AE01-9ADF36272F6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 authorId="0" shapeId="0" xr:uid="{39D19DAF-28B4-4573-8189-4A53175F43C9}">
      <text>
        <r>
          <rPr>
            <sz val="9"/>
            <color indexed="81"/>
            <rFont val="Tahoma"/>
            <family val="2"/>
          </rPr>
          <t>Oral intake, rat
https://www.chembk.com/en/chem/Allyl%20alcohol
Accessed at 20251024</t>
        </r>
      </text>
    </comment>
    <comment ref="D15" authorId="0" shapeId="0" xr:uid="{2FF929DB-AF80-42CF-902A-3C065158D33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 authorId="0" shapeId="0" xr:uid="{00000000-0006-0000-0B00-000005000000}">
      <text>
        <r>
          <rPr>
            <sz val="9"/>
            <color indexed="81"/>
            <rFont val="Tahoma"/>
            <family val="2"/>
          </rPr>
          <t>c79, representing a range
Oral intake, rat
https://pubchem.ncbi.nlm.nih.gov/compound/alpha-cypermethrin#section=Acute-Effects
Accessed at 20251024</t>
        </r>
      </text>
    </comment>
    <comment ref="D16" authorId="0" shapeId="0" xr:uid="{7EF5D413-7932-418F-8F9B-689065988E3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 authorId="0" shapeId="0" xr:uid="{BCB3FC63-778A-4946-B893-A9B937C1654D}">
      <text>
        <r>
          <rPr>
            <sz val="9"/>
            <color indexed="81"/>
            <rFont val="Tahoma"/>
            <family val="2"/>
          </rPr>
          <t>oral intake, rat
https://pubchem.ncbi.nlm.nih.gov/compound/Ametryn#section=Acute-Effects
Accessed at 20251024</t>
        </r>
      </text>
    </comment>
    <comment ref="D17" authorId="0" shapeId="0" xr:uid="{A19E5FB6-89B1-4A09-A925-FFB18EB5938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 authorId="0" shapeId="0" xr:uid="{7F442633-4D7D-4D1A-BF3A-B9F97D5DD59B}">
      <text>
        <r>
          <rPr>
            <sz val="9"/>
            <color indexed="81"/>
            <rFont val="Tahoma"/>
            <family val="2"/>
          </rPr>
          <t>Oral intake, rat
https://parasitipedia.net/index.php?option=com_content&amp;view=article&amp;id=2690&amp;Itemid=2961
Accessed at 20251024</t>
        </r>
      </text>
    </comment>
    <comment ref="D18" authorId="0" shapeId="0" xr:uid="{946C0C5C-EDBB-4723-8FAE-6D95682C3FE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 authorId="0" shapeId="0" xr:uid="{46FCE090-0494-4692-A3CE-713AE1B7E44F}">
      <text>
        <r>
          <rPr>
            <sz val="9"/>
            <color indexed="81"/>
            <rFont val="Tahoma"/>
            <family val="2"/>
          </rPr>
          <t>oral intake, rat https://pubchem.ncbi.nlm.nih.gov/compound/Anilofos#section=Toxicity
Accessed at 20251024</t>
        </r>
      </text>
    </comment>
    <comment ref="D19" authorId="0" shapeId="0" xr:uid="{FF5B5B4B-0085-4471-B580-1995A464B3E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 authorId="0" shapeId="0" xr:uid="{22E508BE-ACBD-40B2-BFA7-34F57985836A}">
      <text>
        <r>
          <rPr>
            <sz val="9"/>
            <color indexed="81"/>
            <rFont val="Tahoma"/>
            <family val="2"/>
          </rPr>
          <t>oral intake, rat
https://pubchem.ncbi.nlm.nih.gov/compound/azaconazole#section=Toxicity
Accessedd at 20251024</t>
        </r>
      </text>
    </comment>
    <comment ref="D20" authorId="0" shapeId="0" xr:uid="{C68EE443-D67E-4360-A526-1A5D8EE92DC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 authorId="0" shapeId="0" xr:uid="{58362B2E-EF3A-4932-8F5C-299A282620F6}">
      <text>
        <r>
          <rPr>
            <sz val="9"/>
            <color indexed="81"/>
            <rFont val="Tahoma"/>
            <family val="2"/>
          </rPr>
          <t>Oral intake, rat
https://pubchem.ncbi.nlm.nih.gov/compound/Azamethiphos#section=Acute-Effects
Accessed at 20251024</t>
        </r>
      </text>
    </comment>
    <comment ref="D21" authorId="0" shapeId="0" xr:uid="{1960DC98-E28D-463B-A2ED-A84318F0571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 authorId="0" shapeId="0" xr:uid="{28A92512-944C-4583-8C6C-E8582D67F6E3}">
      <text>
        <r>
          <rPr>
            <sz val="9"/>
            <color indexed="81"/>
            <rFont val="Tahoma"/>
            <family val="2"/>
          </rPr>
          <t>oral intake, rat
https://pubchem.ncbi.nlm.nih.gov/compound/Azinphos-ethyl#section=Adverse-Effects
Accessrd at 20251024</t>
        </r>
      </text>
    </comment>
    <comment ref="D22" authorId="0" shapeId="0" xr:uid="{79639E79-3236-4486-BDC2-2B600B2C158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 authorId="0" shapeId="0" xr:uid="{21BEF28E-2F94-4079-929A-3932482B591E}">
      <text>
        <r>
          <rPr>
            <sz val="9"/>
            <color indexed="81"/>
            <rFont val="Tahoma"/>
            <family val="2"/>
          </rPr>
          <t xml:space="preserve">Oral intake, rat
https://www.osha.gov/sites/default/files/methods/osha-pv2087.pdf
Accessed at 20251024
</t>
        </r>
      </text>
    </comment>
    <comment ref="D23" authorId="0" shapeId="0" xr:uid="{4B38F84A-93CC-4ECB-88C5-E474587D0E4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 authorId="0" shapeId="0" xr:uid="{963C243A-FB07-450F-A294-85E318985055}">
      <text>
        <r>
          <rPr>
            <sz val="9"/>
            <color indexed="81"/>
            <rFont val="Tahoma"/>
            <family val="2"/>
          </rPr>
          <t>oral intake, rat
https://pubchem.ncbi.nlm.nih.gov/compound/Azocyclotin
Accessed at 20251024</t>
        </r>
      </text>
    </comment>
    <comment ref="D24" authorId="0" shapeId="0" xr:uid="{9919D1A3-3E2E-496F-B07C-4D53A40B8FD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 authorId="0" shapeId="0" xr:uid="{B8F68F3A-8EA8-4659-89E9-BF32EF672F41}">
      <text>
        <r>
          <rPr>
            <sz val="9"/>
            <color indexed="81"/>
            <rFont val="Tahoma"/>
            <family val="2"/>
          </rPr>
          <t>Varies from 34 to 135 mg/kg for rats. Is 35 for guinea pigs and 35-40 for rabbits. https://www.npic.orst.edu/factsheets/archive/bendiotech.pdf</t>
        </r>
      </text>
    </comment>
    <comment ref="D25" authorId="0" shapeId="0" xr:uid="{9A9D3BBD-12BC-455C-989A-9FBAF1D5DC4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 authorId="0" shapeId="0" xr:uid="{862835D4-54E5-4B85-A3D4-9D66061378DE}">
      <text>
        <r>
          <rPr>
            <sz val="9"/>
            <color indexed="81"/>
            <rFont val="Tahoma"/>
            <family val="2"/>
          </rPr>
          <t xml:space="preserve">Oral, rat
https://www.sigmaaldrich.com/SE/en/sds/SIAL/31544?userType=undefined
</t>
        </r>
      </text>
    </comment>
    <comment ref="D26" authorId="0" shapeId="0" xr:uid="{23E9B68D-CEC1-4000-ABCB-340E8B7DA76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 authorId="0" shapeId="0" xr:uid="{0658C748-D3BD-4208-86BF-D0012669C87F}">
      <text>
        <r>
          <rPr>
            <sz val="9"/>
            <color indexed="81"/>
            <rFont val="Tahoma"/>
            <family val="2"/>
          </rPr>
          <t xml:space="preserve">https://pnwhandbooks.org/node/8103/print
</t>
        </r>
      </text>
    </comment>
    <comment ref="D27" authorId="0" shapeId="0" xr:uid="{03614356-97D3-4514-BB7E-09BB1ABD75B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 authorId="0" shapeId="0" xr:uid="{647FA3F2-6B77-406B-806C-2FE1D49A677F}">
      <text>
        <r>
          <rPr>
            <sz val="9"/>
            <color indexed="81"/>
            <rFont val="Tahoma"/>
            <family val="2"/>
          </rPr>
          <t xml:space="preserve">oral, rat
https://www.chemsrc.com/en/cas/17606-31-4_402139.html
</t>
        </r>
      </text>
    </comment>
    <comment ref="D28" authorId="0" shapeId="0" xr:uid="{AF81877A-00AD-4C2C-9EB4-AD7BB4EFCBC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 authorId="0" shapeId="0" xr:uid="{C8E5C63A-4E31-448D-87C6-B65E224BD5C6}">
      <text>
        <r>
          <rPr>
            <sz val="9"/>
            <color indexed="81"/>
            <rFont val="Tahoma"/>
            <family val="2"/>
          </rPr>
          <t xml:space="preserve">oral, rat
https://www.fao.org/fileadmin/templates/agphome/documents/Pests_Pesticides/JMPR/Report12/Bentazone.pdf
</t>
        </r>
      </text>
    </comment>
    <comment ref="D29" authorId="0" shapeId="0" xr:uid="{5B1E8AD9-5932-4164-A7C5-B7B279A3F63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0" authorId="0" shapeId="0" xr:uid="{F401344D-35E7-4FA2-AB83-61DEA67B5D3E}">
      <text>
        <r>
          <rPr>
            <sz val="9"/>
            <color indexed="81"/>
            <rFont val="Tahoma"/>
            <family val="2"/>
          </rPr>
          <t>11 - 651 mg/kg for rat, depending on adminstration
https://openknowledge.fao.org/server/api/core/bitstreams/70a59985-2133-4935-8753-e5885faf40e0/content</t>
        </r>
      </text>
    </comment>
    <comment ref="D30" authorId="0" shapeId="0" xr:uid="{8608BDC1-D0C0-4E8B-B770-A0B061EFEE5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1" authorId="0" shapeId="0" xr:uid="{00000000-0006-0000-0B00-000006000000}">
      <text>
        <r>
          <rPr>
            <sz val="9"/>
            <color indexed="81"/>
            <rFont val="Tahoma"/>
            <family val="2"/>
          </rPr>
          <t xml:space="preserve">53-210 mg/kg oral for rats
https://www.npic.orst.edu/factsheets/archive/biftech.html#acute
</t>
        </r>
      </text>
    </comment>
    <comment ref="D31" authorId="0" shapeId="0" xr:uid="{E9692F89-E5F9-4BE3-9258-E63382097FF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2" authorId="0" shapeId="0" xr:uid="{7801D7F5-E154-451E-BF8D-D4DD6AFFF408}">
      <text>
        <r>
          <rPr>
            <sz val="9"/>
            <color indexed="81"/>
            <rFont val="Tahoma"/>
            <family val="2"/>
          </rPr>
          <t>LD50 for male and female rats are 268 and 404 mg/kg, rspectively
Hayes' Handbook of Pesticide Toxicology (Third Edition) 
2010, chapter 3</t>
        </r>
      </text>
    </comment>
    <comment ref="D32" authorId="0" shapeId="0" xr:uid="{2786755B-FF56-4BF3-8DA6-0B3AAE1C82C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3" authorId="0" shapeId="0" xr:uid="{00000000-0006-0000-0B00-000007000000}">
      <text>
        <r>
          <rPr>
            <sz val="9"/>
            <color indexed="81"/>
            <rFont val="Tahoma"/>
            <family val="2"/>
          </rPr>
          <t xml:space="preserve">Rat, oral
https://pubchem.ncbi.nlm.nih.gov/compound/bioallethrin#section=Acute-Effects
</t>
        </r>
      </text>
    </comment>
    <comment ref="D33" authorId="0" shapeId="0" xr:uid="{37364660-0D86-4B10-8D21-F26AA6CF04D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4" authorId="0" shapeId="0" xr:uid="{BF2CA971-7A0C-4C67-8847-B97A0F0A81B7}">
      <text>
        <r>
          <rPr>
            <sz val="9"/>
            <color indexed="81"/>
            <rFont val="Tahoma"/>
            <family val="2"/>
          </rPr>
          <t xml:space="preserve">oral, rat
https://pubchem.ncbi.nlm.nih.gov/compound/Blasticidin-S#section=Non-Human-Toxicity-Values
</t>
        </r>
      </text>
    </comment>
    <comment ref="D34" authorId="0" shapeId="0" xr:uid="{2E8C6D43-B7DE-47BD-962F-81F1EF14870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5" authorId="0" shapeId="0" xr:uid="{50A1EE44-EC7D-413E-AD4C-4F8BC3491D89}">
      <text>
        <r>
          <rPr>
            <sz val="9"/>
            <color indexed="81"/>
            <rFont val="Tahoma"/>
            <family val="2"/>
          </rPr>
          <t xml:space="preserve">oral rat, 0.37-0.68
https://inchem.org/documents/pims/chemical/pim077.htm#SubSectionTitle:7.2.2%20%20Relevant%20animal%20data
</t>
        </r>
      </text>
    </comment>
    <comment ref="D35" authorId="0" shapeId="0" xr:uid="{E5671E88-2718-48C5-B143-FA382A927F9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6" authorId="0" shapeId="0" xr:uid="{9E4E34A4-F2BB-4F65-B3C9-C5F7831CDDBF}">
      <text>
        <r>
          <rPr>
            <sz val="9"/>
            <color indexed="81"/>
            <rFont val="Tahoma"/>
            <family val="2"/>
          </rPr>
          <t xml:space="preserve">oral, rat
https://inchem.org/documents/hsg/hsg/hsg094.htm
</t>
        </r>
      </text>
    </comment>
    <comment ref="D36" authorId="0" shapeId="0" xr:uid="{E58A9A0C-DCFC-4C76-AD4F-657411ACEA4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7" authorId="0" shapeId="0" xr:uid="{29D56357-4B88-4BDF-8F3F-0628CC293221}">
      <text>
        <r>
          <rPr>
            <sz val="9"/>
            <color indexed="81"/>
            <rFont val="Tahoma"/>
            <family val="2"/>
          </rPr>
          <t xml:space="preserve">oral, rat 
9.9 mg/kg acute toxicity
https://www.aphis.usda.gov/sites/default/files/32-bromethalin.pdf
</t>
        </r>
      </text>
    </comment>
    <comment ref="D37" authorId="0" shapeId="0" xr:uid="{1FFB3813-63C4-4919-BA89-1F423A941A0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8" authorId="0" shapeId="0" xr:uid="{FDB5658B-281A-44DE-BAFA-3190AB71899C}">
      <text>
        <r>
          <rPr>
            <sz val="9"/>
            <color indexed="81"/>
            <rFont val="Tahoma"/>
            <family val="2"/>
          </rPr>
          <t xml:space="preserve">Oral, rat
https://cdn.nufarm.com/wp-content/uploads/sites/22/2024/03/05113125/NU0CZ-BROMOXYNIL-200-SELECTIVE-HERBICIDE-3.pdf
</t>
        </r>
      </text>
    </comment>
    <comment ref="D38" authorId="0" shapeId="0" xr:uid="{D9EB7460-16CF-4B86-84BD-52F18D7F118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9" authorId="0" shapeId="0" xr:uid="{B9B37BE8-70B1-4620-A2AF-63B6B62BD1B3}">
      <text>
        <r>
          <rPr>
            <sz val="9"/>
            <color indexed="81"/>
            <rFont val="Tahoma"/>
            <family val="2"/>
          </rPr>
          <t xml:space="preserve">oral, rat
https://pubchem.ncbi.nlm.nih.gov/compound/bromuconazole#section=Acute-Effects
</t>
        </r>
      </text>
    </comment>
    <comment ref="D39" authorId="0" shapeId="0" xr:uid="{282BDE7D-12FB-41FE-90B0-70B98B1D7EE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0" authorId="0" shapeId="0" xr:uid="{C59E1BD9-974E-43F4-ABDB-54C07F0B02E4}">
      <text>
        <r>
          <rPr>
            <sz val="9"/>
            <color indexed="81"/>
            <rFont val="Tahoma"/>
            <family val="2"/>
          </rPr>
          <t xml:space="preserve">oral, rat
https://www.chemicalbook.com/msds/bronopol.pdf
</t>
        </r>
      </text>
    </comment>
    <comment ref="D40" authorId="0" shapeId="0" xr:uid="{9F9E08BF-21C5-4E72-8424-ECED2510620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1" authorId="0" shapeId="0" xr:uid="{9D593572-CFBA-41FC-AD36-BB5D3DF38422}">
      <text>
        <r>
          <rPr>
            <sz val="9"/>
            <color indexed="81"/>
            <rFont val="Tahoma"/>
            <family val="2"/>
          </rPr>
          <t xml:space="preserve">oral, rat
https://pubchem.ncbi.nlm.nih.gov/compound/Butamifos#section=Toxicity
</t>
        </r>
      </text>
    </comment>
    <comment ref="D41" authorId="0" shapeId="0" xr:uid="{28693276-572B-4C2D-B670-E1251103DC3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2" authorId="0" shapeId="0" xr:uid="{7892BB64-A19F-49CD-BB2B-2815A66F33E9}">
      <text>
        <r>
          <rPr>
            <sz val="9"/>
            <color indexed="81"/>
            <rFont val="Tahoma"/>
            <family val="2"/>
          </rPr>
          <t xml:space="preserve">oral, rat
https://pubchem.ncbi.nlm.nih.gov/compound/butocarboxim#section=Acute-Effects
</t>
        </r>
      </text>
    </comment>
    <comment ref="D42" authorId="0" shapeId="0" xr:uid="{BFC0A06F-ED27-4784-AC68-32F36C5EB1A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3" authorId="0" shapeId="0" xr:uid="{00000000-0006-0000-0B00-000008000000}">
      <text>
        <r>
          <rPr>
            <sz val="9"/>
            <color indexed="81"/>
            <rFont val="Tahoma"/>
            <family val="2"/>
          </rPr>
          <t>oral, rat
https://pubchem.ncbi.nlm.nih.gov/compound/Butoxycarboxim#section=Acute-Effects</t>
        </r>
      </text>
    </comment>
    <comment ref="D43" authorId="0" shapeId="0" xr:uid="{C70E5BFF-D91F-4DD0-B471-04FB1DE6325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4" authorId="0" shapeId="0" xr:uid="{40A2A003-830D-4A6D-AE1E-270A543E0297}">
      <text>
        <r>
          <rPr>
            <sz val="9"/>
            <color indexed="81"/>
            <rFont val="Tahoma"/>
            <family val="2"/>
          </rPr>
          <t>oral, rat
https://pubchem.ncbi.nlm.nih.gov/compound/butralin#section=Acute-Effects</t>
        </r>
      </text>
    </comment>
    <comment ref="D44" authorId="0" shapeId="0" xr:uid="{5D06F64D-4B5A-4EC7-B7AA-BAC0C7A49B8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5" authorId="0" shapeId="0" xr:uid="{B3F58EE7-9F6B-4E3B-9FF0-7F749D36D262}">
      <text>
        <r>
          <rPr>
            <sz val="9"/>
            <color indexed="81"/>
            <rFont val="Tahoma"/>
            <family val="2"/>
          </rPr>
          <t xml:space="preserve">oral, rat
https://www.hpc-standards.com/shop/ReferenceMaterials/Pesticides/Butroxydim.htm
</t>
        </r>
      </text>
    </comment>
    <comment ref="D45" authorId="0" shapeId="0" xr:uid="{0749ADD3-A4D0-4A7B-8011-E37C139822E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6" authorId="0" shapeId="0" xr:uid="{3A2A50F7-ABC6-4BD2-AD9B-6E969FD021CB}">
      <text>
        <r>
          <rPr>
            <sz val="9"/>
            <color indexed="81"/>
            <rFont val="Tahoma"/>
            <family val="2"/>
          </rPr>
          <t xml:space="preserve">oral, rat
https://www.sigmaaldrich.com/SE/en/sds/sial/471305?userType=undefined
</t>
        </r>
      </text>
    </comment>
    <comment ref="D46" authorId="0" shapeId="0" xr:uid="{A9D35423-CDA7-4B25-A99B-7D8CB0526E4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7" authorId="0" shapeId="0" xr:uid="{F62B311E-22DD-4AFB-A5FA-B0D615905145}">
      <text>
        <r>
          <rPr>
            <sz val="9"/>
            <color indexed="81"/>
            <rFont val="Tahoma"/>
            <family val="2"/>
          </rPr>
          <t xml:space="preserve">oral, rat 30–131 mg/kg
https://www.fao.org/fileadmin/templates/agphome/documents/Pests_Pesticides/JMPR/Report09/Cadusafos.pdf
</t>
        </r>
      </text>
    </comment>
    <comment ref="D47" authorId="0" shapeId="0" xr:uid="{81DC853D-177C-4193-927A-35B96C9213E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48" authorId="0" shapeId="0" xr:uid="{9074C116-6FCB-44EC-8236-9758AADC64D8}">
      <text>
        <r>
          <rPr>
            <sz val="9"/>
            <color indexed="81"/>
            <rFont val="Tahoma"/>
            <family val="2"/>
          </rPr>
          <t xml:space="preserve">oral. Rat
https://pubchem.ncbi.nlm.nih.gov/compound/Calcium-arsenate#section=Acute-Effects
</t>
        </r>
      </text>
    </comment>
    <comment ref="D48" authorId="0" shapeId="0" xr:uid="{0F5BFEDC-195D-4DA7-93B4-0A728C1A601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I48" authorId="0" shapeId="0" xr:uid="{4D53DF68-70DC-48C0-9E25-F4D86A67E546}">
      <text>
        <r>
          <rPr>
            <sz val="9"/>
            <color indexed="81"/>
            <rFont val="Tahoma"/>
            <family val="2"/>
          </rPr>
          <t>Ca3(AsO4)2</t>
        </r>
      </text>
    </comment>
    <comment ref="C49" authorId="0" shapeId="0" xr:uid="{6D70510F-526A-4F18-A5A6-2194B8C99254}">
      <text>
        <r>
          <rPr>
            <sz val="9"/>
            <color indexed="81"/>
            <rFont val="Tahoma"/>
            <family val="2"/>
          </rPr>
          <t xml:space="preserve">oral, rat
https://pubchem.ncbi.nlm.nih.gov/compound/Calcium-cyanide#section=Non-Human-Toxicity-Values
</t>
        </r>
      </text>
    </comment>
    <comment ref="D49" authorId="0" shapeId="0" xr:uid="{DE9BE19E-7C79-4E6B-9A84-848288A3409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0" authorId="0" shapeId="0" xr:uid="{B7F1F48C-2EBC-4EBF-8BC6-50FF76AB7DDC}">
      <text>
        <r>
          <rPr>
            <sz val="9"/>
            <color indexed="81"/>
            <rFont val="Tahoma"/>
            <family val="2"/>
          </rPr>
          <t>oral, rat 5,000-6,200 mg/kg
https://pubchem.ncbi.nlm.nih.gov/compound/Captafol#section=Non-Human-Toxicity-Values</t>
        </r>
      </text>
    </comment>
    <comment ref="D50" authorId="0" shapeId="0" xr:uid="{33C831D5-6BB7-423A-9247-C5C9D6978F4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1" authorId="0" shapeId="0" xr:uid="{00000000-0006-0000-0B00-000009000000}">
      <text>
        <r>
          <rPr>
            <sz val="9"/>
            <color indexed="81"/>
            <rFont val="Tahoma"/>
            <family val="2"/>
          </rPr>
          <t xml:space="preserve">oral, rat 
https://www.npic.orst.edu/factsheets/archive/carbtech.pdf
</t>
        </r>
      </text>
    </comment>
    <comment ref="D51" authorId="0" shapeId="0" xr:uid="{20FC3044-A759-4DB2-953E-DF5F13FF18F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2" authorId="0" shapeId="0" xr:uid="{C070671C-5E91-44E2-8EB0-2562224EE3BB}">
      <text>
        <r>
          <rPr>
            <sz val="9"/>
            <color indexed="81"/>
            <rFont val="Tahoma"/>
            <family val="2"/>
          </rPr>
          <t>oral, rat
https://pubchem.ncbi.nlm.nih.gov/compound/carbofuran#section=Acute-Effects</t>
        </r>
      </text>
    </comment>
    <comment ref="D52" authorId="0" shapeId="0" xr:uid="{563AFEC0-0AE6-46D9-ACFF-6BA5991B24E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3" authorId="0" shapeId="0" xr:uid="{EE33BF5E-EACB-403D-A95F-E50352296E03}">
      <text>
        <r>
          <rPr>
            <sz val="9"/>
            <color indexed="81"/>
            <rFont val="Tahoma"/>
            <family val="2"/>
          </rPr>
          <t xml:space="preserve">90-250 mg/kg bw, oral for rat.
https://www.fao.org/4/y5221e/y5221e08.htm
</t>
        </r>
      </text>
    </comment>
    <comment ref="D53" authorId="0" shapeId="0" xr:uid="{ADE29BA2-D7DC-4FC5-83E9-1F4B5EBCE63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4" authorId="0" shapeId="0" xr:uid="{2C2D3742-BEF5-40D0-8DE2-3C9DA7095AAB}">
      <text>
        <r>
          <rPr>
            <sz val="9"/>
            <color indexed="81"/>
            <rFont val="Tahoma"/>
            <family val="2"/>
          </rPr>
          <t xml:space="preserve">oral, rat https://pubchem.ncbi.nlm.nih.gov/compound/Cartap-hydrochloride#section=Adverse-Effects
</t>
        </r>
      </text>
    </comment>
    <comment ref="D54" authorId="0" shapeId="0" xr:uid="{ED9FE764-7B37-4C2D-A915-F656F1CBF41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5" authorId="0" shapeId="0" xr:uid="{F1C5ADB0-AC80-401E-8546-578F4C5A56FB}">
      <text>
        <r>
          <rPr>
            <sz val="9"/>
            <color indexed="81"/>
            <rFont val="Tahoma"/>
            <family val="2"/>
          </rPr>
          <t xml:space="preserve">oral, female rat
https://www.sigmaaldrich.com/SE/en/sds/SIGMA/C0128?userType=undefined
</t>
        </r>
      </text>
    </comment>
    <comment ref="D55" authorId="0" shapeId="0" xr:uid="{89F8D474-CC5D-4150-B8DA-FCC145E67C0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A56" authorId="0" shapeId="0" xr:uid="{4FE6248B-02BE-4038-B758-5B2030533494}">
      <text>
        <r>
          <rPr>
            <sz val="9"/>
            <color indexed="81"/>
            <rFont val="Tahoma"/>
            <family val="2"/>
          </rPr>
          <t xml:space="preserve">refers to trans-chlordane
</t>
        </r>
      </text>
    </comment>
    <comment ref="C56" authorId="0" shapeId="0" xr:uid="{A53A44E4-DA10-42D0-B3B3-ED6AE4A2DAA5}">
      <text>
        <r>
          <rPr>
            <sz val="9"/>
            <color indexed="81"/>
            <rFont val="Tahoma"/>
            <family val="2"/>
          </rPr>
          <t xml:space="preserve">oral, rat
https://pubchem.ncbi.nlm.nih.gov/compound/trans-Chlordane#section=Adverse-Effects
</t>
        </r>
      </text>
    </comment>
    <comment ref="D56" authorId="0" shapeId="0" xr:uid="{FF403D66-4E23-40CE-904D-DD1F6D83582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7" authorId="0" shapeId="0" xr:uid="{10F71D7B-685D-4C55-A441-6235B1050164}">
      <text>
        <r>
          <rPr>
            <sz val="9"/>
            <color indexed="81"/>
            <rFont val="Tahoma"/>
            <family val="2"/>
          </rPr>
          <t xml:space="preserve">oral, rat
https://pubchem.ncbi.nlm.nih.gov/compound/Chlorethoxyfos#section=Acute-Effects
</t>
        </r>
      </text>
    </comment>
    <comment ref="D57" authorId="0" shapeId="0" xr:uid="{D5FDED11-78BC-4A3D-88D3-A8766AF4AAF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8" authorId="0" shapeId="0" xr:uid="{5BC61F11-7C77-45E9-940A-F1FBD7FE417C}">
      <text>
        <r>
          <rPr>
            <sz val="9"/>
            <color indexed="81"/>
            <rFont val="Tahoma"/>
            <family val="2"/>
          </rPr>
          <t xml:space="preserve">oral, rat
https://www.fao.org/fileadmin/templates/agphome/documents/Pests_Pesticides/JMPR/Report12/Chlorfenapyr.pdf
</t>
        </r>
      </text>
    </comment>
    <comment ref="D58" authorId="0" shapeId="0" xr:uid="{9A9F91BE-01E0-42E5-B41E-4035E6A2617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59" authorId="0" shapeId="0" xr:uid="{01EBAA24-20F9-4BE4-9D06-2629C7EBE701}">
      <text>
        <r>
          <rPr>
            <sz val="9"/>
            <color indexed="81"/>
            <rFont val="Tahoma"/>
            <family val="2"/>
          </rPr>
          <t xml:space="preserve">oral, rat
https://www.atsdr.cdc.gov/ToxProfiles/tp83-c2.pdf
</t>
        </r>
      </text>
    </comment>
    <comment ref="D59" authorId="0" shapeId="0" xr:uid="{F40129D9-4030-4237-9BA8-9A12A06B51F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0" authorId="0" shapeId="0" xr:uid="{F77429FC-1AFC-46ED-A4AF-F323344EAB4F}">
      <text>
        <r>
          <rPr>
            <sz val="9"/>
            <color indexed="81"/>
            <rFont val="Tahoma"/>
            <family val="2"/>
          </rPr>
          <t xml:space="preserve">oral, rat
https://pubchem.ncbi.nlm.nih.gov/compound/chlormephos#section=Acute-Effects
</t>
        </r>
      </text>
    </comment>
    <comment ref="D60" authorId="0" shapeId="0" xr:uid="{38481674-D3EC-494F-B4B7-9BEB542EA1E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1" authorId="0" shapeId="0" xr:uid="{9D8D235A-7747-4283-889E-648932276363}">
      <text>
        <r>
          <rPr>
            <sz val="9"/>
            <color indexed="81"/>
            <rFont val="Tahoma"/>
            <family val="2"/>
          </rPr>
          <t xml:space="preserve">oral, rat
https://www.fao.org/fileadmin/templates/agphome/documents/Pests_Pesticides/JMPR/Report2017/5.6_CHLORMEQUAT__015_.pdf
</t>
        </r>
      </text>
    </comment>
    <comment ref="D61" authorId="0" shapeId="0" xr:uid="{4C609E05-A50C-47D6-B787-B429D605420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2" authorId="0" shapeId="0" xr:uid="{F1FF5142-D659-4BA3-9B50-9C4C09E74BDB}">
      <text>
        <r>
          <rPr>
            <sz val="9"/>
            <color indexed="81"/>
            <rFont val="Tahoma"/>
            <family val="2"/>
          </rPr>
          <t xml:space="preserve">oral, rat
https://www.sigmaaldrich.com/SE/en/sds/sial/402923?userType=undefined
</t>
        </r>
      </text>
    </comment>
    <comment ref="D62" authorId="0" shapeId="0" xr:uid="{BC4FD6CA-D32B-4D35-B9D5-EEA25B3AF6A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3" authorId="0" shapeId="0" xr:uid="{E846F3C9-E199-402D-B462-13DEB52AC954}">
      <text>
        <r>
          <rPr>
            <sz val="9"/>
            <color indexed="81"/>
            <rFont val="Tahoma"/>
            <family val="2"/>
          </rPr>
          <t xml:space="preserve">oral, rat
https://pubchem.ncbi.nlm.nih.gov/compound/chlorophacinone#section=Acute-Effects
</t>
        </r>
      </text>
    </comment>
    <comment ref="D63" authorId="0" shapeId="0" xr:uid="{F608EDAD-1583-414B-AA1C-2A2DF776702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4" authorId="0" shapeId="0" xr:uid="{B01ADDA8-61CE-458F-80D7-84785B192B13}">
      <text>
        <r>
          <rPr>
            <sz val="9"/>
            <color indexed="81"/>
            <rFont val="Tahoma"/>
            <family val="2"/>
          </rPr>
          <t xml:space="preserve">oral, rat
http://www.wppdb.com/chlorphonium-chloride_1562.htm
</t>
        </r>
      </text>
    </comment>
    <comment ref="D64" authorId="0" shapeId="0" xr:uid="{D21BC667-18ED-4053-91EE-FD58C72D951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5" authorId="0" shapeId="0" xr:uid="{FCC69F6F-434F-452F-B2AC-296FC723FD97}">
      <text>
        <r>
          <rPr>
            <sz val="9"/>
            <color indexed="81"/>
            <rFont val="Tahoma"/>
            <family val="2"/>
          </rPr>
          <t xml:space="preserve">oral, rat
https://www.fao.org/fileadmin/templates/agphome/documents/Pests_Pesticides/Specs/Chlorpyrifos_2015_08.pdf
</t>
        </r>
      </text>
    </comment>
    <comment ref="D65" authorId="0" shapeId="0" xr:uid="{4EA0221A-56AE-4494-9F9A-01A22748DB1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6" authorId="0" shapeId="0" xr:uid="{49373A0D-AD95-4682-B52F-1E7A327DE834}">
      <text>
        <r>
          <rPr>
            <sz val="9"/>
            <color indexed="81"/>
            <rFont val="Tahoma"/>
            <family val="2"/>
          </rPr>
          <t>oral, female rat
https://archive.epa.gov/oppsrrd1/registration_review/web/pdf/clomazone_summary.pdf</t>
        </r>
      </text>
    </comment>
    <comment ref="D66" authorId="0" shapeId="0" xr:uid="{AC27D856-DD05-42F7-9FCC-DFD593B8B16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7" authorId="0" shapeId="0" xr:uid="{FC6F979E-F9BA-4F54-8D1C-27778D4237DD}">
      <text>
        <r>
          <rPr>
            <sz val="9"/>
            <color indexed="81"/>
            <rFont val="Tahoma"/>
            <family val="2"/>
          </rPr>
          <t>oral, rat,489 mg/kg according to
The European Chemicals Agency (ECHA)</t>
        </r>
      </text>
    </comment>
    <comment ref="D67" authorId="0" shapeId="0" xr:uid="{746CD357-2284-4819-A049-51018446504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A68" authorId="0" shapeId="0" xr:uid="{00000000-0006-0000-0B00-00000A000000}">
      <text>
        <r>
          <rPr>
            <sz val="9"/>
            <color indexed="81"/>
            <rFont val="Tahoma"/>
            <family val="2"/>
          </rPr>
          <t xml:space="preserve">3Cu(OH)2.CuCl2
</t>
        </r>
      </text>
    </comment>
    <comment ref="C68" authorId="0" shapeId="0" xr:uid="{AD1A2F53-0CB9-41A5-AB3D-2963D35C5B68}">
      <text>
        <r>
          <rPr>
            <sz val="9"/>
            <color indexed="81"/>
            <rFont val="Tahoma"/>
            <family val="2"/>
          </rPr>
          <t xml:space="preserve">oral, rat. Derived from
https://labelsds.com/images/user_uploads/Canada%20Univar%20Copper%20OxyCl%20MSDS%209-2-11.pdf
</t>
        </r>
      </text>
    </comment>
    <comment ref="D68" authorId="0" shapeId="0" xr:uid="{A4C0F826-0CD2-462F-B5D6-0223AF8AF42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69" authorId="0" shapeId="0" xr:uid="{63918E3C-2510-4C32-9685-6AE7E27E2E70}">
      <text>
        <r>
          <rPr>
            <sz val="9"/>
            <color indexed="81"/>
            <rFont val="Tahoma"/>
            <family val="2"/>
          </rPr>
          <t xml:space="preserve">oral, rat
https://www.chemicalbook.com/msds/copper-ii-sulfate.htm
</t>
        </r>
      </text>
    </comment>
    <comment ref="D69" authorId="0" shapeId="0" xr:uid="{79CBD197-EE80-436D-8A31-E80D77F8C36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0" authorId="0" shapeId="0" xr:uid="{4F2D13ED-984C-4277-B422-8433B77782A0}">
      <text>
        <r>
          <rPr>
            <sz val="9"/>
            <color indexed="81"/>
            <rFont val="Tahoma"/>
            <family val="2"/>
          </rPr>
          <t xml:space="preserve">oral, rat
https://pubchem.ncbi.nlm.nih.gov/compound/coumaphos#section=Acute-Effects
</t>
        </r>
      </text>
    </comment>
    <comment ref="D70" authorId="0" shapeId="0" xr:uid="{7AC57A8D-891F-4890-8683-94D9C3C2BDE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1" authorId="0" shapeId="0" xr:uid="{0EA3E931-5570-4DC1-92F1-E3DC6E557A3C}">
      <text>
        <r>
          <rPr>
            <sz val="9"/>
            <color indexed="81"/>
            <rFont val="Tahoma"/>
            <family val="2"/>
          </rPr>
          <t xml:space="preserve">oral, rat
https://pubchem.ncbi.nlm.nih.gov/compound/coumatetralyl#section=Acute-Effects
</t>
        </r>
      </text>
    </comment>
    <comment ref="D71" authorId="0" shapeId="0" xr:uid="{BFB4B629-6350-404C-9F66-D5A413BBA9A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2" authorId="0" shapeId="0" xr:uid="{CEBED58A-45B6-44AC-B67C-BD86840FE382}">
      <text>
        <r>
          <rPr>
            <sz val="9"/>
            <color indexed="81"/>
            <rFont val="Tahoma"/>
            <family val="2"/>
          </rPr>
          <t xml:space="preserve">oral, rat
https://www.chemicalbook.com/msds/cuprous-oxide.htm
</t>
        </r>
      </text>
    </comment>
    <comment ref="D72" authorId="0" shapeId="0" xr:uid="{F6CED5A0-218E-4CC5-8E5D-2DCCACB3E95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3" authorId="0" shapeId="0" xr:uid="{89910D21-FFF3-4646-88AE-5CDF4BEACF21}">
      <text>
        <r>
          <rPr>
            <sz val="9"/>
            <color indexed="81"/>
            <rFont val="Tahoma"/>
            <family val="2"/>
          </rPr>
          <t xml:space="preserve">oral, rat
https://www.sigmaaldrich.com/SE/en/sds/SIAL/45407?userType=undefined
</t>
        </r>
      </text>
    </comment>
    <comment ref="D73" authorId="0" shapeId="0" xr:uid="{13373780-0DA2-4AA7-B333-53629243BBA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4" authorId="0" shapeId="0" xr:uid="{37323B6B-BE4A-44AD-B0C9-0ABEBAACA00D}">
      <text>
        <r>
          <rPr>
            <sz val="9"/>
            <color indexed="81"/>
            <rFont val="Tahoma"/>
            <family val="2"/>
          </rPr>
          <t xml:space="preserve">oral, rat
https://pubchem.ncbi.nlm.nih.gov/compound/cyanophos#section=Acute-Effects
</t>
        </r>
      </text>
    </comment>
    <comment ref="D74" authorId="0" shapeId="0" xr:uid="{E4FF4A55-57F7-44B7-A048-D6FDC7D5076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5" authorId="0" shapeId="0" xr:uid="{69C2A326-30EB-4F39-AC98-953B840C54B0}">
      <text>
        <r>
          <rPr>
            <sz val="9"/>
            <color indexed="81"/>
            <rFont val="Tahoma"/>
            <family val="2"/>
          </rPr>
          <t xml:space="preserve">Average for male and female rat
https://extoxnet.orst.edu/pips/cyfluthr.htm
</t>
        </r>
      </text>
    </comment>
    <comment ref="D75" authorId="0" shapeId="0" xr:uid="{BF0710FC-C294-4026-B6EB-232EFB06B09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6" authorId="0" shapeId="0" xr:uid="{00000000-0006-0000-0B00-00000B000000}">
      <text>
        <r>
          <rPr>
            <sz val="9"/>
            <color indexed="81"/>
            <rFont val="Tahoma"/>
            <family val="2"/>
          </rPr>
          <t>average for male and femal rats
https://www.npic.orst.edu/factsheets/archive/l_cyhalotech.pdf</t>
        </r>
      </text>
    </comment>
    <comment ref="D76" authorId="0" shapeId="0" xr:uid="{8440CFD1-6778-4532-8A72-6F77A518C25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7" authorId="0" shapeId="0" xr:uid="{5C378860-5998-416A-9B73-6E6EA7D2C910}">
      <text>
        <r>
          <rPr>
            <sz val="9"/>
            <color indexed="81"/>
            <rFont val="Tahoma"/>
            <family val="2"/>
          </rPr>
          <t xml:space="preserve">oral, rat
https://pubchem.ncbi.nlm.nih.gov/compound/Cyhexatin#section=Adverse-Effects
</t>
        </r>
      </text>
    </comment>
    <comment ref="D77" authorId="0" shapeId="0" xr:uid="{E3419224-0F11-4E79-8CD9-F51F02170D7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8" authorId="0" shapeId="0" xr:uid="{CE422943-1C2D-4139-BC31-BCB7AD80531E}">
      <text>
        <r>
          <rPr>
            <sz val="9"/>
            <color indexed="81"/>
            <rFont val="Tahoma"/>
            <family val="2"/>
          </rPr>
          <t xml:space="preserve">oral, rat
https://pubchem.ncbi.nlm.nih.gov/compound/cymoxanil#section=Acute-Effects
</t>
        </r>
      </text>
    </comment>
    <comment ref="D78" authorId="0" shapeId="0" xr:uid="{92165FC5-1D78-4DD3-9AEA-7704FA3B9C5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79" authorId="0" shapeId="0" xr:uid="{00000000-0006-0000-0B00-00000C000000}">
      <text>
        <r>
          <rPr>
            <sz val="9"/>
            <color indexed="81"/>
            <rFont val="Tahoma"/>
            <family val="2"/>
          </rPr>
          <t xml:space="preserve">oral, rat
https://pubchem.ncbi.nlm.nih.gov/compound/Cypermethrin#section=Acute-Effects
</t>
        </r>
      </text>
    </comment>
    <comment ref="D79" authorId="0" shapeId="0" xr:uid="{ACBF3FFF-CD2F-417D-A3EC-B4DB46A6426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0" authorId="0" shapeId="0" xr:uid="{414E6252-B403-4E8C-A193-8D1F35655AB7}">
      <text>
        <r>
          <rPr>
            <sz val="9"/>
            <color indexed="81"/>
            <rFont val="Tahoma"/>
            <family val="2"/>
          </rPr>
          <t xml:space="preserve">oral, rat
https://pubchem.ncbi.nlm.nih.gov/compound/Cyphenothrin#section=Acute-Effects
</t>
        </r>
      </text>
    </comment>
    <comment ref="D80" authorId="0" shapeId="0" xr:uid="{E8F65137-30B5-4DC0-BD46-092A1902D8C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1" authorId="0" shapeId="0" xr:uid="{85161E03-2EA5-4ED7-A0DB-1DD585CDFB90}">
      <text>
        <r>
          <rPr>
            <sz val="9"/>
            <color indexed="81"/>
            <rFont val="Tahoma"/>
            <family val="2"/>
          </rPr>
          <t xml:space="preserve">oral, female rats
https://www.fao.org/fileadmin/templates/agphome/documents/Pests_Pesticides/JMPR/Report10/Cyproconazole.pdf
</t>
        </r>
      </text>
    </comment>
    <comment ref="D81" authorId="0" shapeId="0" xr:uid="{0FFAA107-882E-4B78-9FE4-B8BAA53FA6D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2" authorId="0" shapeId="0" xr:uid="{5D56BB2D-9ABE-48C4-8C11-1450E46C3046}">
      <text>
        <r>
          <rPr>
            <sz val="9"/>
            <color indexed="81"/>
            <rFont val="Tahoma"/>
            <family val="2"/>
          </rPr>
          <t xml:space="preserve">oral, rat
https://pubchem.ncbi.nlm.nih.gov/compound/dazomet#section=Acute-Effects  citing
Toxicology and Applied Pharmacology., 9(521), 1966
</t>
        </r>
      </text>
    </comment>
    <comment ref="D82" authorId="0" shapeId="0" xr:uid="{42D5F487-7D77-4A21-93A5-41566852E0A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3" authorId="0" shapeId="0" xr:uid="{9ABDF4C4-2AE0-467C-A65C-2DC76BFB34C3}">
      <text>
        <r>
          <rPr>
            <sz val="9"/>
            <color indexed="81"/>
            <rFont val="Tahoma"/>
            <family val="2"/>
          </rPr>
          <t xml:space="preserve">oral, adult rat
https://www.ncbi.nlm.nih.gov/books/NBK590080/
</t>
        </r>
      </text>
    </comment>
    <comment ref="D83" authorId="0" shapeId="0" xr:uid="{C4019FE9-6832-4C91-9B09-E6D9852A480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4" authorId="0" shapeId="0" xr:uid="{00000000-0006-0000-0B00-00000D000000}">
      <text>
        <r>
          <rPr>
            <sz val="9"/>
            <color indexed="81"/>
            <rFont val="Tahoma"/>
            <family val="2"/>
          </rPr>
          <t>oral, rat
Reported LD50 values for rats range from 30 mg/kg (with an oily vehicle) to greater than 5000 mg/kg (in an aqueous vehicle)
https://www.npic.orst.edu/factsheets/archive/Deltatech.html#ecotox</t>
        </r>
      </text>
    </comment>
    <comment ref="D84" authorId="0" shapeId="0" xr:uid="{2B9B2B2A-7548-4384-BAAA-1450F45E518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5" authorId="0" shapeId="0" xr:uid="{F3E484DE-F69A-4693-919F-C397840BD6A7}">
      <text>
        <r>
          <rPr>
            <sz val="9"/>
            <color indexed="81"/>
            <rFont val="Tahoma"/>
            <family val="2"/>
          </rPr>
          <t xml:space="preserve">oral, rat
https://pubchem.ncbi.nlm.nih.gov/compound/demeton-s-methyl#section=Adverse-Effects
</t>
        </r>
      </text>
    </comment>
    <comment ref="D85" authorId="0" shapeId="0" xr:uid="{56CC1F65-66CF-4AC2-9227-F6C4E93776B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6" authorId="0" shapeId="0" xr:uid="{7B94B222-5CD2-49D4-B114-4BD8661DDCB7}">
      <text>
        <r>
          <rPr>
            <sz val="9"/>
            <color indexed="81"/>
            <rFont val="Tahoma"/>
            <family val="2"/>
          </rPr>
          <t xml:space="preserve">oral intake average for male and female rats
https://www.npic.orst.edu/factsheets/archive/diazinontech.html#acute citing Reigert, J. R.; Roberts, J. R., USEPA, 1999
</t>
        </r>
      </text>
    </comment>
    <comment ref="D86" authorId="0" shapeId="0" xr:uid="{B105B0C3-5411-41F9-8B4D-C3B14E773F2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7" authorId="0" shapeId="0" xr:uid="{4AE4856C-F523-4AE6-8D2E-FECF7257E400}">
      <text>
        <r>
          <rPr>
            <sz val="9"/>
            <color indexed="81"/>
            <rFont val="Tahoma"/>
            <family val="2"/>
          </rPr>
          <t>oral intake in rats
https://www.npic.orst.edu/factsheets/archive/dicamba_tech.html#acute</t>
        </r>
      </text>
    </comment>
    <comment ref="D87" authorId="0" shapeId="0" xr:uid="{296AF542-DC1C-4631-BAED-588041662B0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8" authorId="0" shapeId="0" xr:uid="{00000000-0006-0000-0B00-00000E000000}">
      <text>
        <r>
          <rPr>
            <sz val="9"/>
            <color indexed="81"/>
            <rFont val="Tahoma"/>
            <family val="2"/>
          </rPr>
          <t>oral, rat
&gt;2000 according to https://www.sigmaaldrich.com/SE/en/sds/aldrich/d56829?userType=anonymous</t>
        </r>
      </text>
    </comment>
    <comment ref="D88" authorId="0" shapeId="0" xr:uid="{52EEEBCF-78CE-4CC9-BDD3-C172267A761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89" authorId="0" shapeId="0" xr:uid="{FDE65944-D8E3-4657-93C4-662B6E4BC310}">
      <text>
        <r>
          <rPr>
            <sz val="9"/>
            <color indexed="81"/>
            <rFont val="Tahoma"/>
            <family val="2"/>
          </rPr>
          <t>oral, rat
https://www.chemicalbook.com/msds/dichlorophen.pdf</t>
        </r>
      </text>
    </comment>
    <comment ref="D89" authorId="0" shapeId="0" xr:uid="{543114B7-2309-4B4F-A7A8-274B70B9F62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0" authorId="0" shapeId="0" xr:uid="{D2F1DA48-CA19-4B69-859B-0871F7C96404}">
      <text>
        <r>
          <rPr>
            <sz val="9"/>
            <color indexed="81"/>
            <rFont val="Tahoma"/>
            <family val="2"/>
          </rPr>
          <t xml:space="preserve">oral, rat
https://www.chemicalbook.com/msds/Dichlorprop.htm
</t>
        </r>
      </text>
    </comment>
    <comment ref="D90" authorId="0" shapeId="0" xr:uid="{A86B7E79-DAE4-4B37-B10F-B99056D3695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1" authorId="0" shapeId="0" xr:uid="{4E2B593E-B6A4-4B97-810F-8F50FCA5E6A5}">
      <text>
        <r>
          <rPr>
            <sz val="9"/>
            <color indexed="81"/>
            <rFont val="Tahoma"/>
            <family val="2"/>
          </rPr>
          <t xml:space="preserve">oral, rat
https://www.sigmaaldrich.com/SE/en/sds/sial/45441?userType=undefined
</t>
        </r>
      </text>
    </comment>
    <comment ref="D91" authorId="0" shapeId="0" xr:uid="{52C884F9-2384-4803-95D7-1E9886727C7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2" authorId="0" shapeId="0" xr:uid="{7E254FD7-4DCA-4C77-8DD1-6853BEBD69F0}">
      <text>
        <r>
          <rPr>
            <sz val="9"/>
            <color indexed="81"/>
            <rFont val="Tahoma"/>
            <family val="2"/>
          </rPr>
          <t xml:space="preserve">oral, rat
https://www.agropages.com/agrodata/Detail-443.htm
</t>
        </r>
      </text>
    </comment>
    <comment ref="D92" authorId="0" shapeId="0" xr:uid="{149C1EF9-0E15-40B3-9E61-29DEC3CEFA7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3" authorId="0" shapeId="0" xr:uid="{00000000-0006-0000-0B00-00000F000000}">
      <text>
        <r>
          <rPr>
            <sz val="9"/>
            <color indexed="81"/>
            <rFont val="Tahoma"/>
            <family val="2"/>
          </rPr>
          <t xml:space="preserve">oral, rat
https://www.fao.org/fileadmin/templates/agphome/documents/Pests_Pesticides/JMPR/Report11/Dicofol.pdf
</t>
        </r>
      </text>
    </comment>
    <comment ref="D93" authorId="0" shapeId="0" xr:uid="{637F543F-064B-45EE-B00F-554B28063EA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4" authorId="0" shapeId="0" xr:uid="{DCED9131-0631-48E7-996E-8A7699A45370}">
      <text>
        <r>
          <rPr>
            <sz val="9"/>
            <color indexed="81"/>
            <rFont val="Tahoma"/>
            <family val="2"/>
          </rPr>
          <t>Dicrotophos has an acute oral LD 50 of 16 to 21 mg/kg for rat
https://www.osha.gov/sites/default/files/methods/osha-pv2099.pdf citing Windholz, H., Ed.; "Merck Index,” 10th ed.; Merck and Co.: Rahway, NJ, 1983; p 449.</t>
        </r>
      </text>
    </comment>
    <comment ref="D94" authorId="0" shapeId="0" xr:uid="{B9B63679-1597-4942-864C-157D0A9DBC8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5" authorId="0" shapeId="0" xr:uid="{EC9110A3-43FB-4E83-8328-6F33A26FF2A1}">
      <text>
        <r>
          <rPr>
            <sz val="9"/>
            <color indexed="81"/>
            <rFont val="Tahoma"/>
            <family val="2"/>
          </rPr>
          <t xml:space="preserve">oral, rat
https://www.sigmaaldrich.com/SE/en/sds/SIAL/32677?userType=undefined
</t>
        </r>
      </text>
    </comment>
    <comment ref="D95" authorId="0" shapeId="0" xr:uid="{5630E646-8F30-44E1-80F8-54FE0E35DF0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6" authorId="0" shapeId="0" xr:uid="{EEFD19DC-4CC8-4F60-A4A1-F64C119EC71B}">
      <text>
        <r>
          <rPr>
            <sz val="9"/>
            <color indexed="81"/>
            <rFont val="Tahoma"/>
            <family val="2"/>
          </rPr>
          <t xml:space="preserve">oral, rat
https://sitem.herts.ac.uk/aeru/ppdb/en/Reports/230.htm
</t>
        </r>
      </text>
    </comment>
    <comment ref="D96" authorId="0" shapeId="0" xr:uid="{F536A53C-41A6-474A-A759-2BB1E9E734B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7" authorId="0" shapeId="0" xr:uid="{B345CB45-F417-43A1-8BF8-21890A870613}">
      <text>
        <r>
          <rPr>
            <sz val="9"/>
            <color indexed="81"/>
            <rFont val="Tahoma"/>
            <family val="2"/>
          </rPr>
          <t xml:space="preserve">oral, rat
https://pubchem.ncbi.nlm.nih.gov/compound/difenzoquat#section=Acute-Effects
</t>
        </r>
      </text>
    </comment>
    <comment ref="D97" authorId="0" shapeId="0" xr:uid="{77294206-6C03-4972-900A-7B52B9BB8FE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8" authorId="0" shapeId="0" xr:uid="{BAEBCC61-A524-4F53-803F-83213BB55F65}">
      <text>
        <r>
          <rPr>
            <sz val="9"/>
            <color indexed="81"/>
            <rFont val="Tahoma"/>
            <family val="2"/>
          </rPr>
          <t xml:space="preserve">oral, rat
https://pubchem.ncbi.nlm.nih.gov/compound/Difethialone#section=Toxicity
</t>
        </r>
      </text>
    </comment>
    <comment ref="D98" authorId="0" shapeId="0" xr:uid="{DDD21B3C-6960-470E-B01C-00AFCEE6C03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99" authorId="0" shapeId="0" xr:uid="{FEA1493D-716B-45E1-B5B8-EE61DA6329F6}">
      <text>
        <r>
          <rPr>
            <sz val="9"/>
            <color indexed="81"/>
            <rFont val="Tahoma"/>
            <family val="2"/>
          </rPr>
          <t xml:space="preserve">oral, rat
https://pubchem.ncbi.nlm.nih.gov/compound/Dimepiperate#section=Toxicological-Information
</t>
        </r>
      </text>
    </comment>
    <comment ref="D99" authorId="0" shapeId="0" xr:uid="{FC314359-3C6B-4729-8B59-A6AB0FA269F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0" authorId="0" shapeId="0" xr:uid="{115AD4E3-C308-47D9-A877-E646901D325A}">
      <text>
        <r>
          <rPr>
            <sz val="9"/>
            <color indexed="81"/>
            <rFont val="Tahoma"/>
            <family val="2"/>
          </rPr>
          <t xml:space="preserve">oral, rat
https://www.chembk.com/en/chem/DIMETHACHLOR
</t>
        </r>
      </text>
    </comment>
    <comment ref="D100" authorId="0" shapeId="0" xr:uid="{15B33744-4C73-4D9D-941A-BA229DE6467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1" authorId="0" shapeId="0" xr:uid="{CEA64BF4-3395-424B-AF11-932D0FE96AF6}">
      <text>
        <r>
          <rPr>
            <sz val="9"/>
            <color indexed="81"/>
            <rFont val="Tahoma"/>
            <family val="2"/>
          </rPr>
          <t xml:space="preserve">oral, rat
file:///C:/Users/bengts/Downloads/Dimethenamid-P+technical_30183623_SDS_CPA_US_en_5-0.pdf
</t>
        </r>
      </text>
    </comment>
    <comment ref="D101" authorId="0" shapeId="0" xr:uid="{51A8D136-F955-44E7-B174-E0E05F2A50A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2" authorId="0" shapeId="0" xr:uid="{331EF448-8991-4F54-8149-8DA27819EAA0}">
      <text>
        <r>
          <rPr>
            <sz val="9"/>
            <color indexed="81"/>
            <rFont val="Tahoma"/>
            <family val="2"/>
          </rPr>
          <t xml:space="preserve">oral, rat
https://pubchem.ncbi.nlm.nih.gov/compound/dimethipin citing Agricultural Chemicals, Thomson, W.T., 4 vols., Fresno, CA, Thomson Publications, 1976/77 revision, 3(88), 1976/1977
</t>
        </r>
      </text>
    </comment>
    <comment ref="D102" authorId="0" shapeId="0" xr:uid="{68D4FB9A-2CB1-4710-8DCE-AABD140D859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3" authorId="0" shapeId="0" xr:uid="{00000000-0006-0000-0B00-000010000000}">
      <text>
        <r>
          <rPr>
            <sz val="9"/>
            <color indexed="81"/>
            <rFont val="Tahoma"/>
            <family val="2"/>
          </rPr>
          <t xml:space="preserve">oral, rat
https://www.fao.org/fileadmin/templates/agphome/documents/Pests_Pesticides/Specs/Dimethoate2012_2.pdf
</t>
        </r>
      </text>
    </comment>
    <comment ref="D103" authorId="0" shapeId="0" xr:uid="{E9C9E8F2-2F14-4B30-931C-B85602373E4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4" authorId="0" shapeId="0" xr:uid="{3390633B-16DD-4433-86F7-8C3B32A74D8E}">
      <text>
        <r>
          <rPr>
            <sz val="9"/>
            <color indexed="81"/>
            <rFont val="Tahoma"/>
            <family val="2"/>
          </rPr>
          <t xml:space="preserve">oral, rat
https://pubchem.ncbi.nlm.nih.gov/compound/dimethylarsinic-acid#section=Toxicity
</t>
        </r>
      </text>
    </comment>
    <comment ref="D104" authorId="0" shapeId="0" xr:uid="{CF9EB122-8593-4734-9D96-E46901F21F2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5" authorId="0" shapeId="0" xr:uid="{B14DFFA4-E326-4643-87AC-C2108B6B3615}">
      <text>
        <r>
          <rPr>
            <sz val="9"/>
            <color indexed="81"/>
            <rFont val="Tahoma"/>
            <family val="2"/>
          </rPr>
          <t xml:space="preserve">oral, rat
https://www.chemsrc.com/en/cas/83657-24-3_820067.html
</t>
        </r>
      </text>
    </comment>
    <comment ref="D105" authorId="0" shapeId="0" xr:uid="{3F319A60-9662-4DDC-A438-77B7F01DC78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6" authorId="0" shapeId="0" xr:uid="{4155CD3B-F622-4C6B-AED5-A29439319819}">
      <text>
        <r>
          <rPr>
            <sz val="9"/>
            <color indexed="81"/>
            <rFont val="Tahoma"/>
            <family val="2"/>
          </rPr>
          <t xml:space="preserve">oral, rat
https://pubchem.ncbi.nlm.nih.gov/compound/Dinobuton#section=Toxicity citing
Toxicology and Applied Pharmacology., 14(515), 1969 [PMID:5787520]
</t>
        </r>
      </text>
    </comment>
    <comment ref="D106" authorId="0" shapeId="0" xr:uid="{2F267EDB-A690-4549-BDEA-FDC48B27C26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7" authorId="0" shapeId="0" xr:uid="{92C17943-574F-4DE0-B212-1542DAE389F4}">
      <text>
        <r>
          <rPr>
            <sz val="9"/>
            <color indexed="81"/>
            <rFont val="Tahoma"/>
            <family val="2"/>
          </rPr>
          <t>oral, rat
https://pubchem.ncbi.nlm.nih.gov/compound/Dinocap#section=Acute-Effects</t>
        </r>
      </text>
    </comment>
    <comment ref="D107" authorId="0" shapeId="0" xr:uid="{66B9DD41-2CF4-461C-9F0C-36BB9A00EDB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8" authorId="0" shapeId="0" xr:uid="{6392B37C-FAE1-4150-9E5E-26F5299B461D}">
      <text>
        <r>
          <rPr>
            <sz val="9"/>
            <color indexed="81"/>
            <rFont val="Tahoma"/>
            <family val="2"/>
          </rPr>
          <t xml:space="preserve">oral, rat
https://pubchem.ncbi.nlm.nih.gov/compound/dinoterb#section=Acute-Effects citing Defense des Vegetaux., 26(69), 1972
</t>
        </r>
      </text>
    </comment>
    <comment ref="D108" authorId="0" shapeId="0" xr:uid="{2EE175F0-EAA8-443B-9133-58F9425B51E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09" authorId="0" shapeId="0" xr:uid="{8E178FE5-6D76-41E8-9C8E-AAFEBBB0C9C7}">
      <text>
        <r>
          <rPr>
            <sz val="9"/>
            <color indexed="81"/>
            <rFont val="Tahoma"/>
            <family val="2"/>
          </rPr>
          <t>oral, rat
https://pubchem.ncbi.nlm.nih.gov/compound/6719#section=Acute-Effects citing 
Wirksubstanzen der Pflanzenschutz und Schadlingsbekampfungsmittel, Perkow, W., Berlin, Verlag Paul Parey, 1971-1976, -(-), 1971/1976</t>
        </r>
      </text>
    </comment>
    <comment ref="D109" authorId="0" shapeId="0" xr:uid="{78B9A5AE-2C20-4CD7-A31D-0F62AB2FEAC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0" authorId="0" shapeId="0" xr:uid="{BD955410-323D-4C18-914E-9537DBDEB6BA}">
      <text>
        <r>
          <rPr>
            <sz val="9"/>
            <color indexed="81"/>
            <rFont val="Tahoma"/>
            <family val="2"/>
          </rPr>
          <t>oral, rat
https://pubchem.ncbi.nlm.nih.gov/compound/diphenamid#section=Acute-Effects citing
Journal of Drug Research., 12(1-2)(155), 1980</t>
        </r>
      </text>
    </comment>
    <comment ref="D110" authorId="0" shapeId="0" xr:uid="{B688B4E5-E864-419B-8EDB-29B3F6BFEAA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A111" authorId="0" shapeId="0" xr:uid="{5F12DA99-A0D7-42A6-8909-5FE6B0412717}">
      <text>
        <r>
          <rPr>
            <sz val="9"/>
            <color indexed="81"/>
            <rFont val="Tahoma"/>
            <family val="2"/>
          </rPr>
          <t xml:space="preserve">Refers to the diquat ion
</t>
        </r>
      </text>
    </comment>
    <comment ref="C111" authorId="0" shapeId="0" xr:uid="{7A8CAF59-F5FE-46A4-8C6D-4E96B1BE61A2}">
      <text>
        <r>
          <rPr>
            <sz val="9"/>
            <color indexed="81"/>
            <rFont val="Tahoma"/>
            <family val="2"/>
          </rPr>
          <t>oral, rat
https://www.fao.org/fileadmin/templates/agphome/documents/Pests_Pesticides/JMPR/Report13/5.13_DIQUAT__031_.pdf</t>
        </r>
      </text>
    </comment>
    <comment ref="D111" authorId="0" shapeId="0" xr:uid="{E195573C-BB40-4581-8E07-955037EC720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2" authorId="0" shapeId="0" xr:uid="{18ECDFE5-3135-4C19-94FE-7DC2E776715A}">
      <text>
        <r>
          <rPr>
            <sz val="9"/>
            <color indexed="81"/>
            <rFont val="Tahoma"/>
            <family val="2"/>
          </rPr>
          <t xml:space="preserve">oral, Holtzman rats
https://www.atsdr.cdc.gov/toxprofiles/tp65.pdf
</t>
        </r>
      </text>
    </comment>
    <comment ref="D112" authorId="0" shapeId="0" xr:uid="{32ACBFC8-4127-4F5F-ADBE-B66C63EF263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3" authorId="0" shapeId="0" xr:uid="{CC8C96BE-07B5-4D1E-9106-9C13240CC21D}">
      <text>
        <r>
          <rPr>
            <sz val="9"/>
            <color indexed="81"/>
            <rFont val="Tahoma"/>
            <family val="2"/>
          </rPr>
          <t>oral, rat
https://pubchem.ncbi.nlm.nih.gov/compound/dithianon#section=Acute-Effects citing
Farm Chemicals Handbook., -(C114), 1991</t>
        </r>
      </text>
    </comment>
    <comment ref="D113" authorId="0" shapeId="0" xr:uid="{9380216B-6D53-4768-B178-EFABE875B06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4" authorId="0" shapeId="0" xr:uid="{27383ADD-3E61-43F3-84F0-D95D477DC3FB}">
      <text>
        <r>
          <rPr>
            <sz val="9"/>
            <color indexed="81"/>
            <rFont val="Tahoma"/>
            <family val="2"/>
          </rPr>
          <t xml:space="preserve">oral, rat
https://www.pic.int/Portals/5/DGDs/DGD_DNOC_EN.pdf
</t>
        </r>
      </text>
    </comment>
    <comment ref="D114" authorId="0" shapeId="0" xr:uid="{4359301A-194A-4AAF-98E4-76A9D44E136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5" authorId="0" shapeId="0" xr:uid="{8061ADA8-1E60-4F43-B82E-D2216758C5F1}">
      <text>
        <r>
          <rPr>
            <sz val="9"/>
            <color indexed="81"/>
            <rFont val="Tahoma"/>
            <family val="2"/>
          </rPr>
          <t>oral, rat
https://pubchem.ncbi.nlm.nih.gov/compound/Dodine#section=Toxicity citing 
Toxicology and Applied Pharmacology., 3(127), 1961 [PMID:13761521]</t>
        </r>
      </text>
    </comment>
    <comment ref="D115" authorId="0" shapeId="0" xr:uid="{DCBAFF50-F650-4D02-9D0A-52E91563904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6" authorId="0" shapeId="0" xr:uid="{12335909-28EF-4910-B352-3BE3D30ECD83}">
      <text>
        <r>
          <rPr>
            <sz val="9"/>
            <color indexed="81"/>
            <rFont val="Tahoma"/>
            <family val="2"/>
          </rPr>
          <t>oral, rat
https://pubchem.ncbi.nlm.nih.gov/compound/Edifenphos#section=Acute-Effects citing
Oyo Yakuri. Pharmacometrics., 2(76), 1968</t>
        </r>
      </text>
    </comment>
    <comment ref="D116" authorId="0" shapeId="0" xr:uid="{EC354713-91F1-4B14-883B-C7CFDE08CFF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7" authorId="0" shapeId="0" xr:uid="{73EFF4BE-CA97-4428-A091-AB364D899A66}">
      <text>
        <r>
          <rPr>
            <sz val="9"/>
            <color indexed="81"/>
            <rFont val="Tahoma"/>
            <family val="2"/>
          </rPr>
          <t xml:space="preserve">oral, rat
https://www.sigmaaldrich.com/SE/en/sds/SIAL/32015?userType=undefined
</t>
        </r>
      </text>
    </comment>
    <comment ref="D117" authorId="0" shapeId="0" xr:uid="{13E78EAC-DFFF-4CB7-A5BD-4F22D30A291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8" authorId="0" shapeId="0" xr:uid="{C03EB0E4-74AF-464E-8246-15602877D8BE}">
      <text>
        <r>
          <rPr>
            <sz val="9"/>
            <color indexed="81"/>
            <rFont val="Tahoma"/>
            <family val="2"/>
          </rPr>
          <t xml:space="preserve">LD50 Rat oral 38-51 mg/kg for the acid. https://www.guidechem.com/msds/129-67-9.html
An average of 45 mg/kg would correspond to 186/230*45 = 36.4 mg/kg, where 186 is the MV for the acid and 230 for the salt
</t>
        </r>
      </text>
    </comment>
    <comment ref="D118" authorId="0" shapeId="0" xr:uid="{C0001453-9BEA-4BB3-9689-CDF331135BC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19" authorId="0" shapeId="0" xr:uid="{A644CE8A-8ACD-4E91-AE4E-0881DC6E6AFE}">
      <text>
        <r>
          <rPr>
            <sz val="9"/>
            <color indexed="81"/>
            <rFont val="Tahoma"/>
            <family val="2"/>
          </rPr>
          <t>7 - 36 oral, rat
https://www.cdc.gov/niosh/idlh/2104645.html</t>
        </r>
      </text>
    </comment>
    <comment ref="D119" authorId="0" shapeId="0" xr:uid="{CDD5B878-EBAB-4F6F-9054-915CB6661F4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0" authorId="0" shapeId="0" xr:uid="{B2FB01C8-BE81-4701-B8BC-EB6F5C32392A}">
      <text>
        <r>
          <rPr>
            <sz val="9"/>
            <color indexed="81"/>
            <rFont val="Tahoma"/>
            <family val="2"/>
          </rPr>
          <t xml:space="preserve">oral, rat
https://pubchem.ncbi.nlm.nih.gov/compound/eptam#section=Acute-Effects citing
National Technical Information Service., PB82-913299
</t>
        </r>
      </text>
    </comment>
    <comment ref="D120" authorId="0" shapeId="0" xr:uid="{B040E43C-35FF-48EE-B6A8-C46FC0C12B1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1" authorId="0" shapeId="0" xr:uid="{A65B658D-8A12-4D87-A751-87F3E84D6DC7}">
      <text>
        <r>
          <rPr>
            <sz val="9"/>
            <color indexed="81"/>
            <rFont val="Tahoma"/>
            <family val="2"/>
          </rPr>
          <t>oral, rat
https://pubchem.ncbi.nlm.nih.gov/compound/esfenvalerate#section=Acute-Effects
citing Farm Chemicals Handbook., -(C287), 1991</t>
        </r>
      </text>
    </comment>
    <comment ref="D121" authorId="0" shapeId="0" xr:uid="{561DA241-74CF-41A0-A108-7C8336BDC4E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2" authorId="0" shapeId="0" xr:uid="{EEC99749-7DAB-41B4-BA08-0D6DA7CD53E4}">
      <text>
        <r>
          <rPr>
            <sz val="9"/>
            <color indexed="81"/>
            <rFont val="Tahoma"/>
            <family val="2"/>
          </rPr>
          <t>oral, rat
https://pubchem.ncbi.nlm.nih.gov/compound/Ethiofencarb#section=Acute-Effects
citing Farm Chemicals Handbook., -(C85), 1991</t>
        </r>
      </text>
    </comment>
    <comment ref="D122" authorId="0" shapeId="0" xr:uid="{67C5261A-866F-4D45-9C78-48FFC9739C8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3" authorId="0" shapeId="0" xr:uid="{35C57573-4264-4095-8ED9-26506BF3A1E1}">
      <text>
        <r>
          <rPr>
            <sz val="9"/>
            <color indexed="81"/>
            <rFont val="Tahoma"/>
            <family val="2"/>
          </rPr>
          <t xml:space="preserve">oral, rat
https://www.sigmaaldrich.com/SE/en/sds/SIAL/45477?userType=undefined
</t>
        </r>
      </text>
    </comment>
    <comment ref="D123" authorId="0" shapeId="0" xr:uid="{4179B8E7-6564-49DA-97DB-C073211147F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4" authorId="0" shapeId="0" xr:uid="{214BD397-73A4-4F85-9CE3-9DB90A7832C5}">
      <text>
        <r>
          <rPr>
            <sz val="9"/>
            <color indexed="81"/>
            <rFont val="Tahoma"/>
            <family val="2"/>
          </rPr>
          <t>oral, rat
https://www.chemicalbook.com/msds/ethoprophos.pdf</t>
        </r>
      </text>
    </comment>
    <comment ref="D124" authorId="0" shapeId="0" xr:uid="{0746EDDE-DAAA-4363-A37A-4837A006265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5" authorId="0" shapeId="0" xr:uid="{4BC59266-7477-45CE-BA18-9106A67F1E6F}">
      <text>
        <r>
          <rPr>
            <sz val="9"/>
            <color indexed="81"/>
            <rFont val="Tahoma"/>
            <family val="2"/>
          </rPr>
          <t>oral, rat
https://pubchem.ncbi.nlm.nih.gov/compound/FAMPHUR#section=Acute-Effects citing Fundamental and Applied Toxicology., 7(299), 1986</t>
        </r>
      </text>
    </comment>
    <comment ref="D125" authorId="0" shapeId="0" xr:uid="{7018E99B-A518-45CA-9150-49B382D2076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6" authorId="0" shapeId="0" xr:uid="{47DF342E-18CA-4711-9F3A-4BEBDBF5E086}">
      <text>
        <r>
          <rPr>
            <sz val="9"/>
            <color indexed="81"/>
            <rFont val="Tahoma"/>
            <family val="2"/>
          </rPr>
          <t xml:space="preserve">oral, rat
https://nepis.epa.gov/Exe/ZyNET.exe/P100XZCW.txt?ZyActionD=ZyDocument&amp;Client=EPA&amp;Index=1986%20Thru%201990&amp;Docs=&amp;Query=&amp;Time=&amp;EndTime=&amp;SearchMethod=1&amp;TocRestrict=n&amp;Toc=&amp;TocEntry=&amp;QField=&amp;QFieldYear=&amp;QFieldMonth=&amp;QFieldDay=&amp;UseQField=&amp;IntQFieldOp=0&amp;ExtQFieldOp=0&amp;XmlQuery=&amp;File=D%3A%5CZYFILES%5CINDEX%20DATA%5C86THRU90%5CTXT%5C00000037%5CP100XZCW.txt&amp;User=ANONYMOUS&amp;Password=anonymous&amp;SortMethod=h%7C-&amp;MaximumDocuments=1&amp;FuzzyDegree=0&amp;ImageQuality=r75g8/r75g8/x150y150g16/i425&amp;Display=hpfr&amp;DefSeekPage=&amp;SearchBack=ZyActionL&amp;Back=ZyActionS&amp;BackDesc=Results%20page&amp;MaximumPages=1&amp;ZyEntry=2
</t>
        </r>
      </text>
    </comment>
    <comment ref="D126" authorId="0" shapeId="0" xr:uid="{E8B45438-6AD9-43B7-9416-EAC5260F13A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7" authorId="0" shapeId="0" xr:uid="{ED4A6F87-A486-4004-BBF6-AC5943ABA9F1}">
      <text>
        <r>
          <rPr>
            <sz val="9"/>
            <color indexed="81"/>
            <rFont val="Tahoma"/>
            <family val="2"/>
          </rPr>
          <t>oral, rat
https://pubchem.ncbi.nlm.nih.gov/compound/Fenazaquin#section=Acute-Effects citing National Technical Information Service., OTS0543600</t>
        </r>
      </text>
    </comment>
    <comment ref="D127" authorId="0" shapeId="0" xr:uid="{86C161B9-DD06-4F69-85A9-0BE43CCEA79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8" authorId="0" shapeId="0" xr:uid="{B0733E58-17F2-439C-A8E4-844BDCB1332B}">
      <text>
        <r>
          <rPr>
            <sz val="10"/>
            <rFont val="Arial"/>
            <family val="2"/>
          </rPr>
          <t xml:space="preserve">oral, female rat
https://www.chemicalbook.com/msds/fenitrothion.pdf
</t>
        </r>
      </text>
    </comment>
    <comment ref="D128" authorId="0" shapeId="0" xr:uid="{07BF1218-2C1F-474F-AD13-F8426DBBEDA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29" authorId="0" shapeId="0" xr:uid="{1E0EB5E4-2537-44B7-84CE-0B13D8C8F200}">
      <text>
        <r>
          <rPr>
            <sz val="9"/>
            <color indexed="81"/>
            <rFont val="Tahoma"/>
            <family val="2"/>
          </rPr>
          <t xml:space="preserve">oral, rat
https://pubchem.ncbi.nlm.nih.gov/compound/Fenobucarb#section=Acute-Effects
</t>
        </r>
      </text>
    </comment>
    <comment ref="D129" authorId="0" shapeId="0" xr:uid="{2EBA1B53-2C2F-4CD3-A417-FD9C3EA0042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0" authorId="0" shapeId="0" xr:uid="{D5F212E7-75D4-4191-AD13-D8B72151730C}">
      <text>
        <r>
          <rPr>
            <sz val="9"/>
            <color indexed="81"/>
            <rFont val="Tahoma"/>
            <family val="2"/>
          </rPr>
          <t xml:space="preserve">oral, rat
https://pubchem.ncbi.nlm.nih.gov/compound/fenothiocarb#section=Toxicity citing Pesticide Manual., 9(372), 1991
</t>
        </r>
      </text>
    </comment>
    <comment ref="D130" authorId="0" shapeId="0" xr:uid="{53AA6DF9-1C75-4CDB-9819-C876694EB80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1" authorId="0" shapeId="0" xr:uid="{00000000-0006-0000-0B00-000011000000}">
      <text>
        <r>
          <rPr>
            <sz val="9"/>
            <color indexed="81"/>
            <rFont val="Tahoma"/>
            <family val="2"/>
          </rPr>
          <t xml:space="preserve">oral, rat
https://cdn.caymanchem.com/cdn/msds/34478m.pdf
</t>
        </r>
      </text>
    </comment>
    <comment ref="D131" authorId="0" shapeId="0" xr:uid="{A4F7DB6B-A05A-4AA0-B2F7-74C90EB85B2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2" authorId="0" shapeId="0" xr:uid="{DC31873F-BB34-486F-9349-ADC1068F1F9E}">
      <text>
        <r>
          <rPr>
            <sz val="9"/>
            <color indexed="81"/>
            <rFont val="Tahoma"/>
            <family val="2"/>
          </rPr>
          <t>oral, female rat
https://www.syngenta.ie/sites/g/files/kgtney776/files/media/document/2025/01/23/tern_750_ec_ie_v9.1.pdf</t>
        </r>
      </text>
    </comment>
    <comment ref="D132" authorId="0" shapeId="0" xr:uid="{1609AFDD-179B-43AA-AC6A-374A015E8B2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3" authorId="0" shapeId="0" xr:uid="{59606D62-51FA-4F6B-8E65-FB1969A732C6}">
      <text>
        <r>
          <rPr>
            <sz val="9"/>
            <color indexed="81"/>
            <rFont val="Tahoma"/>
            <family val="2"/>
          </rPr>
          <t>oral, rat
https://pubchem.ncbi.nlm.nih.gov/compound/Fenpyroximate#section=Acute-Effects citing 
Nippon Noyaku Gakkaishi. Journal of the Pesticide Science Society of Japan., 17(S261), 1992</t>
        </r>
      </text>
    </comment>
    <comment ref="D133" authorId="0" shapeId="0" xr:uid="{0D0E4CB6-3D33-4A9B-9A6D-67560F01611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4" authorId="0" shapeId="0" xr:uid="{00000000-0006-0000-0B00-000012000000}">
      <text>
        <r>
          <rPr>
            <sz val="9"/>
            <color indexed="81"/>
            <rFont val="Tahoma"/>
            <family val="2"/>
          </rPr>
          <t>oral, rat
https://pubchem.ncbi.nlm.nih.gov/compound/fenthion#section=Acute-Effects citing Khimiya v Sel'skom Khozyaistve. Chemistry in Agriculture., 16(2)(59), 1978</t>
        </r>
      </text>
    </comment>
    <comment ref="D134" authorId="0" shapeId="0" xr:uid="{714E92FD-FAC6-481F-8BBC-52FE627C0B3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5" authorId="0" shapeId="0" xr:uid="{76D1CE7E-D6E9-4899-84CE-D2A311165A67}">
      <text>
        <r>
          <rPr>
            <sz val="9"/>
            <color indexed="81"/>
            <rFont val="Tahoma"/>
            <family val="2"/>
          </rPr>
          <t>oral, rat
https://pubchem.ncbi.nlm.nih.gov/compound/Fentin-acetate#section=Acute-Effects citing Tin and Its Uses., 43(9), 1958</t>
        </r>
      </text>
    </comment>
    <comment ref="D135" authorId="0" shapeId="0" xr:uid="{9B7DA675-B8E8-4D56-ABEF-7126E38897D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6" authorId="0" shapeId="0" xr:uid="{AD1099E4-9175-4BAF-9D26-9F48253946B7}">
      <text>
        <r>
          <rPr>
            <sz val="9"/>
            <color indexed="81"/>
            <rFont val="Tahoma"/>
            <family val="2"/>
          </rPr>
          <t>oral, male rat
https://www.chemicalbook.com/msds/Fentin-hydroxide.pdf</t>
        </r>
      </text>
    </comment>
    <comment ref="D136" authorId="0" shapeId="0" xr:uid="{F168942F-AAC4-4DE7-9696-8EC8594DD60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7" authorId="0" shapeId="0" xr:uid="{00000000-0006-0000-0B00-000013000000}">
      <text>
        <r>
          <rPr>
            <sz val="9"/>
            <color indexed="81"/>
            <rFont val="Tahoma"/>
            <family val="2"/>
          </rPr>
          <t xml:space="preserve">oral, rat
https://pubchem.ncbi.nlm.nih.gov/compound/fenvalerate#section=Acute-Effects citing Zhonghua Yufangyixue Zazhi. Chinese Journal of Preventive Medicine., 21(215), 1987 [PMID:2820666]
</t>
        </r>
      </text>
    </comment>
    <comment ref="D137" authorId="0" shapeId="0" xr:uid="{9BBFCAB5-8E26-4483-9BA1-1F8A7D2DAC1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8" authorId="0" shapeId="0" xr:uid="{356CE306-668F-41A2-AC47-5359B5369B9F}">
      <text>
        <r>
          <rPr>
            <sz val="9"/>
            <color indexed="81"/>
            <rFont val="Tahoma"/>
            <family val="2"/>
          </rPr>
          <t>oral, rat
https://www.chemsrc.com/en/cas/89269-64-7_244371.html
Alternative LD50 oral, rat is 725 mg/kg according to https://sitem.herts.ac.uk/aeru/ppdb/en/Reports/719.htm</t>
        </r>
      </text>
    </comment>
    <comment ref="D138" authorId="0" shapeId="0" xr:uid="{8CC09856-AEEB-4288-AC53-FD90284ADDF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39" authorId="0" shapeId="0" xr:uid="{52DB0339-465F-42E5-8D3B-6D7DE854B3BD}">
      <text>
        <r>
          <rPr>
            <sz val="9"/>
            <color indexed="81"/>
            <rFont val="Tahoma"/>
            <family val="2"/>
          </rPr>
          <t xml:space="preserve">oral, rat
https://pubmed.ncbi.nlm.nih.gov/12442503/
</t>
        </r>
      </text>
    </comment>
    <comment ref="D139" authorId="0" shapeId="0" xr:uid="{0C97A0E5-CE04-4E1E-B2CF-A7B28B8F734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0" authorId="0" shapeId="0" xr:uid="{E8E68303-0371-4F8B-9B16-47C4A42D2792}">
      <text>
        <r>
          <rPr>
            <sz val="9"/>
            <color indexed="81"/>
            <rFont val="Tahoma"/>
            <family val="2"/>
          </rPr>
          <t xml:space="preserve">oral, rat
https://pubchem.ncbi.nlm.nih.gov/compound/Flocoumafen#section=Acute-Effects citing Pesticide Manual., 9(398), 1991
</t>
        </r>
      </text>
    </comment>
    <comment ref="D140" authorId="0" shapeId="0" xr:uid="{59A50227-25BD-4E33-BCD5-4C02F26E8A9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1" authorId="0" shapeId="0" xr:uid="{7B68D0D0-742D-433F-9B2D-04C741112F79}">
      <text>
        <r>
          <rPr>
            <sz val="9"/>
            <color indexed="81"/>
            <rFont val="Tahoma"/>
            <family val="2"/>
          </rPr>
          <t>oral, rat
https://pubchem.ncbi.nlm.nih.gov/compound/Fluchloralin#section=Acute-Effects citing Farm Chemicals Handbook., -(C37), 1991</t>
        </r>
      </text>
    </comment>
    <comment ref="D141" authorId="0" shapeId="0" xr:uid="{AE9DE185-5377-42AD-A749-2BDDA7BEE50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2" authorId="0" shapeId="0" xr:uid="{7FAF4DC4-8FD5-4D1B-A0BE-E5534E02642C}">
      <text>
        <r>
          <rPr>
            <sz val="9"/>
            <color indexed="81"/>
            <rFont val="Tahoma"/>
            <family val="2"/>
          </rPr>
          <t>oral, rat
https://pubchem.ncbi.nlm.nih.gov/compound/flucythrinate#section=Acute-Effects citing 
Farm Chemicals Handbook., -(C141), 1991</t>
        </r>
      </text>
    </comment>
    <comment ref="D142" authorId="0" shapeId="0" xr:uid="{E33E9574-7B9E-49D4-93F1-F320C6339BA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3" authorId="0" shapeId="0" xr:uid="{B6599F8F-39CD-4BA1-8FE4-643E2BDEEC65}">
      <text>
        <r>
          <rPr>
            <sz val="9"/>
            <color indexed="81"/>
            <rFont val="Tahoma"/>
            <family val="2"/>
          </rPr>
          <t xml:space="preserve">oral, rat, average for male and female rat
https://pubchem.ncbi.nlm.nih.gov/compound/Flufenacet#section=Non-Human-Toxicity-Excerpts citing  https://www.epa.gov/opp00001/chem_search/reg_actions/registration/fs_PC-121903_01-Apr-98.pdf
</t>
        </r>
      </text>
    </comment>
    <comment ref="D143" authorId="0" shapeId="0" xr:uid="{77FBEA53-04AD-4F84-889C-7E1D02C0577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4" authorId="0" shapeId="0" xr:uid="{03DDB26F-B36C-4A71-9459-B02231AC0D82}">
      <text>
        <r>
          <rPr>
            <sz val="9"/>
            <color indexed="81"/>
            <rFont val="Tahoma"/>
            <family val="2"/>
          </rPr>
          <t xml:space="preserve">Oral, rat
https://pim-resources.coleparmer.com/sds/06132.pdf
</t>
        </r>
      </text>
    </comment>
    <comment ref="D144" authorId="0" shapeId="0" xr:uid="{84DC1BEE-D13E-4DC9-A83D-EDC08705CEA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5" authorId="0" shapeId="0" xr:uid="{88AD12B1-0007-428A-9137-4019F79E92B9}">
      <text>
        <r>
          <rPr>
            <sz val="9"/>
            <color indexed="81"/>
            <rFont val="Tahoma"/>
            <family val="2"/>
          </rPr>
          <t xml:space="preserve">oral, rat
https://nucleus.iaea.org/sites/fcris/SitePages/Pestiside-Attributes/FLU05.htm
</t>
        </r>
      </text>
    </comment>
    <comment ref="D145" authorId="0" shapeId="0" xr:uid="{C658BA89-3E54-4A0D-A52B-203BF874014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6" authorId="0" shapeId="0" xr:uid="{A08E4DA4-9E34-4E15-8946-77D3EDAA3D04}">
      <text>
        <r>
          <rPr>
            <sz val="9"/>
            <color indexed="81"/>
            <rFont val="Tahoma"/>
            <family val="2"/>
          </rPr>
          <t xml:space="preserve">oral, rat
https://pubchem.ncbi.nlm.nih.gov/compound/0073668#section=Acute-Effects citing Pesticide Manual., 9(422), 1991
</t>
        </r>
      </text>
    </comment>
    <comment ref="D146" authorId="0" shapeId="0" xr:uid="{A0C27AF0-D61B-4FD1-8C8A-5F0B21F5205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7" authorId="0" shapeId="0" xr:uid="{CC56A388-C4FD-4B3B-BF66-94374FE44A6A}">
      <text>
        <r>
          <rPr>
            <sz val="9"/>
            <color indexed="81"/>
            <rFont val="Tahoma"/>
            <family val="2"/>
          </rPr>
          <t>oral, rat
https://pubchem.ncbi.nlm.nih.gov/compound/Flusilazole#section=Acute-Effects
citing Proceedings-British Crop Protection Conference-Pests and Diseases., -(413), 1984</t>
        </r>
      </text>
    </comment>
    <comment ref="D147" authorId="0" shapeId="0" xr:uid="{FA8EC71F-9FA3-4729-9E97-7E4CDCF8EA9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8" authorId="0" shapeId="0" xr:uid="{161209DE-5258-4883-A620-F2ED8175E268}">
      <text>
        <r>
          <rPr>
            <sz val="9"/>
            <color indexed="81"/>
            <rFont val="Tahoma"/>
            <family val="2"/>
          </rPr>
          <t>oral, rat; 
https://www.fao.org/fileadmin/templates/agphome/documents/Pests_Pesticides/JMPR/Report11/Flutriafol.pdf</t>
        </r>
      </text>
    </comment>
    <comment ref="D148" authorId="0" shapeId="0" xr:uid="{AB38A834-EE7E-4A02-89E9-6970DC6ABFD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49" authorId="0" shapeId="0" xr:uid="{79509791-0557-48B0-846E-6693686EAF85}">
      <text>
        <r>
          <rPr>
            <sz val="9"/>
            <color indexed="81"/>
            <rFont val="Tahoma"/>
            <family val="2"/>
          </rPr>
          <t>oral, rat
https://pubchem.ncbi.nlm.nih.gov/compound/Fluxofenim#section=Toxicity
citing Farm Chemicals Handbook., -(C79), 1991</t>
        </r>
      </text>
    </comment>
    <comment ref="D149" authorId="0" shapeId="0" xr:uid="{531E2084-6522-419C-8361-2B8D8B6B3B1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0" authorId="0" shapeId="0" xr:uid="{42793A28-0698-4521-BB30-8C1688487F15}">
      <text>
        <r>
          <rPr>
            <sz val="9"/>
            <color indexed="81"/>
            <rFont val="Tahoma"/>
            <family val="2"/>
          </rPr>
          <t xml:space="preserve">oral, rat
https://pubchem.ncbi.nlm.nih.gov/compound/Fomesafen#section=Cancer-Sites citing Pesticide Manual., 9(433), 1991
</t>
        </r>
      </text>
    </comment>
    <comment ref="D150" authorId="0" shapeId="0" xr:uid="{90019112-286E-4E01-94BA-02B0F1A84E7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1" authorId="0" shapeId="0" xr:uid="{F17B365F-DD3D-44A1-94B2-276CB4AB2081}">
      <text>
        <r>
          <rPr>
            <sz val="9"/>
            <color indexed="81"/>
            <rFont val="Tahoma"/>
            <family val="2"/>
          </rPr>
          <t>oral, rat
https://pubchem.ncbi.nlm.nih.gov/compound/Formetanate-hydrochloride#section=Acute-Effects citing Farm Chemicals Handbook., -(C63), 1991</t>
        </r>
      </text>
    </comment>
    <comment ref="D151" authorId="0" shapeId="0" xr:uid="{AE073B9F-5E95-406A-8C79-3F4E1DA8265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2" authorId="0" shapeId="0" xr:uid="{25627A36-D5C4-43D0-AC9D-23E8FB97B1D9}">
      <text>
        <r>
          <rPr>
            <sz val="9"/>
            <color indexed="81"/>
            <rFont val="Tahoma"/>
            <family val="2"/>
          </rPr>
          <t>orl, rat
https://pubchem.ncbi.nlm.nih.gov/compound/fuberidazole#section=Toxicological-Information
citing Farm Chemicals Handbook., -(C148), 1991</t>
        </r>
      </text>
    </comment>
    <comment ref="D152" authorId="0" shapeId="0" xr:uid="{4F92E4E4-7DE7-4E98-B828-A19D34E20C6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3" authorId="0" shapeId="0" xr:uid="{7E4805F3-6470-4401-AB1C-34FE45473232}">
      <text>
        <r>
          <rPr>
            <sz val="9"/>
            <color indexed="81"/>
            <rFont val="Tahoma"/>
            <family val="2"/>
          </rPr>
          <t>oral, rat
https://pubchem.ncbi.nlm.nih.gov/compound/Furalaxyl#section=Toxicity citing Farm Chemicals Handbook., -(C145), 1991</t>
        </r>
      </text>
    </comment>
    <comment ref="D153" authorId="0" shapeId="0" xr:uid="{41F9783C-B577-453B-9B48-C9C4CE73A4D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4" authorId="0" shapeId="0" xr:uid="{04F742BC-2B8B-4BF4-80E9-8E7CC7FC6DEF}">
      <text>
        <r>
          <rPr>
            <sz val="9"/>
            <color indexed="81"/>
            <rFont val="Tahoma"/>
            <family val="2"/>
          </rPr>
          <t>oral, rat
https://pubchem.ncbi.nlm.nih.gov/compound/Furathiocarb#section=Acute-Effects citing Agrochemicals Handbook, with updates, Hartley, D., and H. Kidd, eds., Nottingham, Royal Soc of Chemistry, 1983-86, A816(1986)</t>
        </r>
      </text>
    </comment>
    <comment ref="D154" authorId="0" shapeId="0" xr:uid="{AB17F35D-6CE0-4483-8F97-93B05E668B7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5" authorId="0" shapeId="0" xr:uid="{CC73B9AC-D8E9-4E87-952A-EAC62F01EB56}">
      <text>
        <r>
          <rPr>
            <sz val="9"/>
            <color indexed="81"/>
            <rFont val="Tahoma"/>
            <family val="2"/>
          </rPr>
          <t>oral, rat
https://pubchem.ncbi.nlm.nih.gov/compound/Hexachlorocyclohexane#section=Acute-Effects
citing Farmakologiya i Toksikologiya, 39(455), 1976 [PMID:68890]</t>
        </r>
      </text>
    </comment>
    <comment ref="D155" authorId="0" shapeId="0" xr:uid="{43FB2AFF-ECA8-4BCF-9441-931481372E8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6" authorId="0" shapeId="0" xr:uid="{5734680A-E8A5-4FB1-8E7F-C1E4C59ED11D}">
      <text>
        <r>
          <rPr>
            <sz val="9"/>
            <color indexed="81"/>
            <rFont val="Tahoma"/>
            <family val="2"/>
          </rPr>
          <t>oral, rat for glufosinate-ammonium
https://pubchem.ncbi.nlm.nih.gov/compound/53597#section=Acute-Effects citing Farm Chemicals Handbook., -(C154), 1991</t>
        </r>
      </text>
    </comment>
    <comment ref="D156" authorId="0" shapeId="0" xr:uid="{B5BF8401-8E5B-4A1C-9FEF-08C570E4033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7" authorId="0" shapeId="0" xr:uid="{67DF237A-7D0C-4E45-9F61-5BDF88843EE5}">
      <text>
        <r>
          <rPr>
            <sz val="9"/>
            <color indexed="81"/>
            <rFont val="Tahoma"/>
            <family val="2"/>
          </rPr>
          <t xml:space="preserve">oral, rat
https://www.fao.org/4/W8141E/w8141e0v.htm
</t>
        </r>
      </text>
    </comment>
    <comment ref="D157" authorId="0" shapeId="0" xr:uid="{52F91E5F-2CC5-4A3B-B482-0B41548893C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8" authorId="0" shapeId="0" xr:uid="{467AEC27-252F-4B79-8706-D5C24FDD2701}">
      <text>
        <r>
          <rPr>
            <sz val="9"/>
            <color indexed="81"/>
            <rFont val="Tahoma"/>
            <family val="2"/>
          </rPr>
          <t xml:space="preserve">&gt;2150 mg/kg for Mallard duck
https://pubchem.ncbi.nlm.nih.gov/compound/haloxyfop#section=EPA-Ecotoxicity
</t>
        </r>
      </text>
    </comment>
    <comment ref="D158" authorId="0" shapeId="0" xr:uid="{E7E684F7-5FF8-4E78-B075-084208E872D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59" authorId="0" shapeId="0" xr:uid="{2A0929A0-C79B-4B2D-AD7F-1560B145DB1D}">
      <text>
        <r>
          <rPr>
            <sz val="9"/>
            <color indexed="81"/>
            <rFont val="Tahoma"/>
            <family val="2"/>
          </rPr>
          <t xml:space="preserve">88 to 190 mg/kg for oral intake in rats
https://extoxnet.orst.edu/pips/lindane.htm
</t>
        </r>
      </text>
    </comment>
    <comment ref="D159" authorId="0" shapeId="0" xr:uid="{24381F9D-FF49-4B42-80DE-7215D736D37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0" authorId="0" shapeId="0" xr:uid="{15EA0DBA-A849-4855-9F5B-6289FCA1DD73}">
      <text>
        <r>
          <rPr>
            <sz val="9"/>
            <color indexed="81"/>
            <rFont val="Tahoma"/>
            <family val="2"/>
          </rPr>
          <t xml:space="preserve">LD50 Rat oral 96-117
https://pubchem.ncbi.nlm.nih.gov/compound/heptenophos#section=Non-Human-Toxicity-Excerpts citing O'Neil, M.J. (ed.). The Merck Index - An Encyclopedia of Chemicals, Drugs, and Biologicals. 13th Edition, Whitehouse Station, NJ: Merck and Co., Inc., 2001., p. 832
</t>
        </r>
      </text>
    </comment>
    <comment ref="D160" authorId="0" shapeId="0" xr:uid="{2468918B-9CC2-4DFE-A589-0B5498F6E05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1" authorId="0" shapeId="0" xr:uid="{0BD0A2A7-4139-48A5-ADEB-A66656829A21}">
      <text>
        <r>
          <rPr>
            <sz val="9"/>
            <color indexed="81"/>
            <rFont val="Tahoma"/>
            <family val="2"/>
          </rPr>
          <t>oral, rat
https://pubchem.ncbi.nlm.nih.gov/compound/hexachlorobenzene#section=Acute-Effects
citing Farm Chemicals Handbook., -(C163), 1991</t>
        </r>
      </text>
    </comment>
    <comment ref="D161" authorId="0" shapeId="0" xr:uid="{64507B6F-0A65-4928-9A14-0AB220272A5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2" authorId="0" shapeId="0" xr:uid="{9C53A727-EDE6-479D-B8BF-89C8AD845076}">
      <text>
        <r>
          <rPr>
            <sz val="9"/>
            <color indexed="81"/>
            <rFont val="Tahoma"/>
            <family val="2"/>
          </rPr>
          <t>oral, rat
https://pubchem.ncbi.nlm.nih.gov/compound/hexazinone#section=Acute-Effects
citing Agricultural Chemicals, Thomson, W.T., 4 vols., Fresno, CA, Thomson Publications, 1976/77 revision, 2(135), 1977</t>
        </r>
      </text>
    </comment>
    <comment ref="D162" authorId="0" shapeId="0" xr:uid="{C2863B54-C0F6-4C85-81D1-E5EF4D34416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3" authorId="0" shapeId="0" xr:uid="{BDEA368E-C261-4E85-86A6-C683A1A332CB}">
      <text>
        <r>
          <rPr>
            <sz val="9"/>
            <color indexed="81"/>
            <rFont val="Tahoma"/>
            <family val="2"/>
          </rPr>
          <t>Average LD50 for male and female rat at oral intake.
https://pubchem.ncbi.nlm.nih.gov/compound/Hydramethylnon#section=Non-Human-Toxicity-Excerpts citing Tomlin, C.D.S. (ed.). The Pesticide Manual - World Compendium. 10th ed. Surrey, UK: The British Crop Protection Council, 1994., p. 570</t>
        </r>
      </text>
    </comment>
    <comment ref="D163" authorId="0" shapeId="0" xr:uid="{86B179CB-F9E8-4A66-B2EB-7CBDDB3073F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4" authorId="0" shapeId="0" xr:uid="{32805FBA-652D-4E53-8F91-78D1C8DB1D4A}">
      <text>
        <r>
          <rPr>
            <sz val="9"/>
            <color indexed="81"/>
            <rFont val="Tahoma"/>
            <family val="2"/>
          </rPr>
          <t>rat. oral
https://pubchem.ncbi.nlm.nih.gov/compound/Imazalil#section=Acute-Effects citing
Arzneimittel-Forschung. Drug Research., 31(309), 1981 [PMID:7194648]</t>
        </r>
      </text>
    </comment>
    <comment ref="D164" authorId="0" shapeId="0" xr:uid="{CDC6F256-2626-4F42-BAD5-5B3C20440AA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5" authorId="0" shapeId="0" xr:uid="{0A12986A-BEE8-4261-A87E-5F29975115C3}">
      <text>
        <r>
          <rPr>
            <sz val="9"/>
            <color indexed="81"/>
            <rFont val="Tahoma"/>
            <family val="2"/>
          </rPr>
          <t>oral, rat
https://pubchem.ncbi.nlm.nih.gov/compound/Imidacloprid#section=Acute-Effects citing Agrochemcicals Japan., (63)(15), 1993</t>
        </r>
      </text>
    </comment>
    <comment ref="D165" authorId="0" shapeId="0" xr:uid="{9290F744-275B-4845-9FF0-106AE23C369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A166" authorId="0" shapeId="0" xr:uid="{0E3AEA6D-E298-455C-A6AF-BCF75E83B73F}">
      <text>
        <r>
          <rPr>
            <sz val="9"/>
            <color indexed="81"/>
            <rFont val="Tahoma"/>
            <family val="2"/>
          </rPr>
          <t xml:space="preserve">The same as Guazatine
</t>
        </r>
      </text>
    </comment>
    <comment ref="B166" authorId="0" shapeId="0" xr:uid="{0DDC8E9E-064A-482C-B1E8-188B1053BA76}">
      <text>
        <r>
          <rPr>
            <sz val="9"/>
            <color indexed="81"/>
            <rFont val="Tahoma"/>
            <family val="2"/>
          </rPr>
          <t xml:space="preserve">The same as Guazatine
108173-90-6 </t>
        </r>
      </text>
    </comment>
    <comment ref="C166" authorId="0" shapeId="0" xr:uid="{78297205-C1D8-4D1D-9073-FFC05EB5F57E}">
      <text>
        <r>
          <rPr>
            <sz val="9"/>
            <color indexed="81"/>
            <rFont val="Tahoma"/>
            <family val="2"/>
          </rPr>
          <t xml:space="preserve">oral, rat
https://www.fao.org/4/W8141E/w8141e0v.htm
</t>
        </r>
      </text>
    </comment>
    <comment ref="D166" authorId="0" shapeId="0" xr:uid="{95B6396C-1301-4FB8-9B3A-FD9C4813F07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7" authorId="0" shapeId="0" xr:uid="{69169762-4CFF-4801-BB5C-C831CDD4CB23}">
      <text>
        <r>
          <rPr>
            <sz val="9"/>
            <color indexed="81"/>
            <rFont val="Tahoma"/>
            <family val="2"/>
          </rPr>
          <t xml:space="preserve">average for oral intake in male and female rat
https://www.msd.com/docs/product/safety-data-sheets/ah-sds/Indoxacarb%20Formulation_AH_US_EN.pdf
</t>
        </r>
      </text>
    </comment>
    <comment ref="D167" authorId="0" shapeId="0" xr:uid="{C63C5245-E449-4E18-A8CC-0CD78861FBF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8" authorId="0" shapeId="0" xr:uid="{1724E9CD-21D8-4683-BC41-9FB5B2A9E28C}">
      <text>
        <r>
          <rPr>
            <sz val="9"/>
            <color indexed="81"/>
            <rFont val="Tahoma"/>
            <family val="2"/>
          </rPr>
          <t>oral, rat
https://pubchem.ncbi.nlm.nih.gov/compound/ioxynil#section=Acute-Effects citing
World Review of Pest Control., 9(119), 1970</t>
        </r>
      </text>
    </comment>
    <comment ref="D168" authorId="0" shapeId="0" xr:uid="{083B344D-9802-47D0-A4D6-387E63F4E2E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69" authorId="0" shapeId="0" xr:uid="{91B77747-577A-4C22-A6F9-37CF346B0B0F}">
      <text>
        <r>
          <rPr>
            <sz val="9"/>
            <color indexed="81"/>
            <rFont val="Tahoma"/>
            <family val="2"/>
          </rPr>
          <t>oral, rat
https://pubchem.ncbi.nlm.nih.gov/compound/Ioxynil-octanoate#section=Acute-Effects citing
Guide to the Chemicals Used in Crop Protection., 6(305), 1973</t>
        </r>
      </text>
    </comment>
    <comment ref="D169" authorId="0" shapeId="0" xr:uid="{5FD08300-DFBD-443F-AA23-7631DBFEBFB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0" authorId="0" shapeId="0" xr:uid="{FE6EF043-64F4-4D99-97B3-A955009EF319}">
      <text>
        <r>
          <rPr>
            <sz val="9"/>
            <color indexed="81"/>
            <rFont val="Tahoma"/>
            <family val="2"/>
          </rPr>
          <t xml:space="preserve">Average LD50 for male and female rat at oral intake
https://datasheets.scbt.com/sds/aghs/en/sc-250165.pdf
</t>
        </r>
      </text>
    </comment>
    <comment ref="D170" authorId="0" shapeId="0" xr:uid="{F5250A39-FC13-42CD-9AC5-5B23FF49277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1" authorId="0" shapeId="0" xr:uid="{9D91D26D-19D6-4B1A-8F0C-56862A98F4CB}">
      <text>
        <r>
          <rPr>
            <sz val="9"/>
            <color indexed="81"/>
            <rFont val="Tahoma"/>
            <family val="2"/>
          </rPr>
          <t>oral, rat
https://pubchem.ncbi.nlm.nih.gov/compound/Isoprocarb#section=Acute-Effects
citing Farm Chemicals Handbook., -(C206), 1991</t>
        </r>
      </text>
    </comment>
    <comment ref="D171" authorId="0" shapeId="0" xr:uid="{860055CE-2D6E-4AC0-8DD3-F3962016DCC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D172" authorId="0" shapeId="0" xr:uid="{339665DC-D63F-4E26-9786-3850A0E3893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3" authorId="0" shapeId="0" xr:uid="{B645D56B-736A-4F2F-9CEC-7A49427E8712}">
      <text>
        <r>
          <rPr>
            <sz val="9"/>
            <color indexed="81"/>
            <rFont val="Tahoma"/>
            <family val="2"/>
          </rPr>
          <t>oral, rat
https://pubchem.ncbi.nlm.nih.gov/compound/isoproturon#section=Acute-Effects citing Agrochemicals Handbook, with updates, Hartley, D., and H. Kidd, eds., Nottingham, Royal Soc of Chemistry, 1983-86, A238(1983)</t>
        </r>
      </text>
    </comment>
    <comment ref="D173" authorId="0" shapeId="0" xr:uid="{EB52D200-7199-47F5-B5DE-023C327F13E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4" authorId="0" shapeId="0" xr:uid="{31B51F4E-E43E-4C1C-9F5F-BE8B7BE3DEA1}">
      <text>
        <r>
          <rPr>
            <sz val="9"/>
            <color indexed="81"/>
            <rFont val="Tahoma"/>
            <family val="2"/>
          </rPr>
          <t xml:space="preserve">oral, rat
https://pubchem.ncbi.nlm.nih.gov/compound/isouron#section=Toxicity citing Pesticide Manual., 9(509), 1991
</t>
        </r>
      </text>
    </comment>
    <comment ref="D174" authorId="0" shapeId="0" xr:uid="{75E771EA-D648-4485-8327-590627D3343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5" authorId="0" shapeId="0" xr:uid="{78C8B270-CAD2-4CDB-A714-E8409FC2FF92}">
      <text>
        <r>
          <rPr>
            <sz val="9"/>
            <color indexed="81"/>
            <rFont val="Tahoma"/>
            <family val="2"/>
          </rPr>
          <t xml:space="preserve">oral, rat
https://labchem-wako.fujifilm.com/sds/W01W0109-0224JGHEEN.pdf
</t>
        </r>
      </text>
    </comment>
    <comment ref="D175" authorId="0" shapeId="0" xr:uid="{AD3987BD-066B-464C-86A1-1811EC5B4AC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6" authorId="0" shapeId="0" xr:uid="{00000000-0006-0000-0B00-000014000000}">
      <text>
        <r>
          <rPr>
            <sz val="9"/>
            <color indexed="81"/>
            <rFont val="Tahoma"/>
            <family val="2"/>
          </rPr>
          <t xml:space="preserve">The acute oral LD50 in rats is 79 mg/kg for males and 56 mg/kg for females
https://www.npic.orst.edu/factsheets/archive/l_cyhalotech.pdf citing Lambda-cyhalothrin; Pesticide Tolerances. Fed. Regist. 1998, 63 (30), 7291-7299
</t>
        </r>
      </text>
    </comment>
    <comment ref="D176" authorId="0" shapeId="0" xr:uid="{52A820E7-C0AA-4B2D-9EAE-5174D1A4147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A177" authorId="0" shapeId="0" xr:uid="{00000000-0006-0000-0B00-000015000000}">
      <text>
        <r>
          <rPr>
            <sz val="9"/>
            <color indexed="81"/>
            <rFont val="Tahoma"/>
            <family val="2"/>
          </rPr>
          <t xml:space="preserve">PbHAsO4
</t>
        </r>
      </text>
    </comment>
    <comment ref="C177" authorId="0" shapeId="0" xr:uid="{3B70D973-A491-4474-938E-713512EE41B1}">
      <text>
        <r>
          <rPr>
            <sz val="9"/>
            <color indexed="81"/>
            <rFont val="Tahoma"/>
            <family val="2"/>
          </rPr>
          <t>oral, rat
https://pubchem.ncbi.nlm.nih.gov/compound/Lead-arsenate-_PbHAsO4#section=Acute-Effects
citing Pesticide Chemicals Official Compendium, Association of the American Pesticide Control Officials, Inc., 1966., -(653), 1966</t>
        </r>
      </text>
    </comment>
    <comment ref="D177" authorId="0" shapeId="0" xr:uid="{9345F155-6C21-40F4-8CA1-8F5FB290D3E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8" authorId="0" shapeId="0" xr:uid="{82454F54-2A59-471D-8C13-9C6C445DE3D5}">
      <text>
        <r>
          <rPr>
            <sz val="9"/>
            <color indexed="81"/>
            <rFont val="Tahoma"/>
            <family val="2"/>
          </rPr>
          <t>oral, rat
https://www.grosafe.co.nz/wp-content/uploads/2023/05/SDS-AGCARE-M.C.P.A-750-2023May04.pdf
&gt;300 mg/kg according to https://www.fao.org/fileadmin/templates/agphome/documents/Pests_Pesticides/JMPR/Report12/MCPA.pdf</t>
        </r>
      </text>
    </comment>
    <comment ref="D178" authorId="0" shapeId="0" xr:uid="{93279E66-8348-4032-99BC-7026D02083B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79" authorId="0" shapeId="0" xr:uid="{77D5FF45-0AC0-4A6F-B8C4-C963DF7FF560}">
      <text>
        <r>
          <rPr>
            <sz val="9"/>
            <color indexed="81"/>
            <rFont val="Tahoma"/>
            <family val="2"/>
          </rPr>
          <t>oral, rat
https://pubchem.ncbi.nlm.nih.gov/compound/MCPA-thioethyl#section=Toxicity
citing Pesticide Manual., 9(536), 1991</t>
        </r>
      </text>
    </comment>
    <comment ref="D179" authorId="0" shapeId="0" xr:uid="{BF95F5BB-C40F-4881-AEFA-53842372D4C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0" authorId="0" shapeId="0" xr:uid="{BB931CE1-D169-4391-9246-08454C600CAE}">
      <text>
        <r>
          <rPr>
            <sz val="9"/>
            <color indexed="81"/>
            <rFont val="Tahoma"/>
            <family val="2"/>
          </rPr>
          <t xml:space="preserve">oral, rat
https://www.epa.govt.nz/database-search/chemical-classification-and-information-database-ccid/view/1E367F45-DFBA-4622-845E-819B6B2F13B0/
</t>
        </r>
      </text>
    </comment>
    <comment ref="D180" authorId="0" shapeId="0" xr:uid="{0F0BE6D4-D3AB-43B9-BF23-19359DB94FC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1" authorId="0" shapeId="0" xr:uid="{094491FD-E8D7-4825-A440-5FB32A947F74}">
      <text>
        <r>
          <rPr>
            <sz val="9"/>
            <color indexed="81"/>
            <rFont val="Tahoma"/>
            <family val="2"/>
          </rPr>
          <t>oral, rat
https://pubchem.ncbi.nlm.nih.gov/compound/mecarbam#section=Acute-Effects citing
Bochu Kagaku. Scientific Pest Control., 26(69), 1961</t>
        </r>
      </text>
    </comment>
    <comment ref="D181" authorId="0" shapeId="0" xr:uid="{A35D3A62-BF1A-471F-B0DA-F5721A855A1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2" authorId="0" shapeId="0" xr:uid="{A8F6C437-C16C-4B15-A845-FF8D8DFA1C4E}">
      <text>
        <r>
          <rPr>
            <sz val="9"/>
            <color indexed="81"/>
            <rFont val="Tahoma"/>
            <family val="2"/>
          </rPr>
          <t>The rat oral LD50 ranges from 650 to 1200 mg/kg of body weight
https://www.sciencedirect.com/topics/agricultural-and-biological-sciences/mecoprop</t>
        </r>
      </text>
    </comment>
    <comment ref="D182" authorId="0" shapeId="0" xr:uid="{B0D9A56F-B17A-4F58-99F2-3A3670430B4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3" authorId="0" shapeId="0" xr:uid="{B22A87C4-4DBC-4C56-9BEB-7FFCC871E643}">
      <text>
        <r>
          <rPr>
            <sz val="9"/>
            <color indexed="81"/>
            <rFont val="Tahoma"/>
            <family val="2"/>
          </rPr>
          <t>oral, rat
https://pubchem.ncbi.nlm.nih.gov/compound/Mecoprop-P#section=Acute-Effects
citing Farm Chemicals Handbook., -(C193), 1991</t>
        </r>
      </text>
    </comment>
    <comment ref="D183" authorId="0" shapeId="0" xr:uid="{1635F61B-9A4D-45B3-B766-DF2CADE5E02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4" authorId="0" shapeId="0" xr:uid="{C9C9E8D3-D909-4EB8-8430-01BE42A3F50F}">
      <text>
        <r>
          <rPr>
            <sz val="9"/>
            <color indexed="81"/>
            <rFont val="Tahoma"/>
            <family val="2"/>
          </rPr>
          <t xml:space="preserve">oral, rat
https://pubchem.ncbi.nlm.nih.gov/compound/Mefluidide#section=Acute-Effects citing Agricultural Chemicals, Thomson, W.T., 4 vols., Fresno, CA, Thomson Publications, 1976/77 revision, 3(66), 1976/1977
</t>
        </r>
      </text>
    </comment>
    <comment ref="D184" authorId="0" shapeId="0" xr:uid="{3C040836-016D-4B86-A752-622CC80AD35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5" authorId="0" shapeId="0" xr:uid="{E784DF4F-4528-47D5-AF84-16C160552710}">
      <text>
        <r>
          <rPr>
            <sz val="9"/>
            <color indexed="81"/>
            <rFont val="Tahoma"/>
            <family val="2"/>
          </rPr>
          <t>oral, rat
https://efsa.onlinelibrary.wiley.com/doi/pdf/10.2903/j.efsa.2008.146r</t>
        </r>
        <r>
          <rPr>
            <sz val="9"/>
            <color indexed="81"/>
            <rFont val="Tahoma"/>
            <family val="2"/>
          </rPr>
          <t xml:space="preserve">
corresponds to 464 mg/kg for Metiquat chloride</t>
        </r>
      </text>
    </comment>
    <comment ref="D185" authorId="0" shapeId="0" xr:uid="{9D8B5C87-B79A-46D0-B24D-977C2DAE8A6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6" authorId="0" shapeId="0" xr:uid="{E691848C-37B0-45CF-B16A-7E5023233B66}">
      <text>
        <r>
          <rPr>
            <sz val="9"/>
            <color indexed="81"/>
            <rFont val="Tahoma"/>
            <family val="2"/>
          </rPr>
          <t>oral, rat
https://pubchem.ncbi.nlm.nih.gov/compound/Mercuric-chloride#section=Acute-Effects
citing Pesticide Manual., 9(550), 1991</t>
        </r>
      </text>
    </comment>
    <comment ref="D186" authorId="0" shapeId="0" xr:uid="{62A0DDB7-4940-41C3-8BE7-2EC9373E588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7" authorId="0" shapeId="0" xr:uid="{87F37789-73F8-438B-A5E6-3E62B8BD2BA7}">
      <text>
        <r>
          <rPr>
            <sz val="9"/>
            <color indexed="81"/>
            <rFont val="Tahoma"/>
            <family val="2"/>
          </rPr>
          <t xml:space="preserve">oral, rat
https://www.fishersci.com/store/msds?partNumber=AC316791000&amp;productDescription=MERCURY+OXIDE+YELLOW+100G&amp;vendorId=VN00032119&amp;countryCode=US&amp;language=en
</t>
        </r>
      </text>
    </comment>
    <comment ref="D187" authorId="0" shapeId="0" xr:uid="{9AEE3FA7-90EA-461A-B2F3-1034D540625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8" authorId="0" shapeId="0" xr:uid="{545B6667-1F22-42C2-9901-4472035EAD33}">
      <text>
        <r>
          <rPr>
            <sz val="9"/>
            <color indexed="81"/>
            <rFont val="Tahoma"/>
            <family val="2"/>
          </rPr>
          <t>oral, rat
https://pubchem.ncbi.nlm.nih.gov/compound/Mercury-chloride-_Hg2Cl2#section=Acute-Effects
citing Pesticide Manual., 9(552), 1991</t>
        </r>
      </text>
    </comment>
    <comment ref="D188" authorId="0" shapeId="0" xr:uid="{4A83F896-5F44-4AA4-AD23-7377AC5734F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89" authorId="0" shapeId="0" xr:uid="{4B819624-A260-4A13-A59E-888DA9CE4172}">
      <text>
        <r>
          <rPr>
            <sz val="9"/>
            <color indexed="81"/>
            <rFont val="Tahoma"/>
            <family val="2"/>
          </rPr>
          <t xml:space="preserve">oral, rat
https://extoxnet.orst.edu/pips/metalaxy.htm
</t>
        </r>
      </text>
    </comment>
    <comment ref="D189" authorId="0" shapeId="0" xr:uid="{B36E7D0B-8F80-40FB-B5D5-BB03DB20684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0" authorId="0" shapeId="0" xr:uid="{2EB26491-9BBB-4ED9-8143-3546A6C37511}">
      <text>
        <r>
          <rPr>
            <sz val="9"/>
            <color indexed="81"/>
            <rFont val="Tahoma"/>
            <family val="2"/>
          </rPr>
          <t xml:space="preserve">oral, rat
https://www.chemicalbook.com/msds/metaldehyde_2.pdf
</t>
        </r>
      </text>
    </comment>
    <comment ref="D190" authorId="0" shapeId="0" xr:uid="{C6C4AF78-D832-4563-BE6C-54B497BFDB7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1" authorId="0" shapeId="0" xr:uid="{85960480-4F01-4B25-BBD4-84CF2F521EC2}">
      <text>
        <r>
          <rPr>
            <sz val="9"/>
            <color indexed="81"/>
            <rFont val="Tahoma"/>
            <family val="2"/>
          </rPr>
          <t xml:space="preserve">oral, rat
https://pubchem.ncbi.nlm.nih.gov/compound/metamitron#section=Acute-Effects citing Agricultural Chemicals, Thomson, W.T., 4 vols., Fresno, CA, Thomson Publications, 1976/77 revision, 2(133), 1977
</t>
        </r>
      </text>
    </comment>
    <comment ref="D191" authorId="0" shapeId="0" xr:uid="{DD5230C6-CD34-44AE-9302-1AE6588E4CD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2" authorId="0" shapeId="0" xr:uid="{A7D516AE-9979-4A1D-A360-5B151A2F4715}">
      <text>
        <r>
          <rPr>
            <sz val="9"/>
            <color indexed="81"/>
            <rFont val="Tahoma"/>
            <family val="2"/>
          </rPr>
          <t>oral, rat
https://pubchem.ncbi.nlm.nih.gov/compound/Metam-sodium#section=Acute-Effects citing Farmakologiya i Toksikologiya, 32(356), 1969 [PMID:4897616]</t>
        </r>
      </text>
    </comment>
    <comment ref="D192" authorId="0" shapeId="0" xr:uid="{3711CE4A-6C3E-495D-AB0B-76C4AA0B2D2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3" authorId="0" shapeId="0" xr:uid="{40BA4AA6-7548-4032-9E4F-65D41368056D}">
      <text>
        <r>
          <rPr>
            <sz val="9"/>
            <color indexed="81"/>
            <rFont val="Tahoma"/>
            <family val="2"/>
          </rPr>
          <t>oral, rat
https://www.sigmaaldrich.com/SE/en/sds/sial/37909?userType=undefined
USEPA says it is &gt;1459 mg/kg https://nepis.epa.gov/Exe/ZyNET.exe/P100C251.txt?ZyActionD=ZyDocument&amp;Client=EPA&amp;Index=2006%20Thru%202010&amp;Docs=&amp;Query=&amp;Time=&amp;EndTime=&amp;SearchMethod=1&amp;TocRestrict=n&amp;Toc=&amp;TocEntry=&amp;QField=&amp;QFieldYear=&amp;QFieldMonth=&amp;QFieldDay=&amp;UseQField=&amp;IntQFieldOp=0&amp;ExtQFieldOp=0&amp;XmlQuery=&amp;File=D%3A%5CZYFILES%5CINDEX%20DATA%5C06THRU10%5CTXT%5C00000029%5CP100C251.txt&amp;User=ANONYMOUS&amp;Password=anonymous&amp;SortMethod=h%7C-&amp;MaximumDocuments=1&amp;FuzzyDegree=0&amp;ImageQuality=r75g8/r75g8/x150y150g16/i425&amp;Display=hpfr&amp;DefSeekPage=&amp;SearchBack=ZyActionL&amp;Back=ZyActionS&amp;BackDesc=Results%20page&amp;MaximumPages=1&amp;ZyEntry=3</t>
        </r>
      </text>
    </comment>
    <comment ref="D193" authorId="0" shapeId="0" xr:uid="{BC3A6595-0279-4388-880D-E695E7181A1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4" authorId="0" shapeId="0" xr:uid="{48082AE0-2C43-45B2-B597-4CEE75DA0419}">
      <text>
        <r>
          <rPr>
            <sz val="9"/>
            <color indexed="81"/>
            <rFont val="Tahoma"/>
            <family val="2"/>
          </rPr>
          <t xml:space="preserve">oral, rat
https://pubchem.ncbi.nlm.nih.gov/compound/Methacrifos#section=Toxicity citing Proceedings-British Crop Protection Conference-Pests and Diseases., -(1033), 1977
</t>
        </r>
      </text>
    </comment>
    <comment ref="D194" authorId="0" shapeId="0" xr:uid="{D2472E6A-AD9A-4AE9-9B2A-820EBAFF99D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5" authorId="0" shapeId="0" xr:uid="{7703C063-6130-476D-9D5F-316C090C49B4}">
      <text>
        <r>
          <rPr>
            <sz val="9"/>
            <color indexed="81"/>
            <rFont val="Tahoma"/>
            <family val="2"/>
          </rPr>
          <t xml:space="preserve">oral, rat
https://pubchem.ncbi.nlm.nih.gov/compound/methamidophos#section=Acute-Effects citing Agricultural Research Service, USDA Information Memorandum., 20(7), 1966
</t>
        </r>
      </text>
    </comment>
    <comment ref="D195" authorId="0" shapeId="0" xr:uid="{11FF1CBB-9CC1-4D0F-B853-2192332F778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6" authorId="0" shapeId="0" xr:uid="{65DB6EE8-81E3-4E44-9057-33004807DF66}">
      <text>
        <r>
          <rPr>
            <sz val="9"/>
            <color indexed="81"/>
            <rFont val="Tahoma"/>
            <family val="2"/>
          </rPr>
          <t>oral, rat
https://pubchem.ncbi.nlm.nih.gov/compound/Methasulfocarb#section=Toxicity citing 
Japan Pesticide Information., (46)(17), 1985</t>
        </r>
      </text>
    </comment>
    <comment ref="D196" authorId="0" shapeId="0" xr:uid="{8A56F4BC-4524-4E37-B8C8-86AEC70977B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7" authorId="0" shapeId="0" xr:uid="{1AE429EA-4655-41E5-AAF0-BF062A0D01B4}">
      <text>
        <r>
          <rPr>
            <sz val="9"/>
            <color indexed="81"/>
            <rFont val="Tahoma"/>
            <family val="2"/>
          </rPr>
          <t>oral, rat
https://pubchem.ncbi.nlm.nih.gov/compound/Methidathion#section=Acute-Effects citing World Review of Pest Control., 9(119), 1970</t>
        </r>
      </text>
    </comment>
    <comment ref="D197" authorId="0" shapeId="0" xr:uid="{44BD9F05-CF9E-48C4-AFDE-4BF3B22F9E4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8" authorId="0" shapeId="0" xr:uid="{BF477422-3904-4C01-BD47-2403FECEEBF5}">
      <text>
        <r>
          <rPr>
            <sz val="9"/>
            <color indexed="81"/>
            <rFont val="Tahoma"/>
            <family val="2"/>
          </rPr>
          <t xml:space="preserve">oral, rat
https://pubchem.ncbi.nlm.nih.gov/compound/methiocarb#section=Acute-Effects citing Farm Chemicals Handbook., -(C199), 1991
</t>
        </r>
      </text>
    </comment>
    <comment ref="D198" authorId="0" shapeId="0" xr:uid="{41949F71-FC0F-45D9-B7E3-41C593FE1F6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199" authorId="0" shapeId="0" xr:uid="{69D6B1A9-9493-4F0E-8424-B3A948E2D879}">
      <text>
        <r>
          <rPr>
            <sz val="9"/>
            <color indexed="81"/>
            <rFont val="Tahoma"/>
            <family val="2"/>
          </rPr>
          <t>"The oral LD(50) in rats is reported to be between 25 and 40 mg/kg (Dashiell and Kennedy 1984/Ex. 1-548)"
https://archive.cdc.gov/www_cdc_gov/niosh/pel88/16752-77.html</t>
        </r>
      </text>
    </comment>
    <comment ref="D199" authorId="0" shapeId="0" xr:uid="{F49F721E-F616-44E0-94E5-2CEBD58EDA0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0" authorId="0" shapeId="0" xr:uid="{44C43646-906F-4C9D-8550-D483C626F514}">
      <text>
        <r>
          <rPr>
            <sz val="9"/>
            <color indexed="81"/>
            <rFont val="Tahoma"/>
            <family val="2"/>
          </rPr>
          <t xml:space="preserve">oral, rat
https://pubchem.ncbi.nlm.nih.gov/compound/methyl-isothiocyanate#section=Acute-Effects citing Nippon Noyaku Gakkaishi. Journal of the Pesticide Science Society of Japan., 15(297), 1990
</t>
        </r>
      </text>
    </comment>
    <comment ref="D200" authorId="0" shapeId="0" xr:uid="{83F649BD-BC0D-4C16-9BF0-A108B4648B6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1" authorId="0" shapeId="0" xr:uid="{A732EEB4-80BA-477C-A4EC-7B7B5C5336A7}">
      <text>
        <r>
          <rPr>
            <sz val="9"/>
            <color indexed="81"/>
            <rFont val="Tahoma"/>
            <family val="2"/>
          </rPr>
          <t xml:space="preserve">oral, rat
https://pubchem.ncbi.nlm.nih.gov/compound/Methylarsonic-acid#section=Acute-Effects citing Fundamental and Applied Toxicology., 7(299), 1986
</t>
        </r>
      </text>
    </comment>
    <comment ref="D201" authorId="0" shapeId="0" xr:uid="{4980E260-41A1-4901-9B53-DE946463EB0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2" authorId="0" shapeId="0" xr:uid="{30FE3466-E81B-42D1-938C-00868B54DE16}">
      <text>
        <r>
          <rPr>
            <sz val="9"/>
            <color indexed="81"/>
            <rFont val="Tahoma"/>
            <family val="2"/>
          </rPr>
          <t xml:space="preserve">oral, rat
https://pubchem.ncbi.nlm.nih.gov/compound/metolcarb#section=Acute-Effects citing Farm Chemicals Handbook., -(C212), 1991
</t>
        </r>
      </text>
    </comment>
    <comment ref="D202" authorId="0" shapeId="0" xr:uid="{2515A957-4FDB-4FC4-A421-88D4EDC41A9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3" authorId="0" shapeId="0" xr:uid="{E426A585-BA5F-4D0F-8108-421EDA616DCF}">
      <text>
        <r>
          <rPr>
            <sz val="9"/>
            <color indexed="81"/>
            <rFont val="Tahoma"/>
            <family val="2"/>
          </rPr>
          <t xml:space="preserve">oral, rat
https://pubchem.ncbi.nlm.nih.gov/compound/Metribuzin#section=Acute-Effects citing https://pubchem.ncbi.nlm.nih.gov/compound/Metribuzin#section=Acute-Effects
</t>
        </r>
      </text>
    </comment>
    <comment ref="D203" authorId="0" shapeId="0" xr:uid="{61688B9D-6BDE-463B-A503-3C8575CFACA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4" authorId="0" shapeId="0" xr:uid="{9126652D-F82C-45F6-8592-512A85ED5558}">
      <text>
        <r>
          <rPr>
            <sz val="9"/>
            <color indexed="81"/>
            <rFont val="Tahoma"/>
            <family val="2"/>
          </rPr>
          <t xml:space="preserve">oral, rat
https://www.msdvetmanual.com/toxicology/insecticide-and-acaricide-organic-toxicity/organophosphate-toxicosis-in-animals
</t>
        </r>
      </text>
    </comment>
    <comment ref="D204" authorId="0" shapeId="0" xr:uid="{6389F43F-3BE3-4683-90CB-97097B0C87D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5" authorId="0" shapeId="0" xr:uid="{51E2D542-3B49-4B7F-93A5-1B269464071E}">
      <text>
        <r>
          <rPr>
            <sz val="9"/>
            <color indexed="81"/>
            <rFont val="Tahoma"/>
            <family val="2"/>
          </rPr>
          <t xml:space="preserve">oral, rat
https://pubchem.ncbi.nlm.nih.gov/compound/molinate#section=Acute-Effects citing Pesticide Manual., 9(594), 1991
</t>
        </r>
      </text>
    </comment>
    <comment ref="D205" authorId="0" shapeId="0" xr:uid="{B6FC8179-6B5A-4828-BD9E-14F5F935DA3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6" authorId="0" shapeId="0" xr:uid="{9F233982-BC50-4CDD-98EF-413531FD8D6E}">
      <text>
        <r>
          <rPr>
            <sz val="9"/>
            <color indexed="81"/>
            <rFont val="Tahoma"/>
            <family val="2"/>
          </rPr>
          <t xml:space="preserve">oral, rat
https://pubchem.ncbi.nlm.nih.gov/compound/MONOCROTOPHOS#section=Acute-Effects citing Farm Chemicals Handbook., -(C209), 1991
</t>
        </r>
      </text>
    </comment>
    <comment ref="D206" authorId="0" shapeId="0" xr:uid="{344B7C3D-108F-4135-B2E5-22753E87EE9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7" authorId="0" shapeId="0" xr:uid="{5CFC440D-8D9F-46AB-84FA-2D8CD466DDE9}">
      <text>
        <r>
          <rPr>
            <sz val="9"/>
            <color indexed="81"/>
            <rFont val="Tahoma"/>
            <family val="2"/>
          </rPr>
          <t xml:space="preserve">oral, rat
https://www.chemicalbook.com/msds/Myclobutanil.htm
</t>
        </r>
      </text>
    </comment>
    <comment ref="D207" authorId="0" shapeId="0" xr:uid="{BC36E68F-3257-4943-8E9B-01941494DF3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8" authorId="0" shapeId="0" xr:uid="{39BF18DA-58C2-4973-B49F-030EDE3320E0}">
      <text>
        <r>
          <rPr>
            <sz val="9"/>
            <color indexed="81"/>
            <rFont val="Tahoma"/>
            <family val="2"/>
          </rPr>
          <t xml:space="preserve">oral, rat
https://pubchem.ncbi.nlm.nih.gov/compound/Nabam#section=Adverse-Effects citing Federation Proceedings, Federation of American Societies for Experimental Biology., 11(391), 1952
</t>
        </r>
      </text>
    </comment>
    <comment ref="D208" authorId="0" shapeId="0" xr:uid="{AD5F913A-5CCF-403C-9BBD-D40ED948467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09" authorId="0" shapeId="0" xr:uid="{615C07C3-03FC-4E3E-AAD2-5F458353CD40}">
      <text>
        <r>
          <rPr>
            <sz val="9"/>
            <color indexed="81"/>
            <rFont val="Tahoma"/>
            <family val="2"/>
          </rPr>
          <t xml:space="preserve">oral, rat
https://pubchem.ncbi.nlm.nih.gov/compound/naled#section=Acute-Effects citing Acute Toxicity Data. Journal of the American College of Toxicology, Part B., 1(90), 1990
</t>
        </r>
      </text>
    </comment>
    <comment ref="D209" authorId="0" shapeId="0" xr:uid="{493EAA75-578B-4AAE-A232-36BC5795DF6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0" authorId="0" shapeId="0" xr:uid="{00000000-0006-0000-0B00-000016000000}">
      <text>
        <r>
          <rPr>
            <sz val="9"/>
            <color indexed="81"/>
            <rFont val="Tahoma"/>
            <family val="2"/>
          </rPr>
          <t>oral, rat
https://punchout.medline.com/media/catalog/Docs/MSDS/MSD_SDS0509.pdf</t>
        </r>
      </text>
    </comment>
    <comment ref="D210" authorId="0" shapeId="0" xr:uid="{7C026B32-2C4A-45D4-A730-7FEFA72ED6D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1" authorId="0" shapeId="0" xr:uid="{79032484-8B09-4AEF-8497-A600355113CC}">
      <text>
        <r>
          <rPr>
            <sz val="9"/>
            <color indexed="81"/>
            <rFont val="Tahoma"/>
            <family val="2"/>
          </rPr>
          <t xml:space="preserve">oral, rat
https://pubchem.ncbi.nlm.nih.gov/compound/Nitrapyrin#section=Acute-Effects citing Pesticide Chemicals Official Compendium, Association of the American Pesticide Control Officials, Inc., 1966., -(819), 1966
</t>
        </r>
      </text>
    </comment>
    <comment ref="D211" authorId="0" shapeId="0" xr:uid="{7AC8906F-2945-4830-8B2E-7FE5CDF5759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2" authorId="0" shapeId="0" xr:uid="{D1BD2B78-4003-4D03-A944-8AB8D18077D2}">
      <text>
        <r>
          <rPr>
            <sz val="9"/>
            <color indexed="81"/>
            <rFont val="Tahoma"/>
            <family val="2"/>
          </rPr>
          <t>oral, rathttps://pubchem.ncbi.nlm.nih.gov/compound/Nuarimol#section=Acute-Effects citing 
National Technical Information Service., OTS0543030</t>
        </r>
      </text>
    </comment>
    <comment ref="D212" authorId="0" shapeId="0" xr:uid="{5475DB93-C021-469B-AC98-4CD8588D260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3" authorId="0" shapeId="0" xr:uid="{4008E9C7-BB08-42B9-8E89-AAD799CA8F86}">
      <text>
        <r>
          <rPr>
            <sz val="9"/>
            <color indexed="81"/>
            <rFont val="Tahoma"/>
            <family val="2"/>
          </rPr>
          <t xml:space="preserve">oral, rat
https://pubchem.ncbi.nlm.nih.gov/compound/2-n-octyl-4-isothiazolin-3-one#section=Acute-Effects citing Personal Communication from J.N. Moss, Toxicology Dept., Rohm and Haas Co., Spring House, PA 19477, Aug. 15, 1979, 15AUG1979
</t>
        </r>
      </text>
    </comment>
    <comment ref="D213" authorId="0" shapeId="0" xr:uid="{04788576-405D-4529-81E4-3AE7B4720E4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4" authorId="0" shapeId="0" xr:uid="{A26DC858-4731-4C85-B468-99429DFAD9A4}">
      <text>
        <r>
          <rPr>
            <sz val="9"/>
            <color indexed="81"/>
            <rFont val="Tahoma"/>
            <family val="2"/>
          </rPr>
          <t xml:space="preserve">oral, rat
https://pubchem.ncbi.nlm.nih.gov/compound/omethoate#section=Acute-Effects citing Farm Chemicals Handbook., -(C144), 1991
</t>
        </r>
      </text>
    </comment>
    <comment ref="D214" authorId="0" shapeId="0" xr:uid="{833EBEA7-24E3-4393-899A-D23B1C591DF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5" authorId="0" shapeId="0" xr:uid="{DC35344D-70E5-4E0B-8952-AD0A2EA61B62}">
      <text>
        <r>
          <rPr>
            <sz val="9"/>
            <color indexed="81"/>
            <rFont val="Tahoma"/>
            <family val="2"/>
          </rPr>
          <t xml:space="preserve">oral, rat
https://pubchem.ncbi.nlm.nih.gov/compound/oxadixyl#section=Toxicity citing Pesticide Manual., 9(635), 1991
</t>
        </r>
      </text>
    </comment>
    <comment ref="D215" authorId="0" shapeId="0" xr:uid="{E77BDD8B-353D-4620-8298-7D4415DF655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6" authorId="0" shapeId="0" xr:uid="{F142C729-7B46-4D7E-ABF8-021A356150D3}">
      <text>
        <r>
          <rPr>
            <sz val="9"/>
            <color indexed="81"/>
            <rFont val="Tahoma"/>
            <family val="2"/>
          </rPr>
          <t xml:space="preserve">oral, rat
https://pubchem.ncbi.nlm.nih.gov/compound/Oxamyl#section=Acute-Effects citing Fundamental and Applied Toxicology., 6(423), 1986
</t>
        </r>
      </text>
    </comment>
    <comment ref="D216" authorId="0" shapeId="0" xr:uid="{EAE80310-117D-46BA-AFBF-8FA334067DF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7" authorId="0" shapeId="0" xr:uid="{553CBCCA-FFFD-4557-861E-45C661D5E38D}">
      <text>
        <r>
          <rPr>
            <sz val="9"/>
            <color indexed="81"/>
            <rFont val="Tahoma"/>
            <family val="2"/>
          </rPr>
          <t>oral, rat</t>
        </r>
        <r>
          <rPr>
            <sz val="9"/>
            <color indexed="81"/>
            <rFont val="Tahoma"/>
            <family val="2"/>
          </rPr>
          <t xml:space="preserve">
https://pubchem.ncbi.nlm.nih.gov/compound/oxydemeton-methyl#section=Acute-Effects citing Naunyn-Schmiedeberg's Archiv fuer Experimentelle Pathologie und Pharmakologie., 234(352), 1958 [PMID:13600403]</t>
        </r>
      </text>
    </comment>
    <comment ref="D217" authorId="0" shapeId="0" xr:uid="{50A5E60B-B1C0-43D0-B61C-0E97D80D357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8" authorId="0" shapeId="0" xr:uid="{BE5ED8F7-B788-49FA-96FF-F535823EEA43}">
      <text>
        <r>
          <rPr>
            <sz val="9"/>
            <color indexed="81"/>
            <rFont val="Tahoma"/>
            <family val="2"/>
          </rPr>
          <t xml:space="preserve">oral, rat
https://pubchem.ncbi.nlm.nih.gov/compound/Paclobutrazol#section=Acute-Effects citing Pesticide Manual., 9(664), 1991
</t>
        </r>
      </text>
    </comment>
    <comment ref="D218" authorId="0" shapeId="0" xr:uid="{91658FC5-8498-4567-BCC6-F214574DEF7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19" authorId="0" shapeId="0" xr:uid="{7492EC3F-01ED-41B2-A911-25C5266DCDA8}">
      <text>
        <r>
          <rPr>
            <sz val="9"/>
            <color indexed="81"/>
            <rFont val="Tahoma"/>
            <family val="2"/>
          </rPr>
          <t xml:space="preserve">oral, rat
https://pubchem.ncbi.nlm.nih.gov/compound/paraquat#section=Acute-Effects citing Iyakuhin Kenkyu. Study of Medical Supplies., 10(520), 1979
</t>
        </r>
      </text>
    </comment>
    <comment ref="D219" authorId="0" shapeId="0" xr:uid="{D5CC6E6D-5B8E-407A-8F96-B77A28226EF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0" authorId="0" shapeId="0" xr:uid="{ACC63910-2DE2-4D9A-9973-CDD4E1CC3A60}">
      <text>
        <r>
          <rPr>
            <sz val="9"/>
            <color indexed="81"/>
            <rFont val="Tahoma"/>
            <family val="2"/>
          </rPr>
          <t>oral, rat
https://pubchem.ncbi.nlm.nih.gov/compound/Parathion#section=Acute-Effects citing Toxicology and Applied Pharmacology., 11(546), 1967 [PMID:5586363]</t>
        </r>
      </text>
    </comment>
    <comment ref="D220" authorId="0" shapeId="0" xr:uid="{AF7915A7-AD56-4E05-AD14-647232A645E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1" authorId="0" shapeId="0" xr:uid="{F8E6D308-E1EB-42D0-B110-6C3CA475DFBC}">
      <text>
        <r>
          <rPr>
            <sz val="9"/>
            <color indexed="81"/>
            <rFont val="Tahoma"/>
            <family val="2"/>
          </rPr>
          <t xml:space="preserve">oral, rat
https://pubchem.ncbi.nlm.nih.gov/compound/Methyl-parathion#section=Acute-Effects citing Prehled Prumyslove Toxikologie; Organicke Latky, Marhold, J., Prague, Czechoslovakia, Avicenum, 1986, -(1155), 1986
</t>
        </r>
      </text>
    </comment>
    <comment ref="D221" authorId="0" shapeId="0" xr:uid="{8AE9B2A1-21E8-4254-BD41-8DD3AA59395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2" authorId="0" shapeId="0" xr:uid="{AE025A00-BDD3-4C85-8F6C-9E447F6BF3A3}">
      <text>
        <r>
          <rPr>
            <sz val="9"/>
            <color indexed="81"/>
            <rFont val="Tahoma"/>
            <family val="2"/>
          </rPr>
          <t xml:space="preserve">oral, female rats
https://www.chemicalbook.com/ChemicalProductProperty_EN_CB7851821.htm citing Gaines, T., TOXICOLOGY AND APPLIED PHARMACOLOGY 14, 5 15-534 (1969) </t>
        </r>
      </text>
    </comment>
    <comment ref="D222" authorId="0" shapeId="0" xr:uid="{C957582F-7A7A-4490-9A55-F33D8DF40A7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3" authorId="0" shapeId="0" xr:uid="{F3C2B5D6-CF75-4CEA-A3B4-0C1F69AD23D8}">
      <text>
        <r>
          <rPr>
            <sz val="9"/>
            <color indexed="81"/>
            <rFont val="Tahoma"/>
            <family val="2"/>
          </rPr>
          <t>oral, rat
https://pubchem.ncbi.nlm.nih.gov/compound/pebulate#section=Acute-Effects citing Farm Chemicals Handbook., -(C304), 1991</t>
        </r>
      </text>
    </comment>
    <comment ref="D223" authorId="0" shapeId="0" xr:uid="{0C3714BC-9CFC-4CCF-807B-85D1B62B81E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4" authorId="0" shapeId="0" xr:uid="{772751E0-7EF1-4561-9830-2704B4745DCE}">
      <text>
        <r>
          <rPr>
            <sz val="9"/>
            <color indexed="81"/>
            <rFont val="Tahoma"/>
            <family val="2"/>
          </rPr>
          <t>oral, rat
https://www.fao.org/fileadmin/templates/agphome/documents/Pests_Pesticides/JMPR/Report2016/PENDIMETHALIN.pdf</t>
        </r>
      </text>
    </comment>
    <comment ref="D224" authorId="0" shapeId="0" xr:uid="{9A35C53A-68D2-42DF-AA09-75E6409A263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5" authorId="0" shapeId="0" xr:uid="{00000000-0006-0000-0B00-000017000000}">
      <text>
        <r>
          <rPr>
            <sz val="9"/>
            <color indexed="81"/>
            <rFont val="Tahoma"/>
            <family val="2"/>
          </rPr>
          <t xml:space="preserve">oral, rat
https://pubchem.ncbi.nlm.nih.gov/compound/pentachlorophenol#section=Acute-Effects citing Journal of Pharmacology and Experimental Therapeutics., 76(104), 1942  </t>
        </r>
      </text>
    </comment>
    <comment ref="D225" authorId="0" shapeId="0" xr:uid="{9E17B888-64CE-45E6-8979-776EC8525A3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6" authorId="0" shapeId="0" xr:uid="{00000000-0006-0000-0B00-000018000000}">
      <text>
        <r>
          <rPr>
            <sz val="9"/>
            <color indexed="81"/>
            <rFont val="Tahoma"/>
            <family val="2"/>
          </rPr>
          <t>In rat studies, permethrin LD50 values range from 430-4000 mg/ kg
https://www.npic.orst.edu/factsheets/archive/Permtech.html</t>
        </r>
      </text>
    </comment>
    <comment ref="D226" authorId="0" shapeId="0" xr:uid="{23B3CAA8-3D5B-4A6D-A6C3-99395FC40B4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7" authorId="0" shapeId="0" xr:uid="{00000000-0006-0000-0B00-000019000000}">
      <text>
        <r>
          <rPr>
            <sz val="9"/>
            <color indexed="81"/>
            <rFont val="Tahoma"/>
            <family val="2"/>
          </rPr>
          <t xml:space="preserve">oral, rat
https://pubchem.ncbi.nlm.nih.gov/compound/phenthoate#section=Acute-Effects citing Toxicology Letters., 22(69), 1984 [PMID:6464035]
</t>
        </r>
      </text>
    </comment>
    <comment ref="D227" authorId="0" shapeId="0" xr:uid="{51F8E85C-F6CD-4FB9-9FA3-A5411824081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8" authorId="0" shapeId="0" xr:uid="{98EB86CD-463F-40D1-B6E1-8A5FF5A9374F}">
      <text>
        <r>
          <rPr>
            <sz val="9"/>
            <color indexed="81"/>
            <rFont val="Tahoma"/>
            <family val="2"/>
          </rPr>
          <t>oral, rat
https://pubchem.ncbi.nlm.nih.gov/compound/Phenylmercuric-acetate#section=Acute-Effects citing 
Acute Toxicity Data. Journal of the American College of Toxicology, Part B., 1(175), 1992</t>
        </r>
      </text>
    </comment>
    <comment ref="D228" authorId="0" shapeId="0" xr:uid="{9783348C-2852-4F4A-82DC-6C6E24B64EC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29" authorId="0" shapeId="0" xr:uid="{BC6725EE-934D-422F-9907-C3C07BC039ED}">
      <text>
        <r>
          <rPr>
            <sz val="9"/>
            <color indexed="81"/>
            <rFont val="Tahoma"/>
            <family val="2"/>
          </rPr>
          <t>oral, rat
https://pubchem.ncbi.nlm.nih.gov/compound/Phorate#section=Acute-Effects
citing Down to Earth., 35(25), 1979</t>
        </r>
      </text>
    </comment>
    <comment ref="D229" authorId="0" shapeId="0" xr:uid="{86B2785F-3920-4946-876B-069BF72CC7E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0" authorId="0" shapeId="0" xr:uid="{C516FD3E-85F8-4E10-BDE5-FF09E25C3AC7}">
      <text>
        <r>
          <rPr>
            <sz val="9"/>
            <color indexed="81"/>
            <rFont val="Tahoma"/>
            <family val="2"/>
          </rPr>
          <t>oral, rat
https://pubchem.ncbi.nlm.nih.gov/compound/phosalone#section=Acute-Effects citing Khimiya v Sel'skom Khozyaistve. Chemistry in Agriculture., 16(2)(59), 1978</t>
        </r>
      </text>
    </comment>
    <comment ref="D230" authorId="0" shapeId="0" xr:uid="{9AB30F71-E4A5-4927-A249-64DC3B5617A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1" authorId="0" shapeId="0" xr:uid="{0A638D7D-09A3-4675-823B-66F399F27126}">
      <text>
        <r>
          <rPr>
            <sz val="9"/>
            <color indexed="81"/>
            <rFont val="Tahoma"/>
            <family val="2"/>
          </rPr>
          <t>oral, rat
https://pubchem.ncbi.nlm.nih.gov/compound/Phosmet#section=Acute-Effects
citing Gigiena i Sanitariya. For English translation, see HYSAAV., 34(2)(30), 1969</t>
        </r>
      </text>
    </comment>
    <comment ref="D231" authorId="0" shapeId="0" xr:uid="{D02DFB20-978B-4005-994D-767B0CA22E9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2" authorId="0" shapeId="0" xr:uid="{ED253B0E-7326-4663-9010-4FB5B837921B}">
      <text>
        <r>
          <rPr>
            <sz val="9"/>
            <color indexed="81"/>
            <rFont val="Tahoma"/>
            <family val="2"/>
          </rPr>
          <t xml:space="preserve">oral, rat
https://pubchem.ncbi.nlm.nih.gov/compound/phosphamidon#section=Non-Human-Toxicity-Values citing Worthing, C.R. and S.B. Walker (eds.). The Pesticide Manual - A World Compendium. 8th ed. Thornton Heath, UK: The British Crop Protection Council, 1987., p. 668
</t>
        </r>
      </text>
    </comment>
    <comment ref="D232" authorId="0" shapeId="0" xr:uid="{1EEB5FB4-99DF-43CE-92BC-67EFAA7549F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3" authorId="0" shapeId="0" xr:uid="{00000000-0006-0000-0B00-00001A000000}">
      <text>
        <r>
          <rPr>
            <sz val="9"/>
            <color indexed="81"/>
            <rFont val="Tahoma"/>
            <family val="2"/>
          </rPr>
          <t>median LD50 for oral intake in rat
1400 - 10000 mg/kg
https://inchem.org/documents/jecfa/jecmono/v43jec04.htm citing
Lorke &amp; Kimmerle (1965),  Kimmerle (1968), Kimmerle &amp; Solmecke (1970), Thyssen (1976) and Flucke &amp; Thyssen (1979)</t>
        </r>
      </text>
    </comment>
    <comment ref="D233" authorId="0" shapeId="0" xr:uid="{C3621C38-5902-4222-B013-9B68F771920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4" authorId="0" shapeId="0" xr:uid="{5DE1A21D-7FDA-48CD-81E7-897B8083D3CA}">
      <text>
        <r>
          <rPr>
            <sz val="9"/>
            <color indexed="81"/>
            <rFont val="Tahoma"/>
            <family val="2"/>
          </rPr>
          <t xml:space="preserve">oral, rat
https://pubchem.ncbi.nlm.nih.gov/compound/piperophos#section=Acute-Effects citing Agricultural Chemicals, Thomson, W.T., 4 vols., Fresno, CA, Thomson Publications, 1976/77 revision, 2(107), 1977
</t>
        </r>
      </text>
    </comment>
    <comment ref="D234" authorId="0" shapeId="0" xr:uid="{09A1579D-1269-4946-B759-0DCDA47DD39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5" authorId="0" shapeId="0" xr:uid="{86D8BCFA-AD05-4EE5-87CF-BC03ADD4764E}">
      <text>
        <r>
          <rPr>
            <sz val="9"/>
            <color indexed="81"/>
            <rFont val="Tahoma"/>
            <family val="2"/>
          </rPr>
          <t xml:space="preserve">oral, rat
https://pubchem.ncbi.nlm.nih.gov/compound/pirimicarb#section=Acute-Effects citing Archives of Toxicology, Supplement., 4(449), 1980 [PMID:6933960]
</t>
        </r>
      </text>
    </comment>
    <comment ref="D235" authorId="0" shapeId="0" xr:uid="{87FF6081-E19D-4888-B118-00DF900C7D5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6" authorId="0" shapeId="0" xr:uid="{41720F3A-AF46-4C15-8083-A32F75104001}">
      <text>
        <r>
          <rPr>
            <sz val="9"/>
            <color indexed="81"/>
            <rFont val="Tahoma"/>
            <family val="2"/>
          </rPr>
          <t>oral, rat
https://pubchem.ncbi.nlm.nih.gov/compound/Pirimiphos-methyl#section=Acute-Effects
citing Scripta Scientifica Medica., 20(33), 1983</t>
        </r>
      </text>
    </comment>
    <comment ref="D236" authorId="0" shapeId="0" xr:uid="{7322C2CC-03D2-4C4D-9F6B-5AAFE1DD175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7" authorId="0" shapeId="0" xr:uid="{D260D1FD-191D-4792-9F19-765E793B17F6}">
      <text>
        <r>
          <rPr>
            <sz val="9"/>
            <color indexed="81"/>
            <rFont val="Tahoma"/>
            <family val="2"/>
          </rPr>
          <t>oral, rat
https: datasheets.scbt.com/sc-236459.pdf 
Average of two studies published in  The Pesticides Manual, Incorporating The Agrochemicals Handbook, 10th Edition, Editor Clive Tomlin, 1994, British Crop Protection
Council</t>
        </r>
      </text>
    </comment>
    <comment ref="D237" authorId="0" shapeId="0" xr:uid="{5A7900C9-62E6-46D1-9EEF-0BFF11A1F2D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8" authorId="0" shapeId="0" xr:uid="{80B2E3A1-CA70-420C-8371-C51F4C3A0A54}">
      <text>
        <r>
          <rPr>
            <sz val="9"/>
            <color indexed="81"/>
            <rFont val="Tahoma"/>
            <family val="2"/>
          </rPr>
          <t xml:space="preserve">oral, rat
https://pubchem.ncbi.nlm.nih.gov/compound/Prochloraz#section=Acute-Effects citing Farm Chemicals Handbook., -(C249), 1991
</t>
        </r>
      </text>
    </comment>
    <comment ref="D238" authorId="0" shapeId="0" xr:uid="{2EFC25A0-BD18-4F7F-A78D-209F5860E65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39" authorId="0" shapeId="0" xr:uid="{DC6B688C-1E45-487F-AB72-3D9420A1C4B0}">
      <text>
        <r>
          <rPr>
            <sz val="9"/>
            <color indexed="81"/>
            <rFont val="Tahoma"/>
            <family val="2"/>
          </rPr>
          <t>oral, rat
https://pubchem.ncbi.nlm.nih.gov/compound/profenofos#section=Acute-Effects citing 
Pesticide Manual., 9(705), 1991</t>
        </r>
      </text>
    </comment>
    <comment ref="D239" authorId="0" shapeId="0" xr:uid="{7C686A2E-F0C2-4993-99C3-99C320D4155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0" authorId="0" shapeId="0" xr:uid="{E26BB254-2AAC-40AF-B4AE-54A314E582A2}">
      <text>
        <r>
          <rPr>
            <sz val="9"/>
            <color indexed="81"/>
            <rFont val="Tahoma"/>
            <family val="2"/>
          </rPr>
          <t xml:space="preserve">oral, rat
https://pubchem.ncbi.nlm.nih.gov/compound/propachlor#section=Acute-Effects citing Agricultural Chemicals, Thomson, W.T., 4 vols., Fresno, CA, Thomson Publications, 1976/77 revision, 2(63), 1977
</t>
        </r>
      </text>
    </comment>
    <comment ref="D240" authorId="0" shapeId="0" xr:uid="{61C201B4-AD30-4833-829D-1114B9E77A2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1" authorId="0" shapeId="0" xr:uid="{00000000-0006-0000-0B00-00001B000000}">
      <text>
        <r>
          <rPr>
            <sz val="9"/>
            <color indexed="81"/>
            <rFont val="Tahoma"/>
            <family val="2"/>
          </rPr>
          <t xml:space="preserve">oral, rat
https://pubchem.ncbi.nlm.nih.gov/compound/propanil#section=Acute-Effects citing Khigiena i Zdraveopazvane. Hygiene and Sanitation., 27(451), 1984
</t>
        </r>
      </text>
    </comment>
    <comment ref="D241" authorId="0" shapeId="0" xr:uid="{80F567CE-C8A7-4AB4-81DD-B1E833B2406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2" authorId="0" shapeId="0" xr:uid="{116EDBEC-D690-4BFC-8DE5-1F64B9C85A27}">
      <text>
        <r>
          <rPr>
            <sz val="9"/>
            <color indexed="81"/>
            <rFont val="Tahoma"/>
            <family val="2"/>
          </rPr>
          <t xml:space="preserve">oral, rat
https://pubchem.ncbi.nlm.nih.gov/compound/propetamphos#section=Non-Human-Toxicity-Values citing Lewis, R.J. Sax's Dangerous Properties of Industrial Materials. 9th ed. Volumes 1-3. New York, NY: Van Nostrand Reinhold, 1996., p. 2238
</t>
        </r>
      </text>
    </comment>
    <comment ref="D242" authorId="0" shapeId="0" xr:uid="{6F127C96-EB5D-4B15-8240-98F0128970B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3" authorId="0" shapeId="0" xr:uid="{85846414-7A6A-4B59-815B-D012876DD426}">
      <text>
        <r>
          <rPr>
            <sz val="9"/>
            <color indexed="81"/>
            <rFont val="Tahoma"/>
            <family val="2"/>
          </rPr>
          <t>oral, rat
https://pubchem.ncbi.nlm.nih.gov/compound/propiconazole#section=Acute-Effects
citing Proceedings-British Crop Protection Conference-Pests and Diseases., -(508), 1979</t>
        </r>
      </text>
    </comment>
    <comment ref="D243" authorId="0" shapeId="0" xr:uid="{666B8052-C975-48D8-88A0-D7E4FC6A9B4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4" authorId="0" shapeId="0" xr:uid="{E5734102-FBF5-4D57-ABE6-A9388C3AA119}">
      <text>
        <r>
          <rPr>
            <sz val="9"/>
            <color indexed="81"/>
            <rFont val="Tahoma"/>
            <family val="2"/>
          </rPr>
          <t xml:space="preserve">oral, rat
https://pubchem.ncbi.nlm.nih.gov/compound/propoxur#section=Acute-Effects citing Yakkyoku. Pharmacy., 37(1621), 1986
</t>
        </r>
      </text>
    </comment>
    <comment ref="D244" authorId="0" shapeId="0" xr:uid="{0F30CE69-E90F-41BD-8B6A-A5B2FDF3848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5" authorId="0" shapeId="0" xr:uid="{D8858E5B-B216-489B-8657-4AC2527D75DE}">
      <text>
        <r>
          <rPr>
            <sz val="9"/>
            <color indexed="81"/>
            <rFont val="Tahoma"/>
            <family val="2"/>
          </rPr>
          <t>oral, rat
https://pubchem.ncbi.nlm.nih.gov/compound/Prosulfocarb#section=Toxicity citing Pesticide Manual., 9(729), 1991</t>
        </r>
      </text>
    </comment>
    <comment ref="D245" authorId="0" shapeId="0" xr:uid="{C4B9B043-A20A-4792-9328-EF3A2EF56EF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6" authorId="0" shapeId="0" xr:uid="{F530E43B-D641-43B7-AB68-958E1ACD0DF9}">
      <text>
        <r>
          <rPr>
            <sz val="9"/>
            <color indexed="81"/>
            <rFont val="Tahoma"/>
            <family val="2"/>
          </rPr>
          <t>oral, rat
https://pubchem.ncbi.nlm.nih.gov/compound/36870#section=Acute-Effects
citing Gigiena i Sanitariya. For English translation, see HYSAAV., 53(5)(92), 1988</t>
        </r>
      </text>
    </comment>
    <comment ref="D246" authorId="0" shapeId="0" xr:uid="{21E71760-EC90-4B49-995A-3893F62E1C8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7" authorId="0" shapeId="0" xr:uid="{AFF5C784-4D9E-461F-A67B-54137EA9005D}">
      <text>
        <r>
          <rPr>
            <sz val="9"/>
            <color indexed="81"/>
            <rFont val="Tahoma"/>
            <family val="2"/>
          </rPr>
          <t xml:space="preserve">oral, rat
https://pubchem.ncbi.nlm.nih.gov/compound/Pyraclofos#section=Toxicity citing Pesticide Manual., 9(732), 1991
</t>
        </r>
      </text>
    </comment>
    <comment ref="D247" authorId="0" shapeId="0" xr:uid="{25019774-92F1-41D5-BAE4-B880CC41D8A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8" authorId="0" shapeId="0" xr:uid="{82D0B1A3-E9BA-4989-A17B-62659159D893}">
      <text>
        <r>
          <rPr>
            <sz val="9"/>
            <color indexed="81"/>
            <rFont val="Tahoma"/>
            <family val="2"/>
          </rPr>
          <t>oral, rat
https://pubchem.ncbi.nlm.nih.gov/compound/pyrazophos#section=Toxicological-Information citing Khigiena i Zdraveopazvane. Hygiene and Sanitation., 23(538), 1980</t>
        </r>
      </text>
    </comment>
    <comment ref="D248" authorId="0" shapeId="0" xr:uid="{A3F16D8A-5123-43E5-AF51-F83FE7BB4C6E}">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49" authorId="0" shapeId="0" xr:uid="{7199A6E0-931A-4D7E-9F3C-A40A295A8738}">
      <text>
        <r>
          <rPr>
            <sz val="9"/>
            <color indexed="81"/>
            <rFont val="Tahoma"/>
            <family val="2"/>
          </rPr>
          <t xml:space="preserve">oral, rat
https://pubchem.ncbi.nlm.nih.gov/compound/Pyrazoxyfen#section=Toxicity citing Japan Pesticide Information., (45)(24), 1984
</t>
        </r>
      </text>
    </comment>
    <comment ref="D249" authorId="0" shapeId="0" xr:uid="{77169264-8ACE-4FC4-97C0-2AF06883E37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0" authorId="0" shapeId="0" xr:uid="{00000000-0006-0000-0B00-00001C000000}">
      <text>
        <r>
          <rPr>
            <sz val="9"/>
            <color indexed="81"/>
            <rFont val="Tahoma"/>
            <family val="2"/>
          </rPr>
          <t xml:space="preserve">LD50 Rat oral 584 to 900 mg/kg (irrespective of grade or solvent)
https://pubchem.ncbi.nlm.nih.gov/compound/Pyrethrins#section=Human-Toxicity-Values citing Hayes, Wayland J., Jr. Pesticides Studied in Man. Baltimore/London: Williams and Wilkins, 1982., p. 76
</t>
        </r>
      </text>
    </comment>
    <comment ref="D250" authorId="0" shapeId="0" xr:uid="{64EE5D28-9C9E-41FE-A20A-AADFBC92CC4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1" authorId="0" shapeId="0" xr:uid="{1FD1D282-5B4F-42B3-B967-967E29D2A937}">
      <text>
        <r>
          <rPr>
            <sz val="9"/>
            <color indexed="81"/>
            <rFont val="Tahoma"/>
            <family val="2"/>
          </rPr>
          <t>oral, rat
https://pubchem.ncbi.nlm.nih.gov/compound/Pyridaben#section=Acute-Effects
citing Nippon Noyaku Gakkaishi. Journal of the Pesticide Science Society of Japan., 19(S243), 1994</t>
        </r>
      </text>
    </comment>
    <comment ref="D251" authorId="0" shapeId="0" xr:uid="{633B2491-5D9D-49BA-9C27-FFDF9834AA8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2" authorId="0" shapeId="0" xr:uid="{32A570A5-6B11-4E8F-9739-769DE473F192}">
      <text>
        <r>
          <rPr>
            <sz val="9"/>
            <color indexed="81"/>
            <rFont val="Tahoma"/>
            <family val="2"/>
          </rPr>
          <t xml:space="preserve">oral, rat
https://pubchem.ncbi.nlm.nih.gov/compound/pyridaphenthion#section=Toxicity citing Yakkyoku. Pharmacy., 37(1621), 1986
</t>
        </r>
      </text>
    </comment>
    <comment ref="D252" authorId="0" shapeId="0" xr:uid="{7233A7BA-026C-4376-88B2-7BEA02BE2F7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3" authorId="0" shapeId="0" xr:uid="{8E7C6F2D-01CA-40DD-8AA1-D18CB239FA99}">
      <text>
        <r>
          <rPr>
            <sz val="9"/>
            <color indexed="81"/>
            <rFont val="Tahoma"/>
            <family val="2"/>
          </rPr>
          <t xml:space="preserve">rat, oral
https://pubchem.ncbi.nlm.nih.gov/compound/Pyroquilon#section=Toxicity citing Pesticide Manual., 9(746), 1991
</t>
        </r>
      </text>
    </comment>
    <comment ref="D253" authorId="0" shapeId="0" xr:uid="{C0CB8AE4-7C60-4AD9-A90D-AB305234B49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4" authorId="0" shapeId="0" xr:uid="{C200EB3E-EF7D-4212-BA4F-F968703567DF}">
      <text>
        <r>
          <rPr>
            <sz val="9"/>
            <color indexed="81"/>
            <rFont val="Tahoma"/>
            <family val="2"/>
          </rPr>
          <t xml:space="preserve">oral, rat
https://pubchem.ncbi.nlm.nih.gov/compound/Quinalphos#section=Acute-Effects citing Agricultural Research Service, USDA Information Memorandum., 20(21), 1966
</t>
        </r>
      </text>
    </comment>
    <comment ref="D254" authorId="0" shapeId="0" xr:uid="{7D0477D1-B031-45C8-A10F-6563C227F9F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5" authorId="0" shapeId="0" xr:uid="{55991F4F-DD5A-4DC2-BFE0-33DCCC4AF13D}">
      <text>
        <r>
          <rPr>
            <sz val="9"/>
            <color indexed="81"/>
            <rFont val="Tahoma"/>
            <family val="2"/>
          </rPr>
          <t xml:space="preserve">oral, rat
https://pubchem.ncbi.nlm.nih.gov/compound/Quinoclamine#section=Toxicological-Information citing Farm Chemicals Handbook., -(C208), 1991
</t>
        </r>
      </text>
    </comment>
    <comment ref="D255" authorId="0" shapeId="0" xr:uid="{01DCF148-B392-43AB-A0F7-32E03685085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6" authorId="0" shapeId="0" xr:uid="{6D69A682-B0CA-4F17-BFA4-024173FC4FFD}">
      <text>
        <r>
          <rPr>
            <sz val="9"/>
            <color indexed="81"/>
            <rFont val="Tahoma"/>
            <family val="2"/>
          </rPr>
          <t xml:space="preserve">oral, rat
https://vikingcropproduction.com/wp-content/uploads/SDS/VIKING-Quizalofop-Herbicide-SDS-English.pdf
</t>
        </r>
      </text>
    </comment>
    <comment ref="D256" authorId="0" shapeId="0" xr:uid="{88D2C7FF-552B-48B6-9EE2-5B59DC848E7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7" authorId="0" shapeId="0" xr:uid="{3FD4F89D-21E6-402F-BD47-C1AF7DF510C8}">
      <text>
        <r>
          <rPr>
            <sz val="9"/>
            <color indexed="81"/>
            <rFont val="Tahoma"/>
            <family val="2"/>
          </rPr>
          <t xml:space="preserve">oral, rat
https://www.echemi.com/sds/quizalofop-p-tefuryl-95-tc-temppid160628000062.html
</t>
        </r>
      </text>
    </comment>
    <comment ref="D257" authorId="0" shapeId="0" xr:uid="{6EE33838-D0F3-4407-8249-E89FD20B3BD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8" authorId="0" shapeId="0" xr:uid="{00000000-0006-0000-0B00-00001D000000}">
      <text>
        <r>
          <rPr>
            <sz val="9"/>
            <color indexed="81"/>
            <rFont val="Tahoma"/>
            <family val="2"/>
          </rPr>
          <t xml:space="preserve">oral, rat
https://pubchem.ncbi.nlm.nih.gov/compound/rotenone#section=Acute-Effects
citing Down to Earth., 35(25), 1979
</t>
        </r>
      </text>
    </comment>
    <comment ref="D258" authorId="0" shapeId="0" xr:uid="{01AA28AA-ED72-4162-8711-390380B39D6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59" authorId="0" shapeId="0" xr:uid="{12B2D2AA-724E-438F-8CCF-8C5B7ED46ADB}">
      <text>
        <r>
          <rPr>
            <sz val="9"/>
            <color indexed="81"/>
            <rFont val="Tahoma"/>
            <family val="2"/>
          </rPr>
          <t xml:space="preserve">oral, rat
https://pubchem.ncbi.nlm.nih.gov/compound/Simetryn#section=Acute-Effects citing Pesticide Index, Frear, E.H., ed., State College, PA, College Science Pub., 1969, 5(207), 1976
</t>
        </r>
      </text>
    </comment>
    <comment ref="D259" authorId="0" shapeId="0" xr:uid="{C79CEE8D-D21E-4F6B-9EC8-F247FA2D682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0" authorId="0" shapeId="0" xr:uid="{A699DB79-9D65-4ECE-9773-AD745D8130BE}">
      <text>
        <r>
          <rPr>
            <sz val="9"/>
            <color indexed="81"/>
            <rFont val="Tahoma"/>
            <family val="2"/>
          </rPr>
          <t>oral, rat
https://pubchem.ncbi.nlm.nih.gov/compound/Sodium-arsenite#section=Acute-Effects
citing American Industrial Hygiene Association Journal., 30(470), 1969 [PMID:5823428]</t>
        </r>
      </text>
    </comment>
    <comment ref="D260" authorId="0" shapeId="0" xr:uid="{690C2CD0-99FE-4AFF-872B-A3FE3632F97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1" authorId="0" shapeId="0" xr:uid="{EA472D04-35DA-4E9B-99D5-D962D2880B6C}">
      <text>
        <r>
          <rPr>
            <sz val="9"/>
            <color indexed="81"/>
            <rFont val="Tahoma"/>
            <family val="2"/>
          </rPr>
          <t>oral, rat; average of two
tests 4950 and 6250 mg/kg bw. https://www.fishersci.com/store/msds?partNumber=AC446411000&amp;productDescription=SODIUM+CHLORATE+AC+100GR&amp;vendorId=VN00032119&amp;countryCode=US&amp;language=en</t>
        </r>
      </text>
    </comment>
    <comment ref="D261" authorId="0" shapeId="0" xr:uid="{66C2F956-B632-4037-BFE5-C59C8B81F17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2" authorId="0" shapeId="0" xr:uid="{0BAD04CA-D533-4313-9ED0-881807B35EE9}">
      <text>
        <r>
          <rPr>
            <sz val="9"/>
            <color indexed="81"/>
            <rFont val="Tahoma"/>
            <family val="2"/>
          </rPr>
          <t xml:space="preserve">oral, rat
https://www.fishersci.com/store/msds?partNumber=AC194660010&amp;productDescription=SODIUM%20CYANIDE%20P.A.%201KG&amp;vendorId=VN00032119&amp;countryCode=US&amp;language=en
</t>
        </r>
      </text>
    </comment>
    <comment ref="D262" authorId="0" shapeId="0" xr:uid="{7CBF3E9B-A3DC-49BB-8B3F-82BC8AC0687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3" authorId="0" shapeId="0" xr:uid="{5A789787-F9DF-46AD-A470-94510F81358E}">
      <text>
        <r>
          <rPr>
            <sz val="9"/>
            <color indexed="81"/>
            <rFont val="Tahoma"/>
            <family val="2"/>
          </rPr>
          <t>oral, rat
https://pubchem.ncbi.nlm.nih.gov/compound/Sodium-fluoroacetate#section=Acute-Effects
citing American Journal of Public Health and the Nation's Health., 36(1427), 1946</t>
        </r>
      </text>
    </comment>
    <comment ref="D263" authorId="0" shapeId="0" xr:uid="{6A73BE03-8B25-4BD1-8209-7DFD7282848C}">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4" authorId="0" shapeId="0" xr:uid="{8BD19CF8-9081-4346-AE3A-F5C10DB028B7}">
      <text>
        <r>
          <rPr>
            <sz val="9"/>
            <color indexed="81"/>
            <rFont val="Tahoma"/>
            <family val="2"/>
          </rPr>
          <t xml:space="preserve">oral, rat
https://www.chemicalbook.com/ChemicalProductProperty_EN_CB9324635.htm
</t>
        </r>
      </text>
    </comment>
    <comment ref="D264" authorId="0" shapeId="0" xr:uid="{98744E03-1D67-4D18-A1AB-78A58A54B93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5" authorId="0" shapeId="0" xr:uid="{638C398A-9F7F-42B6-8E70-83503AE5D0B1}">
      <text>
        <r>
          <rPr>
            <sz val="9"/>
            <color indexed="81"/>
            <rFont val="Tahoma"/>
            <family val="2"/>
          </rPr>
          <t xml:space="preserve">oral, rat; average for male and female rats.
https://www.aphis.usda.gov/sites/default/files/19-strychnine.pdf
</t>
        </r>
      </text>
    </comment>
    <comment ref="D265" authorId="0" shapeId="0" xr:uid="{EFC110D6-5261-4F40-B444-523CF8E0A78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6" authorId="0" shapeId="0" xr:uid="{7A7CB671-793C-421E-BE30-693D1EA0B1DE}">
      <text>
        <r>
          <rPr>
            <sz val="9"/>
            <color indexed="81"/>
            <rFont val="Tahoma"/>
            <family val="2"/>
          </rPr>
          <t>oral, rat
https://pubchem.ncbi.nlm.nih.gov/compound/Volcano#section=Evidence-for-Carcinogenicity
citing Pesticide Manual., 9(773), 1991</t>
        </r>
      </text>
    </comment>
    <comment ref="D266" authorId="0" shapeId="0" xr:uid="{A8326ED2-A5EF-4C10-AF8E-213C910F118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7" authorId="0" shapeId="0" xr:uid="{32D8CBA0-6F7A-4E92-9D33-57E6C27CB8F0}">
      <text>
        <r>
          <rPr>
            <sz val="9"/>
            <color indexed="81"/>
            <rFont val="Tahoma"/>
            <family val="2"/>
          </rPr>
          <t>oral, rat
https://pubchem.ncbi.nlm.nih.gov/compound/Sulfotep#section=Acute-Effects citing 
Agricultural Research Service, USDA Information Memorandum., 20(24), 1966</t>
        </r>
      </text>
    </comment>
    <comment ref="D267" authorId="0" shapeId="0" xr:uid="{094EC1FB-7598-47E5-ADC8-BCD2721E7FD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8" authorId="0" shapeId="0" xr:uid="{91C7341D-F57D-4E19-9D14-C1876F096E82}">
      <text>
        <r>
          <rPr>
            <sz val="9"/>
            <color indexed="81"/>
            <rFont val="Tahoma"/>
            <family val="2"/>
          </rPr>
          <t xml:space="preserve">oral, rat
https://www.fishersci.com/store/msds?partNumber=A3223&amp;productDescription=TRICHLOROACETIC+ACID+CR+3KG&amp;vendorId=VN00033897&amp;countryCode=US&amp;language=en
</t>
        </r>
      </text>
    </comment>
    <comment ref="D268" authorId="0" shapeId="0" xr:uid="{6751441C-32F1-4E7C-A852-0993E8587DB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69" authorId="0" shapeId="0" xr:uid="{DB6B426B-8BD1-481C-922F-E40598C86ED6}">
      <text>
        <r>
          <rPr>
            <sz val="9"/>
            <color indexed="81"/>
            <rFont val="Tahoma"/>
            <family val="2"/>
          </rPr>
          <t>oral, rat
https://pubchem.ncbi.nlm.nih.gov/compound/Tebuconazole#section=Acute-Effects citing 
National Technical Information Service., OTS0545183</t>
        </r>
      </text>
    </comment>
    <comment ref="D269" authorId="0" shapeId="0" xr:uid="{D0E93B5D-745D-42BE-8315-78845CC7936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0" authorId="0" shapeId="0" xr:uid="{EBF55066-6DBE-4149-ABD8-E9447B11186D}">
      <text>
        <r>
          <rPr>
            <sz val="9"/>
            <color indexed="81"/>
            <rFont val="Tahoma"/>
            <family val="2"/>
          </rPr>
          <t xml:space="preserve">oral, rat
https://pubchem.ncbi.nlm.nih.gov/compound/Tebufenpyrad citing Agrochemcicals Japan., (64)(12), 1994
</t>
        </r>
      </text>
    </comment>
    <comment ref="D270" authorId="0" shapeId="0" xr:uid="{A85BA1F8-C239-408F-BE60-8BF1A6340F8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1" authorId="0" shapeId="0" xr:uid="{64E3BD7C-9FE8-4DE8-B6BF-327C4B97205F}">
      <text>
        <r>
          <rPr>
            <sz val="9"/>
            <color indexed="81"/>
            <rFont val="Tahoma"/>
            <family val="2"/>
          </rPr>
          <t>oral, rat: 1.3 - 3.6 mg/kg
https://pubchem.ncbi.nlm.nih.gov/compound/Tebupirimfos#section=Non-Human-Toxicity-Excerpts citing Tomlin CDS, ed. tebupirimfos (96182-53-5). In: The e-Pesticide Manual, Version 2.2 (2002). Surrey UK, British Crop Protection Council</t>
        </r>
      </text>
    </comment>
    <comment ref="D271" authorId="0" shapeId="0" xr:uid="{21E598ED-34F5-44DE-A207-EE2E2082BCB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2" authorId="0" shapeId="0" xr:uid="{01B5399C-89D2-407E-A58A-697EBDBF65D0}">
      <text>
        <r>
          <rPr>
            <sz val="9"/>
            <color indexed="81"/>
            <rFont val="Tahoma"/>
            <family val="2"/>
          </rPr>
          <t xml:space="preserve">oral, rat
https://pubchem.ncbi.nlm.nih.gov/compound/tebuthiuron#section=Acute-Effects citing Food and Cosmetics Toxicology., 12(461), 1974 [PMID:4459242]
</t>
        </r>
      </text>
    </comment>
    <comment ref="D272" authorId="0" shapeId="0" xr:uid="{3F8D4217-BABD-463A-8D39-D8F59F9083D0}">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3" authorId="0" shapeId="0" xr:uid="{00000000-0006-0000-0B00-00001E000000}">
      <text>
        <r>
          <rPr>
            <sz val="9"/>
            <color indexed="81"/>
            <rFont val="Tahoma"/>
            <family val="2"/>
          </rPr>
          <t xml:space="preserve">oral, rat
https://pubchem.ncbi.nlm.nih.gov/compound/Tefluthrin#section=Adverse-Effects citing Pesticide Manual., 9(791), 1991
</t>
        </r>
      </text>
    </comment>
    <comment ref="D273" authorId="0" shapeId="0" xr:uid="{96C98F23-3BB0-4B2B-B3F7-A8264835B41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4" authorId="0" shapeId="0" xr:uid="{44632D50-BBDF-4BE4-80FC-BFE3E2473BAD}">
      <text>
        <r>
          <rPr>
            <sz val="9"/>
            <color indexed="81"/>
            <rFont val="Tahoma"/>
            <family val="2"/>
          </rPr>
          <t xml:space="preserve">oral, rat
https://pubchem.ncbi.nlm.nih.gov/compound/Terbufos#section=Acute-Effects citing Agrochemicals Handbook, with updates, Hartley, D., and H. Kidd, eds., Nottingham, Royal Soc of Chemistry, 1983-86, A382(1983)
</t>
        </r>
      </text>
    </comment>
    <comment ref="D274" authorId="0" shapeId="0" xr:uid="{0DD43C14-45D0-49AF-A3CF-738BB31B83F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5" authorId="0" shapeId="0" xr:uid="{352B588F-59F8-458A-95EE-6272E14B1DEA}">
      <text>
        <r>
          <rPr>
            <sz val="9"/>
            <color indexed="81"/>
            <rFont val="Tahoma"/>
            <family val="2"/>
          </rPr>
          <t xml:space="preserve">oral, rat
https://pubchem.ncbi.nlm.nih.gov/compound/Terbumeton#section=Toxicity citing Farm Chemicals Handbook., -(C297), 1991
</t>
        </r>
      </text>
    </comment>
    <comment ref="D275" authorId="0" shapeId="0" xr:uid="{1891A454-67A5-4A2A-88B0-C9BCBF38642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6" authorId="0" shapeId="0" xr:uid="{1957FCDD-4D12-44C8-B361-69FADF0E02B8}">
      <text>
        <r>
          <rPr>
            <sz val="9"/>
            <color indexed="81"/>
            <rFont val="Tahoma"/>
            <family val="2"/>
          </rPr>
          <t xml:space="preserve">oral, rat
https://pubchem.ncbi.nlm.nih.gov/compound/tetraconazole#section=Non-Human-Toxicity-Values citing USEPA/Office of Pesticide Programs; Environmental Fate and Effects Division Risk Assessment for the Section 3 Registration of Tetraconazole p.33 (March 2005). Available from, as of June 30, 2008: https://www.epa.gov/opprd001/factsheets/index.htm
</t>
        </r>
      </text>
    </comment>
    <comment ref="D276" authorId="0" shapeId="0" xr:uid="{5EEA3AA1-7816-47FE-ACF5-A4C572A7F07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7" authorId="0" shapeId="0" xr:uid="{4332B2AF-3580-4B2E-A244-78D972C5357E}">
      <text>
        <r>
          <rPr>
            <sz val="9"/>
            <color indexed="81"/>
            <rFont val="Tahoma"/>
            <family val="2"/>
          </rPr>
          <t xml:space="preserve">oral, rat
https://www.cdc.gov/niosh/idlh/thallium.html
</t>
        </r>
      </text>
    </comment>
    <comment ref="D277" authorId="0" shapeId="0" xr:uid="{877A6D83-255C-4C7F-BA5B-DB4764666D3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8" authorId="0" shapeId="0" xr:uid="{F61B8805-AC8F-4D5C-8F3C-572B1EC2FB97}">
      <text>
        <r>
          <rPr>
            <sz val="9"/>
            <color indexed="81"/>
            <rFont val="Tahoma"/>
            <family val="2"/>
          </rPr>
          <t>oral, rat
https://pubchem.ncbi.nlm.nih.gov/compound/Thiacloprid#section=Acute-Effects citing 
National Technical Information Service., OTS0559690</t>
        </r>
      </text>
    </comment>
    <comment ref="D278" authorId="0" shapeId="0" xr:uid="{5974D925-79BC-4126-A5DB-1D6C7110AC6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79" authorId="0" shapeId="0" xr:uid="{B843EC01-3E8C-47D0-AE07-AC1CEE198D97}">
      <text>
        <r>
          <rPr>
            <sz val="9"/>
            <color indexed="81"/>
            <rFont val="Tahoma"/>
            <family val="2"/>
          </rPr>
          <t>oral, rat
https://pubchem.ncbi.nlm.nih.gov/compound/THIOBENCARB#section=Acute-Effects citing 
Japan Pesticide Information., (40)(32), 1982</t>
        </r>
      </text>
    </comment>
    <comment ref="D279" authorId="0" shapeId="0" xr:uid="{31159FD1-329D-4CD5-A33C-614BC4D6089F}">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0" authorId="0" shapeId="0" xr:uid="{88FCDAD3-E24B-4FB6-957D-E026CFE09348}">
      <text>
        <r>
          <rPr>
            <sz val="9"/>
            <color indexed="81"/>
            <rFont val="Tahoma"/>
            <family val="2"/>
          </rPr>
          <t>oral, rat
https://pubchem.ncbi.nlm.nih.gov/compound/Thiocyclam-hydrogen-oxalate#section=Toxicity
citing Khimiya v Sel'skom Khozyaistve. Chemistry in Agriculture., 16(2)(59), 1978</t>
        </r>
      </text>
    </comment>
    <comment ref="D280" authorId="0" shapeId="0" xr:uid="{D8EC1BFC-D1E7-4F0E-9AB9-B97C525A201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1" authorId="0" shapeId="0" xr:uid="{714C85A1-4A6D-47EE-9C00-56CB72C3EEC7}">
      <text>
        <r>
          <rPr>
            <sz val="9"/>
            <color indexed="81"/>
            <rFont val="Tahoma"/>
            <family val="2"/>
          </rPr>
          <t xml:space="preserve">oral, rat
https://pubchem.ncbi.nlm.nih.gov/compound/Thiodicarb#section=Acute-Effects citing Defense des Vegetaux., 42(254)(29), 1988
</t>
        </r>
      </text>
    </comment>
    <comment ref="D281" authorId="0" shapeId="0" xr:uid="{D7CE9682-EFE9-4A82-922A-6DD81ED572F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2" authorId="0" shapeId="0" xr:uid="{13FF84BA-1444-469F-A041-DB3A39ED34EB}">
      <text>
        <r>
          <rPr>
            <sz val="9"/>
            <color indexed="81"/>
            <rFont val="Tahoma"/>
            <family val="2"/>
          </rPr>
          <t>oral, rat
https://pubchem.ncbi.nlm.nih.gov/compound/thiofanox#section=Non-Human-Toxicity-Values citing Hartley, D. and H. Kidd (eds.). The Agrochemicals Handbook. 2nd ed. Lechworth, Herts, England: The Royal Society of Chemistry, 1987., p. A394</t>
        </r>
      </text>
    </comment>
    <comment ref="D282" authorId="0" shapeId="0" xr:uid="{4E5D407D-CAA3-45A8-9D6B-7AA467B6A84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3" authorId="0" shapeId="0" xr:uid="{7B6509FC-5ED6-4783-9D43-D3D20F843A3C}">
      <text>
        <r>
          <rPr>
            <sz val="9"/>
            <color indexed="81"/>
            <rFont val="Tahoma"/>
            <family val="2"/>
          </rPr>
          <t xml:space="preserve">oral, rat
https://pubchem.ncbi.nlm.nih.gov/compound/thiometon#section=Acute-Effects citing Arzneimittel-Forschung. Drug Research., 5(584), 1955 [PMID:13276291]
</t>
        </r>
      </text>
    </comment>
    <comment ref="D283" authorId="0" shapeId="0" xr:uid="{CCA6E422-811B-4871-A4CF-2558C3E1EB8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4" authorId="0" shapeId="0" xr:uid="{157EBD6D-6BC6-480C-BCDB-346BE9368093}">
      <text>
        <r>
          <rPr>
            <sz val="9"/>
            <color indexed="81"/>
            <rFont val="Tahoma"/>
            <family val="2"/>
          </rPr>
          <t>oral, rat
https://pubchem.ncbi.nlm.nih.gov/compound/thiram#section=Acute-Effects citing Toxicology and Applied Pharmacology., 11(546), 1967 [PMID:5586363]</t>
        </r>
      </text>
    </comment>
    <comment ref="D284" authorId="0" shapeId="0" xr:uid="{7130854A-67DF-43F2-B2E9-A2780C4EF1A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5" authorId="0" shapeId="0" xr:uid="{C42CE60C-9957-4139-82C7-7CCEFA98089A}">
      <text>
        <r>
          <rPr>
            <sz val="9"/>
            <color indexed="81"/>
            <rFont val="Tahoma"/>
            <family val="2"/>
          </rPr>
          <t xml:space="preserve">oral, rat
https://pubchem.ncbi.nlm.nih.gov/compound/Tralkoxidym#section=Acute-Effects citing Farm Chemicals Handbook., -(C158), 1991
</t>
        </r>
      </text>
    </comment>
    <comment ref="D285" authorId="0" shapeId="0" xr:uid="{8C2068A2-1AFA-4FF4-8C9C-07E14700D10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6" authorId="0" shapeId="0" xr:uid="{00000000-0006-0000-0B00-00001F000000}">
      <text>
        <r>
          <rPr>
            <sz val="9"/>
            <color indexed="81"/>
            <rFont val="Tahoma"/>
            <family val="2"/>
          </rPr>
          <t>oral, rat
https://pubchem.ncbi.nlm.nih.gov/compound/Tralomethrin#section=Acute-Effects
citing Pesticide Manual., 9(829), 1991</t>
        </r>
      </text>
    </comment>
    <comment ref="D286" authorId="0" shapeId="0" xr:uid="{EA31E243-BE7B-4C14-A9AD-37C12EB3C5EA}">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7" authorId="0" shapeId="0" xr:uid="{C6ECB337-8A86-44D0-A5A9-63D05BE9A22D}">
      <text>
        <r>
          <rPr>
            <sz val="9"/>
            <color indexed="81"/>
            <rFont val="Tahoma"/>
            <family val="2"/>
          </rPr>
          <t xml:space="preserve">oral, rat
https://pubchem.ncbi.nlm.nih.gov/compound/triadimefon#section=Acute-Effects citing Defense des Vegetaux., 31(97), 1977
</t>
        </r>
      </text>
    </comment>
    <comment ref="D287" authorId="0" shapeId="0" xr:uid="{4BD4FE71-C4D6-4AAB-9518-6F7C251889C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8" authorId="0" shapeId="0" xr:uid="{AEB34B19-B701-43AB-80F1-FA92829F6460}">
      <text>
        <r>
          <rPr>
            <sz val="9"/>
            <color indexed="81"/>
            <rFont val="Tahoma"/>
            <family val="2"/>
          </rPr>
          <t>oral, rat
https://pubchem.ncbi.nlm.nih.gov/compound/triadimenol#section=Acute-Effects
citing Gigiena i Sanitariya. For English translation, see HYSAAV., 55(9)(40), 1990</t>
        </r>
      </text>
    </comment>
    <comment ref="D288" authorId="0" shapeId="0" xr:uid="{8E624874-C885-45A9-8C1A-7E6C956089B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89" authorId="0" shapeId="0" xr:uid="{00000000-0006-0000-0B00-000020000000}">
      <text>
        <r>
          <rPr>
            <sz val="9"/>
            <color indexed="81"/>
            <rFont val="Tahoma"/>
            <family val="2"/>
          </rPr>
          <t xml:space="preserve">oral, rat
https://www.sigmaaldrich.com/SE/en/sds/SIAL/68723?userType=undefined
</t>
        </r>
      </text>
    </comment>
    <comment ref="D289" authorId="0" shapeId="0" xr:uid="{AF9EFA30-7990-4D4A-ABFD-AD8B46BB11B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0" authorId="0" shapeId="0" xr:uid="{ECDF4A31-3F18-4F24-AA91-CCFCA87C6F89}">
      <text>
        <r>
          <rPr>
            <sz val="9"/>
            <color indexed="81"/>
            <rFont val="Tahoma"/>
            <family val="2"/>
          </rPr>
          <t xml:space="preserve">oral, rat
https://pubchem.ncbi.nlm.nih.gov/compound/Triazophos#section=Acute-Effects citing Farm Chemicals Handbook., -(C166), 1991
</t>
        </r>
      </text>
    </comment>
    <comment ref="D290" authorId="0" shapeId="0" xr:uid="{74339832-03A0-4439-BB3A-2437A221B04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1" authorId="0" shapeId="0" xr:uid="{1BB9049A-E84A-4846-A00C-F09370CE8E77}">
      <text>
        <r>
          <rPr>
            <sz val="9"/>
            <color indexed="81"/>
            <rFont val="Tahoma"/>
            <family val="2"/>
          </rPr>
          <t xml:space="preserve">oral, rat
https://pubchem.ncbi.nlm.nih.gov/compound/trichlorfon#section=Acute-Effects citing United States Patent Document., #5006545
</t>
        </r>
      </text>
    </comment>
    <comment ref="D291" authorId="0" shapeId="0" xr:uid="{9931DFA0-43B6-4020-AB2E-23D36FBC67F1}">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2" authorId="0" shapeId="0" xr:uid="{53545BCF-16E2-4B96-BE85-1C1B4BBF90E9}">
      <text>
        <r>
          <rPr>
            <sz val="9"/>
            <color indexed="81"/>
            <rFont val="Tahoma"/>
            <family val="2"/>
          </rPr>
          <t xml:space="preserve">oral, rat; average derived from LD50 on TEA and BEA forms of Triclopyr given in https://www.npic.orst.edu/factsheets/archive/triclotech.pdf 
</t>
        </r>
      </text>
    </comment>
    <comment ref="D292" authorId="0" shapeId="0" xr:uid="{141D4B2A-F532-46A6-9EDE-9A694E0A5177}">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3" authorId="0" shapeId="0" xr:uid="{4F054926-2674-427D-A7D1-6D452A0FEF86}">
      <text>
        <r>
          <rPr>
            <sz val="9"/>
            <color indexed="81"/>
            <rFont val="Tahoma"/>
            <family val="2"/>
          </rPr>
          <t xml:space="preserve">oral, rat
https://pubchem.ncbi.nlm.nih.gov/compound/tricyclazole#section=Acute-Effects citing Agricultural Chemicals, Thomson, W.T., 4 vols., Fresno, CA, Thomson Publications, 1976/77 revision, 4(120), 1976/1977
</t>
        </r>
      </text>
    </comment>
    <comment ref="D293" authorId="0" shapeId="0" xr:uid="{DEECD486-5AAF-47B3-87A9-D619BD052B05}">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4" authorId="0" shapeId="0" xr:uid="{A42857BA-16FF-4B16-BB30-624133008BBC}">
      <text>
        <r>
          <rPr>
            <sz val="9"/>
            <color indexed="81"/>
            <rFont val="Tahoma"/>
            <family val="2"/>
          </rPr>
          <t xml:space="preserve">oral, rat
https://pubchem.ncbi.nlm.nih.gov/compound/Tridemorph#section=Acute-Effects citing Guide to the Chemicals Used in Crop Protection., 6(522), 1973
</t>
        </r>
      </text>
    </comment>
    <comment ref="D294" authorId="0" shapeId="0" xr:uid="{1D24C1F5-F2E0-42B8-AFA8-322903365DC8}">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5" authorId="0" shapeId="0" xr:uid="{317053BD-73CE-4773-8C2C-D0B97910369A}">
      <text>
        <r>
          <rPr>
            <sz val="9"/>
            <color indexed="81"/>
            <rFont val="Tahoma"/>
            <family val="2"/>
          </rPr>
          <t>oral, rat
https://pubchem.ncbi.nlm.nih.gov/compound/Triflumizole#section=Acute-Effects citing 
Pesticide Manual., 9(849), 1991</t>
        </r>
      </text>
    </comment>
    <comment ref="D295" authorId="0" shapeId="0" xr:uid="{F35989FC-6301-4650-BF1D-54151113411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6" authorId="0" shapeId="0" xr:uid="{2223A511-96BC-40F3-A03A-DBF19824C756}">
      <text>
        <r>
          <rPr>
            <sz val="10"/>
            <rFont val="Arial"/>
            <family val="2"/>
          </rPr>
          <t>oral, rat
https://pubchem.ncbi.nlm.nih.gov/compound/Uniconazole#section=Toxicity citing Farm Chemicals Handbook., -(C317), 1991</t>
        </r>
      </text>
    </comment>
    <comment ref="D296" authorId="0" shapeId="0" xr:uid="{AF240A70-A2AE-4D81-A890-D5B4C218A5FD}">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7" authorId="0" shapeId="0" xr:uid="{7C8ED7F1-BFA3-46E6-8C84-A58B27FF807D}">
      <text>
        <r>
          <rPr>
            <sz val="9"/>
            <color indexed="81"/>
            <rFont val="Tahoma"/>
            <family val="2"/>
          </rPr>
          <t>oral, rat https://pubchem.ncbi.nlm.nih.gov/compound/vamidothion#section=Acute-Effects citing 
Pesticide Index, Frear, E.H., ed., State College, PA, College Science Pub., 1969, 5(233), 1976</t>
        </r>
      </text>
    </comment>
    <comment ref="D297" authorId="0" shapeId="0" xr:uid="{7E7A8546-B46A-4D8E-882F-0FA1DAEB9C1B}">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8" authorId="0" shapeId="0" xr:uid="{3F1DE299-EC2C-4D8E-B9BD-5923531695BF}">
      <text>
        <r>
          <rPr>
            <sz val="9"/>
            <color indexed="81"/>
            <rFont val="Tahoma"/>
            <family val="2"/>
          </rPr>
          <t>oral, rat
https://pubchem.ncbi.nlm.nih.gov/compound/warfarin#section=Acute-Effects citing Toxicology and Applied Pharmacology., 11(327), 1967</t>
        </r>
      </text>
    </comment>
    <comment ref="D298" authorId="0" shapeId="0" xr:uid="{1AAD5B3A-BFC5-42D8-9769-9DB18052C96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299" authorId="0" shapeId="0" xr:uid="{CDFC8280-4F46-4A79-8B75-53CCB5A87A69}">
      <text>
        <r>
          <rPr>
            <sz val="9"/>
            <color indexed="81"/>
            <rFont val="Tahoma"/>
            <family val="2"/>
          </rPr>
          <t>oral, rat
https://pubchem.ncbi.nlm.nih.gov/compound/3_5-Xylyl-Methylcarbamate#section=Acute-Effects citing 
Yakkyoku. Pharmacy., 39(863), 1988</t>
        </r>
      </text>
    </comment>
    <comment ref="D299" authorId="0" shapeId="0" xr:uid="{7CCCD0BC-58A5-4410-9C92-D9882409AEE4}">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00" authorId="0" shapeId="0" xr:uid="{8AE93A11-BDE9-470C-AFE1-721C9B91DC97}">
      <text>
        <r>
          <rPr>
            <sz val="9"/>
            <color indexed="81"/>
            <rFont val="Tahoma"/>
            <family val="2"/>
          </rPr>
          <t xml:space="preserve">oral, rat
https://pubchem.ncbi.nlm.nih.gov/compound/Xylylcarb#section=Acute-Effects citing Guide to the Chemicals Used in Crop Protection., 6(218), 1973
</t>
        </r>
      </text>
    </comment>
    <comment ref="D300" authorId="0" shapeId="0" xr:uid="{3B183D9D-534E-4A15-B6DE-63D05E75F176}">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01" authorId="0" shapeId="0" xr:uid="{C5BE3295-E1BB-4680-8097-5453229C4606}">
      <text>
        <r>
          <rPr>
            <sz val="9"/>
            <color indexed="81"/>
            <rFont val="Tahoma"/>
            <family val="2"/>
          </rPr>
          <t xml:space="preserve">oral, rat
https://pubchem.ncbi.nlm.nih.gov/compound/zeta-Cypermethrin#section=EFSA-Hazard-Characterization-Reference-Points
</t>
        </r>
      </text>
    </comment>
    <comment ref="D301" authorId="0" shapeId="0" xr:uid="{980EC718-32C2-4E49-AD2C-B247AE0B3E19}">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02" authorId="0" shapeId="0" xr:uid="{93DAE38F-A375-4B09-96D6-509220BF9E70}">
      <text>
        <r>
          <rPr>
            <sz val="9"/>
            <color indexed="81"/>
            <rFont val="Tahoma"/>
            <family val="2"/>
          </rPr>
          <t xml:space="preserve">oral, rat
https://pubchem.ncbi.nlm.nih.gov/compound/ZINC-phosphide#section=Adverse-Effects
</t>
        </r>
      </text>
    </comment>
    <comment ref="D302" authorId="0" shapeId="0" xr:uid="{3E39C70C-29AA-4C73-8223-DDE1E8B182A2}">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 ref="C303" authorId="0" shapeId="0" xr:uid="{E44104A4-2E4D-47AA-96FB-E18AC70B7218}">
      <text>
        <r>
          <rPr>
            <sz val="9"/>
            <color indexed="81"/>
            <rFont val="Tahoma"/>
            <family val="2"/>
          </rPr>
          <t>oral, rat
https://pubchem.ncbi.nlm.nih.gov/compound/ziram#section=Non-Human-Toxicity-Values
citing Tomlin, C.D.S. (ed.). The Pesticide Manual - World Compendium. 10th ed. Surrey, UK: The British Crop Protection Council, 1994., p. 1051</t>
        </r>
      </text>
    </comment>
    <comment ref="D303" authorId="0" shapeId="0" xr:uid="{40D79853-F25F-4FA3-9C07-B6FAD0F68E93}">
      <text>
        <r>
          <rPr>
            <sz val="9"/>
            <color indexed="81"/>
            <rFont val="Tahoma"/>
            <family val="2"/>
          </rPr>
          <t xml:space="preserve">Includes a preliminar estimation of model uncertainty for potency. LD50 uncertainty is rather low but as no data is known on actual impacts from specific substances, an uncertainty in the order of magnitude is assumed.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C1" authorId="0" shapeId="0" xr:uid="{00000000-0006-0000-0900-000001000000}">
      <text>
        <r>
          <rPr>
            <sz val="8"/>
            <color indexed="81"/>
            <rFont val="Tahoma"/>
            <family val="2"/>
          </rPr>
          <t xml:space="preserve">GWP100 including feedback mechanisms (IPCC AR5 WGI Table 8SM16)
</t>
        </r>
      </text>
    </comment>
    <comment ref="E1" authorId="0" shapeId="0" xr:uid="{00000000-0006-0000-0900-000002000000}">
      <text>
        <r>
          <rPr>
            <sz val="9"/>
            <color indexed="81"/>
            <rFont val="Tahoma"/>
            <family val="2"/>
          </rPr>
          <t xml:space="preserve">WMO 2006
</t>
        </r>
      </text>
    </comment>
    <comment ref="I1" authorId="0" shapeId="0" xr:uid="{CF5E508C-9E1B-4A13-B80A-0414E30E3227}">
      <text>
        <r>
          <rPr>
            <sz val="9"/>
            <color indexed="81"/>
            <rFont val="Tahoma"/>
            <family val="2"/>
          </rPr>
          <t xml:space="preserve">Personyears
</t>
        </r>
      </text>
    </comment>
    <comment ref="J1" authorId="0" shapeId="0" xr:uid="{91A31E62-CB2E-47FF-8723-C69287018CB6}">
      <text>
        <r>
          <rPr>
            <sz val="9"/>
            <color indexed="81"/>
            <rFont val="Tahoma"/>
            <family val="2"/>
          </rPr>
          <t xml:space="preserve">Personyears
</t>
        </r>
      </text>
    </comment>
    <comment ref="L1" authorId="0" shapeId="0" xr:uid="{162823B1-E194-49D4-8A6B-EC01B8E1EE88}">
      <text>
        <r>
          <rPr>
            <sz val="9"/>
            <color indexed="81"/>
            <rFont val="Tahoma"/>
            <family val="2"/>
          </rPr>
          <t xml:space="preserve">Personhours
</t>
        </r>
      </text>
    </comment>
    <comment ref="M1" authorId="0" shapeId="0" xr:uid="{9D94CD27-535D-40E8-A68A-9690A3D4B34D}">
      <text>
        <r>
          <rPr>
            <sz val="9"/>
            <color indexed="81"/>
            <rFont val="Tahoma"/>
            <family val="2"/>
          </rPr>
          <t xml:space="preserve">Personyears
</t>
        </r>
      </text>
    </comment>
    <comment ref="N1" authorId="0" shapeId="0" xr:uid="{722533D2-67B4-4A4A-8504-B0FED7B7E81D}">
      <text>
        <r>
          <rPr>
            <sz val="9"/>
            <color indexed="81"/>
            <rFont val="Tahoma"/>
            <family val="2"/>
          </rPr>
          <t xml:space="preserve">kg crop loss
</t>
        </r>
      </text>
    </comment>
    <comment ref="O1" authorId="0" shapeId="0" xr:uid="{5A20DA5A-BF8B-4D03-9DD7-AB92F368574B}">
      <text>
        <r>
          <rPr>
            <sz val="9"/>
            <color indexed="81"/>
            <rFont val="Tahoma"/>
            <family val="2"/>
          </rPr>
          <t xml:space="preserve">kg air-dry wood
</t>
        </r>
      </text>
    </comment>
    <comment ref="A3" authorId="0" shapeId="0" xr:uid="{0989D489-0A6F-4A5D-9C71-17CACC0A5AC0}">
      <text>
        <r>
          <rPr>
            <sz val="9"/>
            <color indexed="81"/>
            <rFont val="Tahoma"/>
            <family val="2"/>
          </rPr>
          <t>CCl3F</t>
        </r>
      </text>
    </comment>
    <comment ref="C3" authorId="0" shapeId="0" xr:uid="{00000000-0006-0000-0900-000003000000}">
      <text>
        <r>
          <rPr>
            <sz val="8"/>
            <color indexed="81"/>
            <rFont val="Tahoma"/>
            <family val="2"/>
          </rPr>
          <t xml:space="preserve">(IPCC AR6 WGI Table 7.SM.7)
</t>
        </r>
      </text>
    </comment>
    <comment ref="D3" authorId="0" shapeId="0" xr:uid="{00000000-0006-0000-0900-000004000000}">
      <text>
        <r>
          <rPr>
            <sz val="9"/>
            <color indexed="81"/>
            <rFont val="Tahoma"/>
            <family val="2"/>
          </rPr>
          <t>IPCC AR6 WGII, table 7.SM.10, reports an uncertainty of 27% with CI 5-96%. This indicates and uncertainty of SQRT(1.37) = 1.17</t>
        </r>
      </text>
    </comment>
    <comment ref="E3" authorId="0" shapeId="0" xr:uid="{00000000-0006-0000-0900-000005000000}">
      <text>
        <r>
          <rPr>
            <sz val="9"/>
            <color indexed="81"/>
            <rFont val="Tahoma"/>
            <family val="2"/>
          </rPr>
          <t xml:space="preserve">ODP3, WMO 2006
</t>
        </r>
      </text>
    </comment>
    <comment ref="F3" authorId="0" shapeId="0" xr:uid="{F3A1EF63-5E12-4222-9BB0-A09B9A8F2364}">
      <text>
        <r>
          <rPr>
            <sz val="9"/>
            <color indexed="81"/>
            <rFont val="Tahoma"/>
            <family val="2"/>
          </rPr>
          <t xml:space="preserve">ODP is 1 by definition
</t>
        </r>
      </text>
    </comment>
    <comment ref="G3" authorId="0" shapeId="0" xr:uid="{00000000-0006-0000-0900-000006000000}">
      <text>
        <r>
          <rPr>
            <sz val="9"/>
            <color indexed="81"/>
            <rFont val="Tahoma"/>
            <family val="2"/>
          </rPr>
          <t xml:space="preserve">The emisssion scenario based on the copenhagen amendment to the Montreal protocol is used. For that, WHO estimates an average incidence of around 50 cases per million inhabitants per year until 2100, when excess cancer incidence cease. There are three types of skin cancer: melanoma,  squamous cell carcinoma (SCC), and basal cell carcinoma (BCC). Mortality in skin cancer is low, about 12% for melanoma and 0,2% for SCC and BCC. If applying the ratio of predicted cancer incidences for melanoma vs SCC + BCC the US (HUMAN HEALTH BENEFITS OF STRATOSPHERIC OZONE PROTECTION, USEPA April 2006) which estimate the mealnoma incidence to 2.7% of all cases, the global mortality rate until 2100 will be 50/1E6*7.2E9*88*(0.12*0.027+0.002*0.973)=1.64E5.
The average shortening of life due to cancer is 24 years. This means that there are 3.94E6 YOLLs caused by ozone depletion.
The total emission of ozone depletion substances to 2100 is estimated from a scenario made by A. R. Ravishankara, et al. (Science 326, 123 (2009)) to 22000 kton or 2.2E10 kg CFC11 equivalents. An emission of 1 kg CFC11 eqivalents therefore contributes with 3.94E6/2.2E10 YOLLs = 1.79E-4.
</t>
        </r>
      </text>
    </comment>
    <comment ref="I3" authorId="0" shapeId="0" xr:uid="{00000000-0006-0000-0900-000007000000}">
      <text>
        <r>
          <rPr>
            <sz val="9"/>
            <color indexed="81"/>
            <rFont val="Tahoma"/>
            <family val="2"/>
          </rPr>
          <t xml:space="preserve">The emisssion scenario based on the copenhagen amendment to the Montreal protocol is used. For that, WHO estimates an average incidence of around 50 cases per million inhabitants per year until 2100, when excess cancer incidence cease. There are three types of skin cancer: melanoma,  squamous cell carcinoma (SCC), and basal cell carcinoma (BCC). Mortality in skin cancer is low, about 12% for melanoma and 0,2% for SCC and BCC. If applying the ratio of predicted cancer incidences for melanoma vs SCC + BCC the US (HUMAN HEALTH BENEFITS OF STRATOSPHERIC OZONE PROTECTION, USEPA April 2006) which estimate the mealnoma incidence to 2.7% of all cases. The duration of disability due to skin cancers (Cancer: diagnosis and primary therapy) is estimated to be rather short, 1 mounth. We thus get 50/1000000*7E9/12 = 2.92E4 personyears of cancer disability.
The total emission of ozone depletion substances to 2100 is estimated from a scenario made by A. R. Ravishankara, et al. (Science 326, 123 (2009)) to 22000 kton or 2.2E10 kg CFC11 equivalents. An emission of 1 kg CFC11 eqivalents therefore contributes with 2.92E4/2.2E10 YOLLs = 1.33E-6.
</t>
        </r>
      </text>
    </comment>
    <comment ref="J3" authorId="0" shapeId="0" xr:uid="{00000000-0006-0000-0900-000008000000}">
      <text>
        <r>
          <rPr>
            <sz val="9"/>
            <color indexed="81"/>
            <rFont val="Tahoma"/>
            <family val="2"/>
          </rPr>
          <t>USEPA (PROTECTING THE OZONE LAYER PROTECTS EYESIGHT, 2010) estimates that in the US there will be 457 500 cataract cases until 2100 with the 1997 amendments to the Montreal protocol. Considering that there is a bias towards the northen part of the US in cataract frequency, the US figures canno0t directly be scaled up to represent global conditions, but in lack better assessments, it is here assumed to be relevant for people living in simailar latitudes, i.e. about 2 billion people. This means that the global cataract incidence to 2100 would be 457500/313*2000 = 2.92E6 cases. Most cataract cases are operated, but time to operation would be a year or so. An average disabled time of 2 years is assumed, in order to include thos cases that will not be operated. The total state indicator value is thus 5.85E6 personyears. 
The total emission of ozone depletion substances until 2100 is estimated from a scenario made by A. R. Ravishankara, et al. (Science 326, 123 (2009)) to 22000 kton or 2.2E10 kg CFC11 equivalents. An emission of 1 kg CFC11 eqivalents therefore contributes with 5.85E6/2.2E10 personyears = 2.66E-4</t>
        </r>
      </text>
    </comment>
    <comment ref="A4" authorId="0" shapeId="0" xr:uid="{37CD5F7B-85BB-4C79-B01D-6DA0AF257623}">
      <text>
        <r>
          <rPr>
            <sz val="9"/>
            <color indexed="81"/>
            <rFont val="Tahoma"/>
            <family val="2"/>
          </rPr>
          <t xml:space="preserve">CCl2F2
</t>
        </r>
      </text>
    </comment>
    <comment ref="C4" authorId="0" shapeId="0" xr:uid="{A4C433E3-3567-4C9A-A8C2-0DC723462E3A}">
      <text>
        <r>
          <rPr>
            <sz val="8"/>
            <color indexed="81"/>
            <rFont val="Tahoma"/>
            <family val="2"/>
          </rPr>
          <t xml:space="preserve">(IPCC AR6 WGI Table 7.SM.7)
</t>
        </r>
      </text>
    </comment>
    <comment ref="D4" authorId="0" shapeId="0" xr:uid="{00000000-0006-0000-0900-00000A000000}">
      <text>
        <r>
          <rPr>
            <sz val="9"/>
            <color indexed="81"/>
            <rFont val="Tahoma"/>
            <family val="2"/>
          </rPr>
          <t>Assumed similar to CFC-11, but no special estimation has been found</t>
        </r>
      </text>
    </comment>
    <comment ref="E4" authorId="0" shapeId="0" xr:uid="{00000000-0006-0000-0900-00000B000000}">
      <text>
        <r>
          <rPr>
            <sz val="9"/>
            <color indexed="81"/>
            <rFont val="Tahoma"/>
            <family val="2"/>
          </rPr>
          <t xml:space="preserve"> WMO 2011
</t>
        </r>
      </text>
    </comment>
    <comment ref="F4" authorId="0" shapeId="0" xr:uid="{12575F31-D707-4937-B1BD-E7B75A558C2A}">
      <text>
        <r>
          <rPr>
            <sz val="9"/>
            <color indexed="81"/>
            <rFont val="Tahoma"/>
            <family val="2"/>
          </rPr>
          <t xml:space="preserve">Assumed to be subject to the same kind of uncertainties as the GWP estimate
</t>
        </r>
      </text>
    </comment>
    <comment ref="G4" authorId="0" shapeId="0" xr:uid="{00000000-0006-0000-0900-00000C000000}">
      <text>
        <r>
          <rPr>
            <sz val="9"/>
            <color indexed="81"/>
            <rFont val="Tahoma"/>
            <family val="2"/>
          </rPr>
          <t xml:space="preserve">See note on CFC-11
</t>
        </r>
      </text>
    </comment>
    <comment ref="I4" authorId="0" shapeId="0" xr:uid="{00000000-0006-0000-0900-00000D000000}">
      <text>
        <r>
          <rPr>
            <sz val="9"/>
            <color indexed="81"/>
            <rFont val="Tahoma"/>
            <family val="2"/>
          </rPr>
          <t xml:space="preserve">See notes on CFC11
</t>
        </r>
      </text>
    </comment>
    <comment ref="J4" authorId="0" shapeId="0" xr:uid="{00000000-0006-0000-0900-00000E000000}">
      <text>
        <r>
          <rPr>
            <sz val="9"/>
            <color indexed="81"/>
            <rFont val="Tahoma"/>
            <family val="2"/>
          </rPr>
          <t xml:space="preserve">See notes on CFC11
</t>
        </r>
      </text>
    </comment>
    <comment ref="A5" authorId="0" shapeId="0" xr:uid="{FFF0CCA2-F9FE-4623-AF20-54AE2CE13201}">
      <text>
        <r>
          <rPr>
            <sz val="9"/>
            <color indexed="81"/>
            <rFont val="Tahoma"/>
            <family val="2"/>
          </rPr>
          <t xml:space="preserve">CClF3
</t>
        </r>
      </text>
    </comment>
    <comment ref="C5" authorId="0" shapeId="0" xr:uid="{771EAE1F-6313-4377-8DE4-E865229A9BD3}">
      <text>
        <r>
          <rPr>
            <sz val="8"/>
            <color indexed="81"/>
            <rFont val="Tahoma"/>
            <family val="2"/>
          </rPr>
          <t xml:space="preserve">(IPCC AR6 WGI Table 7.SM.7)
</t>
        </r>
      </text>
    </comment>
    <comment ref="D5" authorId="0" shapeId="0" xr:uid="{DF63F6A1-9D89-4290-9AC6-D320C01934A5}">
      <text>
        <r>
          <rPr>
            <sz val="9"/>
            <color indexed="81"/>
            <rFont val="Tahoma"/>
            <family val="2"/>
          </rPr>
          <t>Assumed similar to CFC-11, but no special estimation has been found</t>
        </r>
      </text>
    </comment>
    <comment ref="E5" authorId="0" shapeId="0" xr:uid="{00000000-0006-0000-0900-000010000000}">
      <text>
        <r>
          <rPr>
            <sz val="8"/>
            <color indexed="81"/>
            <rFont val="Tahoma"/>
            <family val="2"/>
          </rPr>
          <t xml:space="preserve">WMO 2011
</t>
        </r>
      </text>
    </comment>
    <comment ref="F5" authorId="0" shapeId="0" xr:uid="{B89CD7BF-79F9-4285-8566-10EF3FA6D039}">
      <text>
        <r>
          <rPr>
            <sz val="9"/>
            <color indexed="81"/>
            <rFont val="Tahoma"/>
            <family val="2"/>
          </rPr>
          <t xml:space="preserve">Assumed to be subject to the same kind of uncertainties as the GWP estimate
</t>
        </r>
      </text>
    </comment>
    <comment ref="G5" authorId="0" shapeId="0" xr:uid="{00000000-0006-0000-0900-000011000000}">
      <text>
        <r>
          <rPr>
            <sz val="9"/>
            <color indexed="81"/>
            <rFont val="Tahoma"/>
            <family val="2"/>
          </rPr>
          <t xml:space="preserve">See note on CFC-11
</t>
        </r>
      </text>
    </comment>
    <comment ref="I5" authorId="0" shapeId="0" xr:uid="{00000000-0006-0000-0900-000012000000}">
      <text>
        <r>
          <rPr>
            <sz val="9"/>
            <color indexed="81"/>
            <rFont val="Tahoma"/>
            <family val="2"/>
          </rPr>
          <t xml:space="preserve">See notes on CFC11
</t>
        </r>
      </text>
    </comment>
    <comment ref="J5" authorId="0" shapeId="0" xr:uid="{00000000-0006-0000-0900-000013000000}">
      <text>
        <r>
          <rPr>
            <sz val="9"/>
            <color indexed="81"/>
            <rFont val="Tahoma"/>
            <family val="2"/>
          </rPr>
          <t xml:space="preserve">See notes on CFC11
</t>
        </r>
      </text>
    </comment>
    <comment ref="A6" authorId="0" shapeId="0" xr:uid="{71F02C24-5793-4585-AC4B-688479C2A433}">
      <text>
        <r>
          <rPr>
            <sz val="9"/>
            <color indexed="81"/>
            <rFont val="Tahoma"/>
            <family val="2"/>
          </rPr>
          <t xml:space="preserve">CCl2FCCl2F 
</t>
        </r>
      </text>
    </comment>
    <comment ref="C6" authorId="0" shapeId="0" xr:uid="{94D1A91D-4825-47DF-886F-677190D59566}">
      <text>
        <r>
          <rPr>
            <sz val="8"/>
            <color indexed="81"/>
            <rFont val="Tahoma"/>
            <family val="2"/>
          </rPr>
          <t xml:space="preserve">(IPCC AR6 WGI Table 7.SM.7)
</t>
        </r>
      </text>
    </comment>
    <comment ref="D6" authorId="0" shapeId="0" xr:uid="{BE9613D5-5AD8-4BAC-B4B8-2CFA4D4FA880}">
      <text>
        <r>
          <rPr>
            <sz val="9"/>
            <color indexed="81"/>
            <rFont val="Tahoma"/>
            <family val="2"/>
          </rPr>
          <t>Assumed similar to CFC-11, but no special estimation has been found</t>
        </r>
      </text>
    </comment>
    <comment ref="E6" authorId="0" shapeId="0" xr:uid="{00000000-0006-0000-0900-00001A000000}">
      <text>
        <r>
          <rPr>
            <sz val="9"/>
            <color indexed="81"/>
            <rFont val="Tahoma"/>
            <family val="2"/>
          </rPr>
          <t xml:space="preserve">ODP2 Class I Ozone-depleting Substances, USEPA 2014
</t>
        </r>
      </text>
    </comment>
    <comment ref="F6" authorId="0" shapeId="0" xr:uid="{BBB6D81A-03EC-4EB3-AEB6-4846FBE08C74}">
      <text>
        <r>
          <rPr>
            <sz val="9"/>
            <color indexed="81"/>
            <rFont val="Tahoma"/>
            <family val="2"/>
          </rPr>
          <t xml:space="preserve">Assumed to be subject to the same kind of uncertainties as the GWP estimate
</t>
        </r>
      </text>
    </comment>
    <comment ref="G6" authorId="0" shapeId="0" xr:uid="{00000000-0006-0000-0900-00001B000000}">
      <text>
        <r>
          <rPr>
            <sz val="9"/>
            <color indexed="81"/>
            <rFont val="Tahoma"/>
            <family val="2"/>
          </rPr>
          <t xml:space="preserve">See note on CFC-11
</t>
        </r>
      </text>
    </comment>
    <comment ref="I6" authorId="0" shapeId="0" xr:uid="{00000000-0006-0000-0900-00001C000000}">
      <text>
        <r>
          <rPr>
            <sz val="9"/>
            <color indexed="81"/>
            <rFont val="Tahoma"/>
            <family val="2"/>
          </rPr>
          <t xml:space="preserve">See notes on CFC11
</t>
        </r>
      </text>
    </comment>
    <comment ref="J6" authorId="0" shapeId="0" xr:uid="{00000000-0006-0000-0900-00001D000000}">
      <text>
        <r>
          <rPr>
            <sz val="9"/>
            <color indexed="81"/>
            <rFont val="Tahoma"/>
            <family val="2"/>
          </rPr>
          <t xml:space="preserve">See notes on CFC11
</t>
        </r>
      </text>
    </comment>
    <comment ref="A7" authorId="0" shapeId="0" xr:uid="{73B3DE61-777C-42C3-8550-036EAD70E99A}">
      <text>
        <r>
          <rPr>
            <sz val="9"/>
            <color indexed="81"/>
            <rFont val="Tahoma"/>
            <family val="2"/>
          </rPr>
          <t xml:space="preserve">CCl3CClF2
</t>
        </r>
      </text>
    </comment>
    <comment ref="C7" authorId="0" shapeId="0" xr:uid="{E199B857-16B3-42CC-AEDF-3FB3CE6B2DF5}">
      <text>
        <r>
          <rPr>
            <sz val="8"/>
            <color indexed="81"/>
            <rFont val="Tahoma"/>
            <family val="2"/>
          </rPr>
          <t xml:space="preserve">(IPCC AR6 WGI Table 7.SM.7)
</t>
        </r>
      </text>
    </comment>
    <comment ref="D7" authorId="0" shapeId="0" xr:uid="{D9B90A05-46F6-4630-B7A8-5AAB0F98F352}">
      <text>
        <r>
          <rPr>
            <sz val="9"/>
            <color indexed="81"/>
            <rFont val="Tahoma"/>
            <family val="2"/>
          </rPr>
          <t>Assumed similar to CFC-11, but no special estimation has been found</t>
        </r>
      </text>
    </comment>
    <comment ref="E7" authorId="0" shapeId="0" xr:uid="{D0015DED-822F-4E32-BDF8-5BB49193E7B1}">
      <text>
        <r>
          <rPr>
            <sz val="9"/>
            <color indexed="81"/>
            <rFont val="Tahoma"/>
            <family val="2"/>
          </rPr>
          <t xml:space="preserve">ODP2 Class I Ozone-depleting Substances, USEPA 2014
</t>
        </r>
      </text>
    </comment>
    <comment ref="F7" authorId="0" shapeId="0" xr:uid="{B0336575-0929-457B-BB34-5E8A6D470083}">
      <text>
        <r>
          <rPr>
            <sz val="9"/>
            <color indexed="81"/>
            <rFont val="Tahoma"/>
            <family val="2"/>
          </rPr>
          <t xml:space="preserve">Assumed to be subject to the same kind of uncertainties as the GWP estimate
</t>
        </r>
      </text>
    </comment>
    <comment ref="G7" authorId="0" shapeId="0" xr:uid="{277C614C-8CB6-40D2-B153-0FAE8D5865BF}">
      <text>
        <r>
          <rPr>
            <sz val="9"/>
            <color indexed="81"/>
            <rFont val="Tahoma"/>
            <family val="2"/>
          </rPr>
          <t xml:space="preserve">See note on CFC-11
</t>
        </r>
      </text>
    </comment>
    <comment ref="I7" authorId="0" shapeId="0" xr:uid="{7EF24F78-4359-45AB-A183-451F436DF515}">
      <text>
        <r>
          <rPr>
            <sz val="9"/>
            <color indexed="81"/>
            <rFont val="Tahoma"/>
            <family val="2"/>
          </rPr>
          <t xml:space="preserve">See note on CFC-11
</t>
        </r>
      </text>
    </comment>
    <comment ref="J7" authorId="0" shapeId="0" xr:uid="{82602AF2-210F-4197-90EF-DD654DC0521F}">
      <text>
        <r>
          <rPr>
            <sz val="9"/>
            <color indexed="81"/>
            <rFont val="Tahoma"/>
            <family val="2"/>
          </rPr>
          <t xml:space="preserve">See notes on CFC11
</t>
        </r>
      </text>
    </comment>
    <comment ref="A8" authorId="0" shapeId="0" xr:uid="{0A0886D2-E4A5-43AB-ADAE-7306CF4494A1}">
      <text>
        <r>
          <rPr>
            <sz val="9"/>
            <color indexed="81"/>
            <rFont val="Tahoma"/>
            <family val="2"/>
          </rPr>
          <t xml:space="preserve">CCl2FCClF2 
</t>
        </r>
      </text>
    </comment>
    <comment ref="C8" authorId="0" shapeId="0" xr:uid="{0FBDF4D4-0110-44DD-AC79-A436CFDB74CA}">
      <text>
        <r>
          <rPr>
            <sz val="8"/>
            <color indexed="81"/>
            <rFont val="Tahoma"/>
            <family val="2"/>
          </rPr>
          <t xml:space="preserve">(IPCC AR6 WGI Table 7.SM.7)
</t>
        </r>
      </text>
    </comment>
    <comment ref="D8" authorId="0" shapeId="0" xr:uid="{C862CD96-B7A8-4815-B436-FFD085029470}">
      <text>
        <r>
          <rPr>
            <sz val="9"/>
            <color indexed="81"/>
            <rFont val="Tahoma"/>
            <family val="2"/>
          </rPr>
          <t>Assumed similar to CFC-11, but no special estimation has been found</t>
        </r>
      </text>
    </comment>
    <comment ref="E8" authorId="0" shapeId="0" xr:uid="{00000000-0006-0000-0900-00001F000000}">
      <text>
        <r>
          <rPr>
            <sz val="9"/>
            <color indexed="81"/>
            <rFont val="Tahoma"/>
            <family val="2"/>
          </rPr>
          <t xml:space="preserve">ODP3, WMO 2011
</t>
        </r>
      </text>
    </comment>
    <comment ref="F8" authorId="0" shapeId="0" xr:uid="{C2EC1A96-F7EC-4471-8C83-3A260A58BE2E}">
      <text>
        <r>
          <rPr>
            <sz val="9"/>
            <color indexed="81"/>
            <rFont val="Tahoma"/>
            <family val="2"/>
          </rPr>
          <t xml:space="preserve">Assumed to be subject to the same kind of uncertainties as the GWP estimate
</t>
        </r>
      </text>
    </comment>
    <comment ref="G8" authorId="0" shapeId="0" xr:uid="{00000000-0006-0000-0900-000020000000}">
      <text>
        <r>
          <rPr>
            <sz val="9"/>
            <color indexed="81"/>
            <rFont val="Tahoma"/>
            <family val="2"/>
          </rPr>
          <t xml:space="preserve">See note on CFC-11
</t>
        </r>
      </text>
    </comment>
    <comment ref="I8" authorId="0" shapeId="0" xr:uid="{00000000-0006-0000-0900-000021000000}">
      <text>
        <r>
          <rPr>
            <sz val="9"/>
            <color indexed="81"/>
            <rFont val="Tahoma"/>
            <family val="2"/>
          </rPr>
          <t xml:space="preserve">See notes on CFC11
</t>
        </r>
      </text>
    </comment>
    <comment ref="J8" authorId="0" shapeId="0" xr:uid="{00000000-0006-0000-0900-000022000000}">
      <text>
        <r>
          <rPr>
            <sz val="9"/>
            <color indexed="81"/>
            <rFont val="Tahoma"/>
            <family val="2"/>
          </rPr>
          <t xml:space="preserve">See notes on CFC11
</t>
        </r>
      </text>
    </comment>
    <comment ref="A9" authorId="0" shapeId="0" xr:uid="{D598A6ED-14FB-4880-9933-90CF5099B990}">
      <text>
        <r>
          <rPr>
            <sz val="9"/>
            <color indexed="81"/>
            <rFont val="Tahoma"/>
            <family val="2"/>
          </rPr>
          <t xml:space="preserve">CCl3CF3 
</t>
        </r>
      </text>
    </comment>
    <comment ref="C9" authorId="0" shapeId="0" xr:uid="{6F50D645-BD57-46A9-BBE6-CAF2A8BCD96D}">
      <text>
        <r>
          <rPr>
            <sz val="8"/>
            <color indexed="81"/>
            <rFont val="Tahoma"/>
            <family val="2"/>
          </rPr>
          <t xml:space="preserve">(IPCC AR6 WGI Table 7.SM.7)
</t>
        </r>
      </text>
    </comment>
    <comment ref="D9" authorId="0" shapeId="0" xr:uid="{9EA95F6D-B77B-4512-818E-1BEC4410EAD5}">
      <text>
        <r>
          <rPr>
            <sz val="9"/>
            <color indexed="81"/>
            <rFont val="Tahoma"/>
            <family val="2"/>
          </rPr>
          <t>Assumed similar to CFC-11, but no special estimation has been found</t>
        </r>
      </text>
    </comment>
    <comment ref="E9" authorId="0" shapeId="0" xr:uid="{1025D864-3F2F-45B5-82A2-5755EB457366}">
      <text>
        <r>
          <rPr>
            <sz val="9"/>
            <color indexed="81"/>
            <rFont val="Tahoma"/>
            <family val="2"/>
          </rPr>
          <t xml:space="preserve">ODP3, WMO 2006
</t>
        </r>
      </text>
    </comment>
    <comment ref="F9" authorId="0" shapeId="0" xr:uid="{496B1DC0-AB09-4925-862B-E8D39656D40E}">
      <text>
        <r>
          <rPr>
            <sz val="9"/>
            <color indexed="81"/>
            <rFont val="Tahoma"/>
            <family val="2"/>
          </rPr>
          <t xml:space="preserve">Assumed to be subject to the same kind of uncertainties as the GWP estimate
</t>
        </r>
      </text>
    </comment>
    <comment ref="G9" authorId="0" shapeId="0" xr:uid="{C610FEF3-008D-4499-9F97-430AAE949C4B}">
      <text>
        <r>
          <rPr>
            <sz val="9"/>
            <color indexed="81"/>
            <rFont val="Tahoma"/>
            <family val="2"/>
          </rPr>
          <t xml:space="preserve">See note on CFC-11
</t>
        </r>
      </text>
    </comment>
    <comment ref="I9" authorId="0" shapeId="0" xr:uid="{DD3D60E6-8E9F-49F3-8DF9-715722D1024A}">
      <text>
        <r>
          <rPr>
            <sz val="9"/>
            <color indexed="81"/>
            <rFont val="Tahoma"/>
            <family val="2"/>
          </rPr>
          <t xml:space="preserve">See note on CFC-11
</t>
        </r>
      </text>
    </comment>
    <comment ref="J9" authorId="0" shapeId="0" xr:uid="{C13B9CDC-C865-485B-857F-8389827B61DC}">
      <text>
        <r>
          <rPr>
            <sz val="9"/>
            <color indexed="81"/>
            <rFont val="Tahoma"/>
            <family val="2"/>
          </rPr>
          <t xml:space="preserve">See notes on CFC11
</t>
        </r>
      </text>
    </comment>
    <comment ref="A10" authorId="0" shapeId="0" xr:uid="{12CD44FC-3B34-4D15-BFE5-0FAC8886EFA4}">
      <text>
        <r>
          <rPr>
            <sz val="9"/>
            <color indexed="81"/>
            <rFont val="Tahoma"/>
            <family val="2"/>
          </rPr>
          <t xml:space="preserve">CClF2CClF2
</t>
        </r>
      </text>
    </comment>
    <comment ref="C10" authorId="0" shapeId="0" xr:uid="{9BF14EDA-E4F2-41D6-9390-BFEE03FCA0AF}">
      <text>
        <r>
          <rPr>
            <sz val="8"/>
            <color indexed="81"/>
            <rFont val="Tahoma"/>
            <family val="2"/>
          </rPr>
          <t xml:space="preserve">(IPCC AR6 WGI Table 7.SM.7)
</t>
        </r>
      </text>
    </comment>
    <comment ref="D10" authorId="0" shapeId="0" xr:uid="{FB2F5E8A-69C6-4C15-A7FE-DB53A8C1CD7E}">
      <text>
        <r>
          <rPr>
            <sz val="9"/>
            <color indexed="81"/>
            <rFont val="Tahoma"/>
            <family val="2"/>
          </rPr>
          <t>Assumed similar to CFC-11, but no special estimation has been found</t>
        </r>
      </text>
    </comment>
    <comment ref="E10" authorId="0" shapeId="0" xr:uid="{00000000-0006-0000-0900-000024000000}">
      <text>
        <r>
          <rPr>
            <sz val="9"/>
            <color indexed="81"/>
            <rFont val="Tahoma"/>
            <family val="2"/>
          </rPr>
          <t>WMO 2011</t>
        </r>
      </text>
    </comment>
    <comment ref="F10" authorId="0" shapeId="0" xr:uid="{8AD25F76-20E9-48F8-8FF9-57856B1265F6}">
      <text>
        <r>
          <rPr>
            <sz val="9"/>
            <color indexed="81"/>
            <rFont val="Tahoma"/>
            <family val="2"/>
          </rPr>
          <t>ODP was 1 according to the Montreal protocol</t>
        </r>
      </text>
    </comment>
    <comment ref="G10" authorId="0" shapeId="0" xr:uid="{00000000-0006-0000-0900-000025000000}">
      <text>
        <r>
          <rPr>
            <sz val="9"/>
            <color indexed="81"/>
            <rFont val="Tahoma"/>
            <family val="2"/>
          </rPr>
          <t xml:space="preserve">See note on CFC-11
</t>
        </r>
      </text>
    </comment>
    <comment ref="I10" authorId="0" shapeId="0" xr:uid="{00000000-0006-0000-0900-000026000000}">
      <text>
        <r>
          <rPr>
            <sz val="9"/>
            <color indexed="81"/>
            <rFont val="Tahoma"/>
            <family val="2"/>
          </rPr>
          <t xml:space="preserve">See notes on CFC11
</t>
        </r>
      </text>
    </comment>
    <comment ref="J10" authorId="0" shapeId="0" xr:uid="{00000000-0006-0000-0900-000027000000}">
      <text>
        <r>
          <rPr>
            <sz val="9"/>
            <color indexed="81"/>
            <rFont val="Tahoma"/>
            <family val="2"/>
          </rPr>
          <t xml:space="preserve">See notes on CFC11
</t>
        </r>
      </text>
    </comment>
    <comment ref="A11" authorId="0" shapeId="0" xr:uid="{2D58C5D3-999D-4C0D-8537-47B8008FAE3B}">
      <text>
        <r>
          <rPr>
            <sz val="9"/>
            <color indexed="81"/>
            <rFont val="Tahoma"/>
            <family val="2"/>
          </rPr>
          <t xml:space="preserve">CCl2FCF3
</t>
        </r>
      </text>
    </comment>
    <comment ref="C11" authorId="0" shapeId="0" xr:uid="{BB61E3A5-E407-4A4A-B094-817C4550C0B0}">
      <text>
        <r>
          <rPr>
            <sz val="8"/>
            <color indexed="81"/>
            <rFont val="Tahoma"/>
            <family val="2"/>
          </rPr>
          <t xml:space="preserve">(IPCC AR6 WGI Table 7.SM.7)
</t>
        </r>
      </text>
    </comment>
    <comment ref="D11" authorId="0" shapeId="0" xr:uid="{AD007B67-1A16-4B66-8631-545E12B622A7}">
      <text>
        <r>
          <rPr>
            <sz val="9"/>
            <color indexed="81"/>
            <rFont val="Tahoma"/>
            <family val="2"/>
          </rPr>
          <t>Assumed similar to CFC-11, but no special estimation has been found</t>
        </r>
      </text>
    </comment>
    <comment ref="E11" authorId="0" shapeId="0" xr:uid="{BBAAD345-B233-450B-A212-05D398255641}">
      <text>
        <r>
          <rPr>
            <sz val="9"/>
            <color indexed="81"/>
            <rFont val="Tahoma"/>
            <family val="2"/>
          </rPr>
          <t xml:space="preserve">ODP3, WMO 2006
</t>
        </r>
      </text>
    </comment>
    <comment ref="F11" authorId="0" shapeId="0" xr:uid="{9D374D6F-8200-49A7-9F3F-7FFF9767C802}">
      <text>
        <r>
          <rPr>
            <sz val="9"/>
            <color indexed="81"/>
            <rFont val="Tahoma"/>
            <family val="2"/>
          </rPr>
          <t xml:space="preserve">Assumed to be subject to the same kind of uncertainties as the GWP estimate
</t>
        </r>
      </text>
    </comment>
    <comment ref="G11" authorId="0" shapeId="0" xr:uid="{2004558A-0B3B-44B0-96E3-E221C7DEE9E6}">
      <text>
        <r>
          <rPr>
            <sz val="9"/>
            <color indexed="81"/>
            <rFont val="Tahoma"/>
            <family val="2"/>
          </rPr>
          <t xml:space="preserve">See note on CFC-11
</t>
        </r>
      </text>
    </comment>
    <comment ref="I11" authorId="0" shapeId="0" xr:uid="{F1365C98-EEB3-4012-8EA2-5B0C52CFAC02}">
      <text>
        <r>
          <rPr>
            <sz val="9"/>
            <color indexed="81"/>
            <rFont val="Tahoma"/>
            <family val="2"/>
          </rPr>
          <t xml:space="preserve">See note on CFC-11
</t>
        </r>
      </text>
    </comment>
    <comment ref="J11" authorId="0" shapeId="0" xr:uid="{7C89BCB1-8819-4652-BCAD-CF228A8088F9}">
      <text>
        <r>
          <rPr>
            <sz val="9"/>
            <color indexed="81"/>
            <rFont val="Tahoma"/>
            <family val="2"/>
          </rPr>
          <t xml:space="preserve">See notes on CFC11
</t>
        </r>
      </text>
    </comment>
    <comment ref="A12" authorId="0" shapeId="0" xr:uid="{0E63F65D-DE8A-47E6-B014-F506D5BCCD63}">
      <text>
        <r>
          <rPr>
            <sz val="9"/>
            <color indexed="81"/>
            <rFont val="Tahoma"/>
            <family val="2"/>
          </rPr>
          <t xml:space="preserve">CClF2CF3
</t>
        </r>
      </text>
    </comment>
    <comment ref="C12" authorId="0" shapeId="0" xr:uid="{BAF27FC5-2B32-46A8-8DBA-AAB31CE18C9F}">
      <text>
        <r>
          <rPr>
            <sz val="8"/>
            <color indexed="81"/>
            <rFont val="Tahoma"/>
            <family val="2"/>
          </rPr>
          <t xml:space="preserve">(IPCC AR6 WGI Table 7.SM.7)
</t>
        </r>
      </text>
    </comment>
    <comment ref="D12" authorId="0" shapeId="0" xr:uid="{C56AACD4-4524-4AA9-BA11-046909564ADD}">
      <text>
        <r>
          <rPr>
            <sz val="9"/>
            <color indexed="81"/>
            <rFont val="Tahoma"/>
            <family val="2"/>
          </rPr>
          <t>Assumed similar to CFC-11, but no special estimation has been found</t>
        </r>
      </text>
    </comment>
    <comment ref="E12" authorId="0" shapeId="0" xr:uid="{00000000-0006-0000-0900-000029000000}">
      <text>
        <r>
          <rPr>
            <sz val="9"/>
            <color indexed="81"/>
            <rFont val="Tahoma"/>
            <family val="2"/>
          </rPr>
          <t xml:space="preserve">ODP3, WMO 2006
</t>
        </r>
      </text>
    </comment>
    <comment ref="F12" authorId="0" shapeId="0" xr:uid="{5FC22611-B11D-46D7-A111-B2079B95E4EF}">
      <text>
        <r>
          <rPr>
            <sz val="9"/>
            <color indexed="81"/>
            <rFont val="Tahoma"/>
            <family val="2"/>
          </rPr>
          <t xml:space="preserve">Assumed to be subject to the same kind of uncertainties as the GWP estimate
</t>
        </r>
      </text>
    </comment>
    <comment ref="G12" authorId="0" shapeId="0" xr:uid="{00000000-0006-0000-0900-00002A000000}">
      <text>
        <r>
          <rPr>
            <sz val="9"/>
            <color indexed="81"/>
            <rFont val="Tahoma"/>
            <family val="2"/>
          </rPr>
          <t xml:space="preserve">See note on CFC-11
</t>
        </r>
      </text>
    </comment>
    <comment ref="I12" authorId="0" shapeId="0" xr:uid="{00000000-0006-0000-0900-00002B000000}">
      <text>
        <r>
          <rPr>
            <sz val="9"/>
            <color indexed="81"/>
            <rFont val="Tahoma"/>
            <family val="2"/>
          </rPr>
          <t xml:space="preserve">See notes on CFC11
</t>
        </r>
      </text>
    </comment>
    <comment ref="J12" authorId="0" shapeId="0" xr:uid="{00000000-0006-0000-0900-00002C000000}">
      <text>
        <r>
          <rPr>
            <sz val="9"/>
            <color indexed="81"/>
            <rFont val="Tahoma"/>
            <family val="2"/>
          </rPr>
          <t xml:space="preserve">See notes on CFC11
</t>
        </r>
      </text>
    </comment>
    <comment ref="A13" authorId="0" shapeId="0" xr:uid="{84DAEB8D-046F-410E-827E-D57CD4C3B00A}">
      <text>
        <r>
          <rPr>
            <sz val="9"/>
            <color indexed="81"/>
            <rFont val="Tahoma"/>
            <family val="2"/>
          </rPr>
          <t xml:space="preserve">trans cyc
(-CClFCF2CF2CClF-) 
</t>
        </r>
      </text>
    </comment>
    <comment ref="C13" authorId="0" shapeId="0" xr:uid="{222E7092-E0B4-49B8-B8DB-7DC03427DF69}">
      <text>
        <r>
          <rPr>
            <sz val="8"/>
            <color indexed="81"/>
            <rFont val="Tahoma"/>
            <family val="2"/>
          </rPr>
          <t xml:space="preserve">(IPCC AR6 WGI Table 7.SM.7)
</t>
        </r>
      </text>
    </comment>
    <comment ref="D13" authorId="0" shapeId="0" xr:uid="{55A697B7-2BD6-41D1-B401-17A611ADEDE8}">
      <text>
        <r>
          <rPr>
            <sz val="9"/>
            <color indexed="81"/>
            <rFont val="Tahoma"/>
            <family val="2"/>
          </rPr>
          <t>Assumed similar to CFC-11, but no special estimation has been found</t>
        </r>
      </text>
    </comment>
    <comment ref="E13" authorId="0" shapeId="0" xr:uid="{00000000-0006-0000-0900-00002E000000}">
      <text>
        <r>
          <rPr>
            <sz val="9"/>
            <color indexed="81"/>
            <rFont val="Tahoma"/>
            <family val="2"/>
          </rPr>
          <t xml:space="preserve">ODP2 Class I Ozone-depleting Substances, USEPA 2014
</t>
        </r>
      </text>
    </comment>
    <comment ref="F13" authorId="0" shapeId="0" xr:uid="{4965CDB7-8088-4EE1-A829-DFD0FA7FB2A6}">
      <text>
        <r>
          <rPr>
            <sz val="9"/>
            <color indexed="81"/>
            <rFont val="Tahoma"/>
            <family val="2"/>
          </rPr>
          <t xml:space="preserve">Assumed to be subject to the same kind of uncertainties as the GWP estimate
</t>
        </r>
      </text>
    </comment>
    <comment ref="G13" authorId="0" shapeId="0" xr:uid="{00000000-0006-0000-0900-00002F000000}">
      <text>
        <r>
          <rPr>
            <sz val="9"/>
            <color indexed="81"/>
            <rFont val="Tahoma"/>
            <family val="2"/>
          </rPr>
          <t xml:space="preserve">See note on CFC-11
</t>
        </r>
      </text>
    </comment>
    <comment ref="I13" authorId="0" shapeId="0" xr:uid="{00000000-0006-0000-0900-000030000000}">
      <text>
        <r>
          <rPr>
            <sz val="9"/>
            <color indexed="81"/>
            <rFont val="Tahoma"/>
            <family val="2"/>
          </rPr>
          <t xml:space="preserve">See notes on CFC11
</t>
        </r>
      </text>
    </comment>
    <comment ref="J13" authorId="0" shapeId="0" xr:uid="{00000000-0006-0000-0900-000031000000}">
      <text>
        <r>
          <rPr>
            <sz val="9"/>
            <color indexed="81"/>
            <rFont val="Tahoma"/>
            <family val="2"/>
          </rPr>
          <t xml:space="preserve">See notes on CFC11
</t>
        </r>
      </text>
    </comment>
    <comment ref="A14" authorId="0" shapeId="0" xr:uid="{CC29448C-813D-4BB1-B94C-3F2694A9A8E7}">
      <text>
        <r>
          <rPr>
            <sz val="9"/>
            <color indexed="81"/>
            <rFont val="Tahoma"/>
            <family val="2"/>
          </rPr>
          <t xml:space="preserve">cis cyc
(-CClFCF2CF2CClF-) 
</t>
        </r>
      </text>
    </comment>
    <comment ref="C14" authorId="0" shapeId="0" xr:uid="{8F3B482D-30C8-48A0-AC96-D85B4EA37025}">
      <text>
        <r>
          <rPr>
            <sz val="8"/>
            <color indexed="81"/>
            <rFont val="Tahoma"/>
            <family val="2"/>
          </rPr>
          <t xml:space="preserve">(IPCC AR6 WGI Table 7.SM.7)
</t>
        </r>
      </text>
    </comment>
    <comment ref="D14" authorId="0" shapeId="0" xr:uid="{C7FB1BFA-72A3-44F2-8A35-391E5770BDE6}">
      <text>
        <r>
          <rPr>
            <sz val="9"/>
            <color indexed="81"/>
            <rFont val="Tahoma"/>
            <family val="2"/>
          </rPr>
          <t>Assumed similar to CFC-11, but no special estimation has been found</t>
        </r>
      </text>
    </comment>
    <comment ref="E14" authorId="0" shapeId="0" xr:uid="{00000000-0006-0000-0900-000033000000}">
      <text>
        <r>
          <rPr>
            <sz val="9"/>
            <color indexed="81"/>
            <rFont val="Tahoma"/>
            <family val="2"/>
          </rPr>
          <t xml:space="preserve">ODP2 Class I Ozone-depleting Substances, USEPA 2014
</t>
        </r>
      </text>
    </comment>
    <comment ref="F14" authorId="0" shapeId="0" xr:uid="{C8C01527-7244-4175-839E-26FBDF9DAB4D}">
      <text>
        <r>
          <rPr>
            <sz val="9"/>
            <color indexed="81"/>
            <rFont val="Tahoma"/>
            <family val="2"/>
          </rPr>
          <t xml:space="preserve">Assumed to be subject to the same kind of uncertainties as the GWP estimate
</t>
        </r>
      </text>
    </comment>
    <comment ref="G14" authorId="0" shapeId="0" xr:uid="{00000000-0006-0000-0900-000034000000}">
      <text>
        <r>
          <rPr>
            <sz val="9"/>
            <color indexed="81"/>
            <rFont val="Tahoma"/>
            <family val="2"/>
          </rPr>
          <t xml:space="preserve">See note on CFC-11
</t>
        </r>
      </text>
    </comment>
    <comment ref="I14" authorId="0" shapeId="0" xr:uid="{00000000-0006-0000-0900-000035000000}">
      <text>
        <r>
          <rPr>
            <sz val="9"/>
            <color indexed="81"/>
            <rFont val="Tahoma"/>
            <family val="2"/>
          </rPr>
          <t xml:space="preserve">See notes on CFC11
</t>
        </r>
      </text>
    </comment>
    <comment ref="J14" authorId="0" shapeId="0" xr:uid="{00000000-0006-0000-0900-000036000000}">
      <text>
        <r>
          <rPr>
            <sz val="9"/>
            <color indexed="81"/>
            <rFont val="Tahoma"/>
            <family val="2"/>
          </rPr>
          <t xml:space="preserve">See notes on CFC11
</t>
        </r>
      </text>
    </comment>
    <comment ref="A15" authorId="0" shapeId="0" xr:uid="{FB004A27-E8F6-401A-9ED4-EBB90DF0E7FF}">
      <text>
        <r>
          <rPr>
            <sz val="9"/>
            <color indexed="81"/>
            <rFont val="Tahoma"/>
            <family val="2"/>
          </rPr>
          <t xml:space="preserve">CClF=CClF
</t>
        </r>
      </text>
    </comment>
    <comment ref="C15" authorId="0" shapeId="0" xr:uid="{44F7085A-76EC-452D-A2D4-5A69FA0DA66D}">
      <text>
        <r>
          <rPr>
            <sz val="8"/>
            <color indexed="81"/>
            <rFont val="Tahoma"/>
            <family val="2"/>
          </rPr>
          <t xml:space="preserve">(IPCC AR6 WGI Table 7.SM.7)
</t>
        </r>
      </text>
    </comment>
    <comment ref="D15" authorId="0" shapeId="0" xr:uid="{2C041C3B-13C6-4F84-9522-6103CCD4149C}">
      <text>
        <r>
          <rPr>
            <sz val="9"/>
            <color indexed="81"/>
            <rFont val="Tahoma"/>
            <family val="2"/>
          </rPr>
          <t>Assumed similar to CFC-11, but no special estimation has been found</t>
        </r>
      </text>
    </comment>
    <comment ref="E15" authorId="0" shapeId="0" xr:uid="{00000000-0006-0000-0900-000038000000}">
      <text>
        <r>
          <rPr>
            <sz val="9"/>
            <color indexed="81"/>
            <rFont val="Tahoma"/>
            <family val="2"/>
          </rPr>
          <t xml:space="preserve">ODP2 Class I Ozone-depleting Substances, USEPA 2014
</t>
        </r>
      </text>
    </comment>
    <comment ref="F15" authorId="0" shapeId="0" xr:uid="{B205456B-1DF2-4BF2-AEE7-62A3F67CFFEC}">
      <text>
        <r>
          <rPr>
            <sz val="9"/>
            <color indexed="81"/>
            <rFont val="Tahoma"/>
            <family val="2"/>
          </rPr>
          <t xml:space="preserve">Assumed to be subject to the same kind of uncertainties as the GWP estimate
</t>
        </r>
      </text>
    </comment>
    <comment ref="G15" authorId="0" shapeId="0" xr:uid="{00000000-0006-0000-0900-000039000000}">
      <text>
        <r>
          <rPr>
            <sz val="9"/>
            <color indexed="81"/>
            <rFont val="Tahoma"/>
            <family val="2"/>
          </rPr>
          <t xml:space="preserve">See note on CFC-11
</t>
        </r>
      </text>
    </comment>
    <comment ref="I15" authorId="0" shapeId="0" xr:uid="{00000000-0006-0000-0900-00003A000000}">
      <text>
        <r>
          <rPr>
            <sz val="9"/>
            <color indexed="81"/>
            <rFont val="Tahoma"/>
            <family val="2"/>
          </rPr>
          <t xml:space="preserve">See notes on CFC11
</t>
        </r>
      </text>
    </comment>
    <comment ref="J15" authorId="0" shapeId="0" xr:uid="{00000000-0006-0000-0900-00003B000000}">
      <text>
        <r>
          <rPr>
            <sz val="9"/>
            <color indexed="81"/>
            <rFont val="Tahoma"/>
            <family val="2"/>
          </rPr>
          <t xml:space="preserve">See notes on CFC11
</t>
        </r>
      </text>
    </comment>
    <comment ref="A16" authorId="0" shapeId="0" xr:uid="{3248BBFB-ACD3-4AFB-9064-6666872CB59F}">
      <text>
        <r>
          <rPr>
            <sz val="9"/>
            <color indexed="81"/>
            <rFont val="Tahoma"/>
            <family val="2"/>
          </rPr>
          <t xml:space="preserve">CCl2=CF2
</t>
        </r>
      </text>
    </comment>
    <comment ref="C16" authorId="0" shapeId="0" xr:uid="{D0A1ADE4-C64A-452C-A082-51AA78F85EAC}">
      <text>
        <r>
          <rPr>
            <sz val="8"/>
            <color indexed="81"/>
            <rFont val="Tahoma"/>
            <family val="2"/>
          </rPr>
          <t xml:space="preserve">(IPCC AR6 WGI Table 7.SM.7)
</t>
        </r>
      </text>
    </comment>
    <comment ref="D16" authorId="0" shapeId="0" xr:uid="{7DA424E0-9B85-4F1F-BF0D-638A352BEC14}">
      <text>
        <r>
          <rPr>
            <sz val="9"/>
            <color indexed="81"/>
            <rFont val="Tahoma"/>
            <family val="2"/>
          </rPr>
          <t>Assumed similar to CFC-11, but no special estimation has been found</t>
        </r>
      </text>
    </comment>
    <comment ref="E16" authorId="0" shapeId="0" xr:uid="{00000000-0006-0000-0900-00003D000000}">
      <text>
        <r>
          <rPr>
            <sz val="9"/>
            <color indexed="81"/>
            <rFont val="Tahoma"/>
            <family val="2"/>
          </rPr>
          <t xml:space="preserve">ODP2 Class I Ozone-depleting Substances, USEPA 2014
</t>
        </r>
      </text>
    </comment>
    <comment ref="F16" authorId="0" shapeId="0" xr:uid="{14356579-F5BF-4875-956A-600FCAAA0704}">
      <text>
        <r>
          <rPr>
            <sz val="9"/>
            <color indexed="81"/>
            <rFont val="Tahoma"/>
            <family val="2"/>
          </rPr>
          <t xml:space="preserve">Assumed to be subject to the same kind of uncertainties as the GWP estimate
</t>
        </r>
      </text>
    </comment>
    <comment ref="G16" authorId="0" shapeId="0" xr:uid="{00000000-0006-0000-0900-00003E000000}">
      <text>
        <r>
          <rPr>
            <sz val="9"/>
            <color indexed="81"/>
            <rFont val="Tahoma"/>
            <family val="2"/>
          </rPr>
          <t xml:space="preserve">See note on CFC-11
</t>
        </r>
      </text>
    </comment>
    <comment ref="I16" authorId="0" shapeId="0" xr:uid="{00000000-0006-0000-0900-00003F000000}">
      <text>
        <r>
          <rPr>
            <sz val="9"/>
            <color indexed="81"/>
            <rFont val="Tahoma"/>
            <family val="2"/>
          </rPr>
          <t xml:space="preserve">See notes on CFC11
</t>
        </r>
      </text>
    </comment>
    <comment ref="J16" authorId="0" shapeId="0" xr:uid="{00000000-0006-0000-0900-000040000000}">
      <text>
        <r>
          <rPr>
            <sz val="9"/>
            <color indexed="81"/>
            <rFont val="Tahoma"/>
            <family val="2"/>
          </rPr>
          <t xml:space="preserve">See notes on CFC11
</t>
        </r>
      </text>
    </comment>
    <comment ref="A18" authorId="0" shapeId="0" xr:uid="{D2ED63B1-4173-4825-8E36-109DE9F61117}">
      <text>
        <r>
          <rPr>
            <sz val="9"/>
            <color indexed="81"/>
            <rFont val="Tahoma"/>
            <family val="2"/>
          </rPr>
          <t xml:space="preserve">CHF3
</t>
        </r>
      </text>
    </comment>
    <comment ref="C18" authorId="0" shapeId="0" xr:uid="{4EFC7FC5-4F90-4AB1-86DF-0EA966C94C96}">
      <text>
        <r>
          <rPr>
            <sz val="9"/>
            <color indexed="81"/>
            <rFont val="Tahoma"/>
            <family val="2"/>
          </rPr>
          <t xml:space="preserve">IPCC, AR6, Table 7, SM7
</t>
        </r>
      </text>
    </comment>
    <comment ref="D18" authorId="0" shapeId="0" xr:uid="{B4501833-93D2-47C8-A7AB-BB0B8C197AA7}">
      <text>
        <r>
          <rPr>
            <sz val="9"/>
            <color indexed="81"/>
            <rFont val="Tahoma"/>
            <family val="2"/>
          </rPr>
          <t>Assumed similar to CFC-11, but no special estimation has been found</t>
        </r>
      </text>
    </comment>
    <comment ref="E18" authorId="0" shapeId="0" xr:uid="{CD3E6279-46E4-4727-BDF0-C5685E5B0F4D}">
      <text>
        <r>
          <rPr>
            <sz val="9"/>
            <color indexed="81"/>
            <rFont val="Tahoma"/>
            <family val="2"/>
          </rPr>
          <t xml:space="preserve">F is not as effective free radical as Cl and Br, why the ODP of HFC:s is estimated to be close to 0
</t>
        </r>
      </text>
    </comment>
    <comment ref="F18" authorId="0" shapeId="0" xr:uid="{95BE9754-5C54-4F7C-9D58-306E1119C7E1}">
      <text>
        <r>
          <rPr>
            <sz val="9"/>
            <color indexed="81"/>
            <rFont val="Tahoma"/>
            <family val="2"/>
          </rPr>
          <t xml:space="preserve">ODP=0 is assumed to be an OK assumption
</t>
        </r>
      </text>
    </comment>
    <comment ref="G18" authorId="0" shapeId="0" xr:uid="{F939C2DF-1BEF-45D8-BE6C-F5D28CBE3A83}">
      <text>
        <r>
          <rPr>
            <sz val="9"/>
            <color indexed="81"/>
            <rFont val="Tahoma"/>
            <family val="2"/>
          </rPr>
          <t xml:space="preserve">See note on CFC-11
</t>
        </r>
      </text>
    </comment>
    <comment ref="I18" authorId="0" shapeId="0" xr:uid="{AC65A950-0365-4F73-BA2A-B0A1B70E5C57}">
      <text>
        <r>
          <rPr>
            <sz val="9"/>
            <color indexed="81"/>
            <rFont val="Tahoma"/>
            <family val="2"/>
          </rPr>
          <t xml:space="preserve">See note on CFC-11
</t>
        </r>
      </text>
    </comment>
    <comment ref="J18" authorId="0" shapeId="0" xr:uid="{FD61D921-B319-4FFD-9BBE-2D9E43695222}">
      <text>
        <r>
          <rPr>
            <sz val="9"/>
            <color indexed="81"/>
            <rFont val="Tahoma"/>
            <family val="2"/>
          </rPr>
          <t xml:space="preserve">See note on CFC-11
</t>
        </r>
      </text>
    </comment>
    <comment ref="A19" authorId="0" shapeId="0" xr:uid="{D36855BF-32F5-400B-9532-7C9B23BF39BA}">
      <text>
        <r>
          <rPr>
            <sz val="9"/>
            <color indexed="81"/>
            <rFont val="Tahoma"/>
            <family val="2"/>
          </rPr>
          <t xml:space="preserve">CH2F2
</t>
        </r>
      </text>
    </comment>
    <comment ref="C19" authorId="0" shapeId="0" xr:uid="{6391D838-2EC5-48EB-AE99-5D37E77BE219}">
      <text>
        <r>
          <rPr>
            <sz val="9"/>
            <color indexed="81"/>
            <rFont val="Tahoma"/>
            <family val="2"/>
          </rPr>
          <t xml:space="preserve">IPCC, AR6, Table 7, SM7
</t>
        </r>
      </text>
    </comment>
    <comment ref="D19" authorId="0" shapeId="0" xr:uid="{18B97610-C091-4D68-95CD-C475EE6EA19E}">
      <text>
        <r>
          <rPr>
            <sz val="9"/>
            <color indexed="81"/>
            <rFont val="Tahoma"/>
            <family val="2"/>
          </rPr>
          <t>Assumed similar to CFC-11, but no special estimation has been found</t>
        </r>
      </text>
    </comment>
    <comment ref="E19" authorId="0" shapeId="0" xr:uid="{1AACE30F-D9EA-4F7B-9BB9-7509A38A0F97}">
      <text>
        <r>
          <rPr>
            <sz val="9"/>
            <color indexed="81"/>
            <rFont val="Tahoma"/>
            <family val="2"/>
          </rPr>
          <t xml:space="preserve">F is not as effective free radical as Cl and Br, why the ODP of HFC:s is estimated to be close to 0
</t>
        </r>
      </text>
    </comment>
    <comment ref="F19" authorId="0" shapeId="0" xr:uid="{95D2477D-0EDB-411F-8BA6-240B76BC5910}">
      <text>
        <r>
          <rPr>
            <sz val="9"/>
            <color indexed="81"/>
            <rFont val="Tahoma"/>
            <family val="2"/>
          </rPr>
          <t xml:space="preserve">ODP=0 is assumed to be an OK assumption
</t>
        </r>
      </text>
    </comment>
    <comment ref="G19" authorId="0" shapeId="0" xr:uid="{85DDFE1B-06C1-46A8-97FE-AF3DC5809CF8}">
      <text>
        <r>
          <rPr>
            <sz val="9"/>
            <color indexed="81"/>
            <rFont val="Tahoma"/>
            <family val="2"/>
          </rPr>
          <t xml:space="preserve">See note on CFC-11
</t>
        </r>
      </text>
    </comment>
    <comment ref="I19" authorId="0" shapeId="0" xr:uid="{30EA2EA9-BE48-4649-ADB6-D8A0D5037D1D}">
      <text>
        <r>
          <rPr>
            <sz val="9"/>
            <color indexed="81"/>
            <rFont val="Tahoma"/>
            <family val="2"/>
          </rPr>
          <t xml:space="preserve">See note on CFC-11
</t>
        </r>
      </text>
    </comment>
    <comment ref="J19" authorId="0" shapeId="0" xr:uid="{964745E6-92A1-440E-B7DE-F22732ED399F}">
      <text>
        <r>
          <rPr>
            <sz val="9"/>
            <color indexed="81"/>
            <rFont val="Tahoma"/>
            <family val="2"/>
          </rPr>
          <t xml:space="preserve">See note on CFC-11
</t>
        </r>
      </text>
    </comment>
    <comment ref="A20" authorId="0" shapeId="0" xr:uid="{BF8BC70E-5B13-4AE7-8824-DF4DEB623031}">
      <text>
        <r>
          <rPr>
            <sz val="9"/>
            <color indexed="81"/>
            <rFont val="Tahoma"/>
            <family val="2"/>
          </rPr>
          <t xml:space="preserve">CH3F
</t>
        </r>
      </text>
    </comment>
    <comment ref="C20" authorId="0" shapeId="0" xr:uid="{D4304C2E-7D70-4085-B168-011AAD82303A}">
      <text>
        <r>
          <rPr>
            <sz val="9"/>
            <color indexed="81"/>
            <rFont val="Tahoma"/>
            <family val="2"/>
          </rPr>
          <t xml:space="preserve">IPCC, AR6, Table 7, SM7
</t>
        </r>
      </text>
    </comment>
    <comment ref="D20" authorId="0" shapeId="0" xr:uid="{A231130A-9C7A-455B-8C09-FA0EAFF09D50}">
      <text>
        <r>
          <rPr>
            <sz val="9"/>
            <color indexed="81"/>
            <rFont val="Tahoma"/>
            <family val="2"/>
          </rPr>
          <t>Assumed similar to CFC-11, but no special estimation has been found</t>
        </r>
      </text>
    </comment>
    <comment ref="E20" authorId="0" shapeId="0" xr:uid="{EB8D6650-DD2D-4792-95D3-F13998EFE5A7}">
      <text>
        <r>
          <rPr>
            <sz val="9"/>
            <color indexed="81"/>
            <rFont val="Tahoma"/>
            <family val="2"/>
          </rPr>
          <t xml:space="preserve">F is not as effective free radical as Cl and Br, why the ODP of HFC:s is estimated to be close to 0
</t>
        </r>
      </text>
    </comment>
    <comment ref="F20" authorId="0" shapeId="0" xr:uid="{925F37A0-9320-4CA1-B651-BAEB523CFE22}">
      <text>
        <r>
          <rPr>
            <sz val="9"/>
            <color indexed="81"/>
            <rFont val="Tahoma"/>
            <family val="2"/>
          </rPr>
          <t xml:space="preserve">ODP=0 is assumed to be an OK assumption
</t>
        </r>
      </text>
    </comment>
    <comment ref="G20" authorId="0" shapeId="0" xr:uid="{0D645B51-B469-4AFF-9A50-8D55C3063D69}">
      <text>
        <r>
          <rPr>
            <sz val="9"/>
            <color indexed="81"/>
            <rFont val="Tahoma"/>
            <family val="2"/>
          </rPr>
          <t xml:space="preserve">See note on CFC-11
</t>
        </r>
      </text>
    </comment>
    <comment ref="I20" authorId="0" shapeId="0" xr:uid="{9383191E-51EB-41D9-A9F7-23F9573095F0}">
      <text>
        <r>
          <rPr>
            <sz val="9"/>
            <color indexed="81"/>
            <rFont val="Tahoma"/>
            <family val="2"/>
          </rPr>
          <t xml:space="preserve">See note on CFC-11
</t>
        </r>
      </text>
    </comment>
    <comment ref="J20" authorId="0" shapeId="0" xr:uid="{72299D07-B434-49FE-BC43-C8AF852F2F15}">
      <text>
        <r>
          <rPr>
            <sz val="9"/>
            <color indexed="81"/>
            <rFont val="Tahoma"/>
            <family val="2"/>
          </rPr>
          <t xml:space="preserve">See note on CFC-11
</t>
        </r>
      </text>
    </comment>
    <comment ref="A21" authorId="0" shapeId="0" xr:uid="{254A2333-5383-4743-81DE-BDE0F6619F81}">
      <text>
        <r>
          <rPr>
            <sz val="9"/>
            <color indexed="81"/>
            <rFont val="Tahoma"/>
            <family val="2"/>
          </rPr>
          <t xml:space="preserve">CHF2CF3
</t>
        </r>
      </text>
    </comment>
    <comment ref="C21" authorId="0" shapeId="0" xr:uid="{28FB9585-5E25-49A7-BB65-6880EB8F2FDD}">
      <text>
        <r>
          <rPr>
            <sz val="9"/>
            <color indexed="81"/>
            <rFont val="Tahoma"/>
            <family val="2"/>
          </rPr>
          <t xml:space="preserve">IPCC, AR6, Table 7, SM7
</t>
        </r>
      </text>
    </comment>
    <comment ref="D21" authorId="0" shapeId="0" xr:uid="{5EAE2131-7BD6-4FA8-A8F7-A837E1DB2E51}">
      <text>
        <r>
          <rPr>
            <sz val="9"/>
            <color indexed="81"/>
            <rFont val="Tahoma"/>
            <family val="2"/>
          </rPr>
          <t>Assumed similar to CFC-11, but no special estimation has been found</t>
        </r>
      </text>
    </comment>
    <comment ref="E21" authorId="0" shapeId="0" xr:uid="{9951B28E-6892-4B96-A628-2451512D1EDA}">
      <text>
        <r>
          <rPr>
            <sz val="9"/>
            <color indexed="81"/>
            <rFont val="Tahoma"/>
            <family val="2"/>
          </rPr>
          <t xml:space="preserve">F is not as effective free radical as Cl and Br, why the ODP of HFC:s is estimated to be close to 0
</t>
        </r>
      </text>
    </comment>
    <comment ref="F21" authorId="0" shapeId="0" xr:uid="{5C6305B6-B671-4266-A33F-07DD5E8DB0C4}">
      <text>
        <r>
          <rPr>
            <sz val="9"/>
            <color indexed="81"/>
            <rFont val="Tahoma"/>
            <family val="2"/>
          </rPr>
          <t xml:space="preserve">ODP=0 is assumed to be an OK assumption
</t>
        </r>
      </text>
    </comment>
    <comment ref="G21" authorId="0" shapeId="0" xr:uid="{A70D9955-DAB6-4013-97E5-C29E1AF13A50}">
      <text>
        <r>
          <rPr>
            <sz val="9"/>
            <color indexed="81"/>
            <rFont val="Tahoma"/>
            <family val="2"/>
          </rPr>
          <t xml:space="preserve">See note on CFC-11
</t>
        </r>
      </text>
    </comment>
    <comment ref="I21" authorId="0" shapeId="0" xr:uid="{E88BF29C-854C-4207-9268-FF68CC78A8D0}">
      <text>
        <r>
          <rPr>
            <sz val="9"/>
            <color indexed="81"/>
            <rFont val="Tahoma"/>
            <family val="2"/>
          </rPr>
          <t xml:space="preserve">See note on CFC-11
</t>
        </r>
      </text>
    </comment>
    <comment ref="J21" authorId="0" shapeId="0" xr:uid="{670D6F75-47DA-4B10-8F97-1F416FE8BFE5}">
      <text>
        <r>
          <rPr>
            <sz val="9"/>
            <color indexed="81"/>
            <rFont val="Tahoma"/>
            <family val="2"/>
          </rPr>
          <t xml:space="preserve">See note on CFC-11
</t>
        </r>
      </text>
    </comment>
    <comment ref="A22" authorId="0" shapeId="0" xr:uid="{ECDCDD8C-8BDA-4780-9B3A-E959F159B43D}">
      <text>
        <r>
          <rPr>
            <sz val="9"/>
            <color indexed="81"/>
            <rFont val="Tahoma"/>
            <family val="2"/>
          </rPr>
          <t xml:space="preserve">CHF2CHF2
</t>
        </r>
      </text>
    </comment>
    <comment ref="C22" authorId="0" shapeId="0" xr:uid="{DDC4C339-2143-4C4E-991C-EA68C4FF2416}">
      <text>
        <r>
          <rPr>
            <sz val="9"/>
            <color indexed="81"/>
            <rFont val="Tahoma"/>
            <family val="2"/>
          </rPr>
          <t xml:space="preserve">IPCC, AR6, Table 7, SM7
</t>
        </r>
      </text>
    </comment>
    <comment ref="D22" authorId="0" shapeId="0" xr:uid="{29E9DE3D-30B9-454A-BA16-E1B5EE3692BB}">
      <text>
        <r>
          <rPr>
            <sz val="9"/>
            <color indexed="81"/>
            <rFont val="Tahoma"/>
            <family val="2"/>
          </rPr>
          <t>Assumed similar to CFC-11, but no special estimation has been found</t>
        </r>
      </text>
    </comment>
    <comment ref="E22" authorId="0" shapeId="0" xr:uid="{CF3904F8-A2BA-44E0-BBFA-901BE9100B06}">
      <text>
        <r>
          <rPr>
            <sz val="9"/>
            <color indexed="81"/>
            <rFont val="Tahoma"/>
            <family val="2"/>
          </rPr>
          <t xml:space="preserve">F is not as effective free radical as Cl and Br, why the ODP of HFC:s is estimated to be close to 0
</t>
        </r>
      </text>
    </comment>
    <comment ref="F22" authorId="0" shapeId="0" xr:uid="{87B81582-AA30-4F86-8C67-1CF6CD5BB5AE}">
      <text>
        <r>
          <rPr>
            <sz val="9"/>
            <color indexed="81"/>
            <rFont val="Tahoma"/>
            <family val="2"/>
          </rPr>
          <t xml:space="preserve">ODP=0 is assumed to be an OK assumption
</t>
        </r>
      </text>
    </comment>
    <comment ref="G22" authorId="0" shapeId="0" xr:uid="{DC2FDC28-0D3F-45A3-AA8B-86B5CCB1740A}">
      <text>
        <r>
          <rPr>
            <sz val="9"/>
            <color indexed="81"/>
            <rFont val="Tahoma"/>
            <family val="2"/>
          </rPr>
          <t xml:space="preserve">See note on CFC-11
</t>
        </r>
      </text>
    </comment>
    <comment ref="I22" authorId="0" shapeId="0" xr:uid="{02D84732-4DEF-460A-89C8-74C8EE3E19E3}">
      <text>
        <r>
          <rPr>
            <sz val="9"/>
            <color indexed="81"/>
            <rFont val="Tahoma"/>
            <family val="2"/>
          </rPr>
          <t xml:space="preserve">See note on CFC-11
</t>
        </r>
      </text>
    </comment>
    <comment ref="J22" authorId="0" shapeId="0" xr:uid="{8CE8AC6B-1BF3-487D-A91B-6B562C8EFB81}">
      <text>
        <r>
          <rPr>
            <sz val="9"/>
            <color indexed="81"/>
            <rFont val="Tahoma"/>
            <family val="2"/>
          </rPr>
          <t xml:space="preserve">See note on CFC-11
</t>
        </r>
      </text>
    </comment>
    <comment ref="A23" authorId="0" shapeId="0" xr:uid="{D488AC8C-077E-432E-9ACC-4F8BF15D3AEE}">
      <text>
        <r>
          <rPr>
            <sz val="9"/>
            <color indexed="81"/>
            <rFont val="Tahoma"/>
            <family val="2"/>
          </rPr>
          <t xml:space="preserve">
</t>
        </r>
      </text>
    </comment>
    <comment ref="C23" authorId="0" shapeId="0" xr:uid="{845C9A43-840D-4275-8CCE-39B1650DEFA8}">
      <text>
        <r>
          <rPr>
            <sz val="9"/>
            <color indexed="81"/>
            <rFont val="Tahoma"/>
            <family val="2"/>
          </rPr>
          <t xml:space="preserve">IPCC, AR6, Table 7, SM7
</t>
        </r>
      </text>
    </comment>
    <comment ref="D23" authorId="0" shapeId="0" xr:uid="{94E7ABA9-3BE8-464A-83A6-5E0CACA0C8C7}">
      <text>
        <r>
          <rPr>
            <sz val="9"/>
            <color indexed="81"/>
            <rFont val="Tahoma"/>
            <family val="2"/>
          </rPr>
          <t>Assumed similar to CFC-11, but no special estimation has been found</t>
        </r>
      </text>
    </comment>
    <comment ref="E23" authorId="0" shapeId="0" xr:uid="{8EBE800A-16B9-4FC8-B115-3A2BE8091AD9}">
      <text>
        <r>
          <rPr>
            <sz val="9"/>
            <color indexed="81"/>
            <rFont val="Tahoma"/>
            <family val="2"/>
          </rPr>
          <t xml:space="preserve">F is not as effective free radical as Cl and Br, why the ODP of HFC:s is estimated to be close to 0
</t>
        </r>
      </text>
    </comment>
    <comment ref="F23" authorId="0" shapeId="0" xr:uid="{C1B7D9B2-436A-44E6-9984-2AF4D5531C21}">
      <text>
        <r>
          <rPr>
            <sz val="9"/>
            <color indexed="81"/>
            <rFont val="Tahoma"/>
            <family val="2"/>
          </rPr>
          <t xml:space="preserve">ODP=0 is assumed to be an OK assumption
</t>
        </r>
      </text>
    </comment>
    <comment ref="G23" authorId="0" shapeId="0" xr:uid="{EBD95CEE-F2D2-4753-A907-9F1C4ACE92C9}">
      <text>
        <r>
          <rPr>
            <sz val="9"/>
            <color indexed="81"/>
            <rFont val="Tahoma"/>
            <family val="2"/>
          </rPr>
          <t xml:space="preserve">See note on CFC-11
</t>
        </r>
      </text>
    </comment>
    <comment ref="I23" authorId="0" shapeId="0" xr:uid="{BECED417-822A-4EBE-AEB6-E618EAB4A750}">
      <text>
        <r>
          <rPr>
            <sz val="9"/>
            <color indexed="81"/>
            <rFont val="Tahoma"/>
            <family val="2"/>
          </rPr>
          <t xml:space="preserve">See note on CFC-11
</t>
        </r>
      </text>
    </comment>
    <comment ref="J23" authorId="0" shapeId="0" xr:uid="{26200B3B-9A15-4F3E-BCA6-49AC01B569A3}">
      <text>
        <r>
          <rPr>
            <sz val="9"/>
            <color indexed="81"/>
            <rFont val="Tahoma"/>
            <family val="2"/>
          </rPr>
          <t xml:space="preserve">See note on CFC-11
</t>
        </r>
      </text>
    </comment>
    <comment ref="A24" authorId="0" shapeId="0" xr:uid="{F07137DF-814E-4D0C-914F-186D2F05811E}">
      <text>
        <r>
          <rPr>
            <sz val="9"/>
            <color indexed="81"/>
            <rFont val="Tahoma"/>
            <family val="2"/>
          </rPr>
          <t xml:space="preserve">CH2FCHF2
</t>
        </r>
      </text>
    </comment>
    <comment ref="C24" authorId="0" shapeId="0" xr:uid="{0E81FCC4-D012-45A5-B769-D37C488CEABF}">
      <text>
        <r>
          <rPr>
            <sz val="9"/>
            <color indexed="81"/>
            <rFont val="Tahoma"/>
            <family val="2"/>
          </rPr>
          <t xml:space="preserve">IPCC, AR6, Table 7, SM7
</t>
        </r>
      </text>
    </comment>
    <comment ref="D24" authorId="0" shapeId="0" xr:uid="{2C0055FC-DA24-4EAC-B573-7294F195D865}">
      <text>
        <r>
          <rPr>
            <sz val="9"/>
            <color indexed="81"/>
            <rFont val="Tahoma"/>
            <family val="2"/>
          </rPr>
          <t>Assumed similar to CFC-11, but no special estimation has been found</t>
        </r>
      </text>
    </comment>
    <comment ref="E24" authorId="0" shapeId="0" xr:uid="{9F2DE25A-7A44-4254-8B92-DBE4C9D3DE08}">
      <text>
        <r>
          <rPr>
            <sz val="9"/>
            <color indexed="81"/>
            <rFont val="Tahoma"/>
            <family val="2"/>
          </rPr>
          <t xml:space="preserve">F is not as effective free radical as Cl and Br, why the ODP of HFC:s is estimated to be close to 0
</t>
        </r>
      </text>
    </comment>
    <comment ref="F24" authorId="0" shapeId="0" xr:uid="{DF979EFE-89DA-47A8-8FC1-CD62DB3A86E1}">
      <text>
        <r>
          <rPr>
            <sz val="9"/>
            <color indexed="81"/>
            <rFont val="Tahoma"/>
            <family val="2"/>
          </rPr>
          <t xml:space="preserve">ODP=0 is assumed to be an OK assumption
</t>
        </r>
      </text>
    </comment>
    <comment ref="G24" authorId="0" shapeId="0" xr:uid="{B8386722-5729-4A7E-A753-EB076A201139}">
      <text>
        <r>
          <rPr>
            <sz val="9"/>
            <color indexed="81"/>
            <rFont val="Tahoma"/>
            <family val="2"/>
          </rPr>
          <t xml:space="preserve">See note on CFC-11
</t>
        </r>
      </text>
    </comment>
    <comment ref="I24" authorId="0" shapeId="0" xr:uid="{EEE3182F-3E6D-4BDF-B6AE-EF6251D9E656}">
      <text>
        <r>
          <rPr>
            <sz val="9"/>
            <color indexed="81"/>
            <rFont val="Tahoma"/>
            <family val="2"/>
          </rPr>
          <t xml:space="preserve">See note on CFC-11
</t>
        </r>
      </text>
    </comment>
    <comment ref="J24" authorId="0" shapeId="0" xr:uid="{4322AE6D-B557-4C74-80A3-007843998CED}">
      <text>
        <r>
          <rPr>
            <sz val="9"/>
            <color indexed="81"/>
            <rFont val="Tahoma"/>
            <family val="2"/>
          </rPr>
          <t xml:space="preserve">See note on CFC-11
</t>
        </r>
      </text>
    </comment>
    <comment ref="A25" authorId="0" shapeId="0" xr:uid="{EB48BAFA-7120-4EBD-9FD0-F13246DFC31C}">
      <text>
        <r>
          <rPr>
            <sz val="9"/>
            <color indexed="81"/>
            <rFont val="Tahoma"/>
            <family val="2"/>
          </rPr>
          <t xml:space="preserve">CH3CF3
</t>
        </r>
      </text>
    </comment>
    <comment ref="C25" authorId="0" shapeId="0" xr:uid="{02743CB3-A3D5-4F2C-AC9C-1473D01FB99F}">
      <text>
        <r>
          <rPr>
            <sz val="9"/>
            <color indexed="81"/>
            <rFont val="Tahoma"/>
            <family val="2"/>
          </rPr>
          <t xml:space="preserve">IPCC, AR6, Table 7, SM7
</t>
        </r>
      </text>
    </comment>
    <comment ref="D25" authorId="0" shapeId="0" xr:uid="{F43D215C-12CD-46A9-BDA5-46CC49C47635}">
      <text>
        <r>
          <rPr>
            <sz val="9"/>
            <color indexed="81"/>
            <rFont val="Tahoma"/>
            <family val="2"/>
          </rPr>
          <t>Assumed similar to CFC-11, but no special estimation has been found</t>
        </r>
      </text>
    </comment>
    <comment ref="E25" authorId="0" shapeId="0" xr:uid="{FDB9A67F-DED4-4085-BED6-009D4BB86E6C}">
      <text>
        <r>
          <rPr>
            <sz val="9"/>
            <color indexed="81"/>
            <rFont val="Tahoma"/>
            <family val="2"/>
          </rPr>
          <t xml:space="preserve">F is not as effective free radical as Cl and Br, why the ODP of HFC:s is estimated to be close to 0
</t>
        </r>
      </text>
    </comment>
    <comment ref="F25" authorId="0" shapeId="0" xr:uid="{CA72DD30-FC97-4890-BC56-DB6C1F72D832}">
      <text>
        <r>
          <rPr>
            <sz val="9"/>
            <color indexed="81"/>
            <rFont val="Tahoma"/>
            <family val="2"/>
          </rPr>
          <t xml:space="preserve">ODP=0 is assumed to be an OK assumption
</t>
        </r>
      </text>
    </comment>
    <comment ref="G25" authorId="0" shapeId="0" xr:uid="{B16FBA60-ED44-43BE-9972-CC210AE4294F}">
      <text>
        <r>
          <rPr>
            <sz val="9"/>
            <color indexed="81"/>
            <rFont val="Tahoma"/>
            <family val="2"/>
          </rPr>
          <t xml:space="preserve">See note on CFC-11
</t>
        </r>
      </text>
    </comment>
    <comment ref="I25" authorId="0" shapeId="0" xr:uid="{677BB1D2-DDF9-4ABF-8727-32608577789C}">
      <text>
        <r>
          <rPr>
            <sz val="9"/>
            <color indexed="81"/>
            <rFont val="Tahoma"/>
            <family val="2"/>
          </rPr>
          <t xml:space="preserve">See note on CFC-11
</t>
        </r>
      </text>
    </comment>
    <comment ref="J25" authorId="0" shapeId="0" xr:uid="{994D0201-7A21-43B6-863A-916B9AA66F64}">
      <text>
        <r>
          <rPr>
            <sz val="9"/>
            <color indexed="81"/>
            <rFont val="Tahoma"/>
            <family val="2"/>
          </rPr>
          <t xml:space="preserve">See note on CFC-11
</t>
        </r>
      </text>
    </comment>
    <comment ref="A26" authorId="0" shapeId="0" xr:uid="{92E5310F-AA41-4450-B39B-7A29E9FB4028}">
      <text>
        <r>
          <rPr>
            <sz val="9"/>
            <color indexed="81"/>
            <rFont val="Tahoma"/>
            <family val="2"/>
          </rPr>
          <t xml:space="preserve">CH2FCH2F
</t>
        </r>
      </text>
    </comment>
    <comment ref="C26" authorId="0" shapeId="0" xr:uid="{5840C4D4-62D3-4EBB-BA5E-2CA8F767B538}">
      <text>
        <r>
          <rPr>
            <sz val="9"/>
            <color indexed="81"/>
            <rFont val="Tahoma"/>
            <family val="2"/>
          </rPr>
          <t xml:space="preserve">IPCC, AR6, Table 7, SM7
</t>
        </r>
      </text>
    </comment>
    <comment ref="D26" authorId="0" shapeId="0" xr:uid="{45268C43-1C94-4589-A475-6C499FBC20FF}">
      <text>
        <r>
          <rPr>
            <sz val="9"/>
            <color indexed="81"/>
            <rFont val="Tahoma"/>
            <family val="2"/>
          </rPr>
          <t>Assumed similar to CFC-11, but no special estimation has been found</t>
        </r>
      </text>
    </comment>
    <comment ref="E26" authorId="0" shapeId="0" xr:uid="{8E900591-D6BA-41B3-AE76-6998E1D8F329}">
      <text>
        <r>
          <rPr>
            <sz val="9"/>
            <color indexed="81"/>
            <rFont val="Tahoma"/>
            <family val="2"/>
          </rPr>
          <t xml:space="preserve">F is not as effective free radical as Cl and Br, why the ODP of HFC:s is estimated to be close to 0
</t>
        </r>
      </text>
    </comment>
    <comment ref="F26" authorId="0" shapeId="0" xr:uid="{1AF0DC4F-EE50-48EE-8BFA-410462864CA8}">
      <text>
        <r>
          <rPr>
            <sz val="9"/>
            <color indexed="81"/>
            <rFont val="Tahoma"/>
            <family val="2"/>
          </rPr>
          <t xml:space="preserve">ODP=0 is assumed to be an OK assumption
</t>
        </r>
      </text>
    </comment>
    <comment ref="G26" authorId="0" shapeId="0" xr:uid="{BC42D049-4703-4BEC-A8D0-38C1B81E9845}">
      <text>
        <r>
          <rPr>
            <sz val="9"/>
            <color indexed="81"/>
            <rFont val="Tahoma"/>
            <family val="2"/>
          </rPr>
          <t xml:space="preserve">See note on CFC-11
</t>
        </r>
      </text>
    </comment>
    <comment ref="I26" authorId="0" shapeId="0" xr:uid="{75C581D3-C46B-4D63-831B-102189AEB5FD}">
      <text>
        <r>
          <rPr>
            <sz val="9"/>
            <color indexed="81"/>
            <rFont val="Tahoma"/>
            <family val="2"/>
          </rPr>
          <t xml:space="preserve">See note on CFC-11
</t>
        </r>
      </text>
    </comment>
    <comment ref="J26" authorId="0" shapeId="0" xr:uid="{87B57BF8-B0FB-4D9A-9687-A08545FC87EE}">
      <text>
        <r>
          <rPr>
            <sz val="9"/>
            <color indexed="81"/>
            <rFont val="Tahoma"/>
            <family val="2"/>
          </rPr>
          <t xml:space="preserve">See note on CFC-11
</t>
        </r>
      </text>
    </comment>
    <comment ref="A27" authorId="0" shapeId="0" xr:uid="{A077AD7E-20FD-47AE-B1E4-50017C5FF18F}">
      <text>
        <r>
          <rPr>
            <sz val="9"/>
            <color indexed="81"/>
            <rFont val="Tahoma"/>
            <family val="2"/>
          </rPr>
          <t xml:space="preserve">CH3CHF2
</t>
        </r>
      </text>
    </comment>
    <comment ref="C27" authorId="0" shapeId="0" xr:uid="{B5EB298E-8655-4CCA-8024-9EA2B19B246A}">
      <text>
        <r>
          <rPr>
            <sz val="9"/>
            <color indexed="81"/>
            <rFont val="Tahoma"/>
            <family val="2"/>
          </rPr>
          <t xml:space="preserve">IPCC, AR6, Table 7, SM7
</t>
        </r>
      </text>
    </comment>
    <comment ref="D27" authorId="0" shapeId="0" xr:uid="{335E3A1B-2380-4FFF-8D12-BD7F0671D5AF}">
      <text>
        <r>
          <rPr>
            <sz val="9"/>
            <color indexed="81"/>
            <rFont val="Tahoma"/>
            <family val="2"/>
          </rPr>
          <t>Assumed similar to CFC-11, but no special estimation has been found</t>
        </r>
      </text>
    </comment>
    <comment ref="E27" authorId="0" shapeId="0" xr:uid="{78D0881C-1081-4AD9-994B-DACC2490C82A}">
      <text>
        <r>
          <rPr>
            <sz val="9"/>
            <color indexed="81"/>
            <rFont val="Tahoma"/>
            <family val="2"/>
          </rPr>
          <t xml:space="preserve">F is not as effective free radical as Cl and Br, why the ODP of HFC:s is estimated to be close to 0
</t>
        </r>
      </text>
    </comment>
    <comment ref="F27" authorId="0" shapeId="0" xr:uid="{F8E74261-CDC1-49C3-A846-4DB7485BA213}">
      <text>
        <r>
          <rPr>
            <sz val="9"/>
            <color indexed="81"/>
            <rFont val="Tahoma"/>
            <family val="2"/>
          </rPr>
          <t xml:space="preserve">ODP=0 is assumed to be an OK assumption
</t>
        </r>
      </text>
    </comment>
    <comment ref="G27" authorId="0" shapeId="0" xr:uid="{DBBD92F1-B5D1-4B31-9A15-3B3ECD887106}">
      <text>
        <r>
          <rPr>
            <sz val="9"/>
            <color indexed="81"/>
            <rFont val="Tahoma"/>
            <family val="2"/>
          </rPr>
          <t xml:space="preserve">See note on CFC-11
</t>
        </r>
      </text>
    </comment>
    <comment ref="I27" authorId="0" shapeId="0" xr:uid="{F9FF10A2-E48B-40EA-A901-CA594504CCDF}">
      <text>
        <r>
          <rPr>
            <sz val="9"/>
            <color indexed="81"/>
            <rFont val="Tahoma"/>
            <family val="2"/>
          </rPr>
          <t xml:space="preserve">See note on CFC-11
</t>
        </r>
      </text>
    </comment>
    <comment ref="J27" authorId="0" shapeId="0" xr:uid="{FC94EFF9-2DA4-4926-BB16-F3DF24DCEB35}">
      <text>
        <r>
          <rPr>
            <sz val="9"/>
            <color indexed="81"/>
            <rFont val="Tahoma"/>
            <family val="2"/>
          </rPr>
          <t xml:space="preserve">See note on CFC-11
</t>
        </r>
      </text>
    </comment>
    <comment ref="A28" authorId="0" shapeId="0" xr:uid="{AA7691F1-DDC2-4F24-9D05-4A8695915DC6}">
      <text>
        <r>
          <rPr>
            <sz val="9"/>
            <color indexed="81"/>
            <rFont val="Tahoma"/>
            <family val="2"/>
          </rPr>
          <t>CH3CH2F</t>
        </r>
      </text>
    </comment>
    <comment ref="C28" authorId="0" shapeId="0" xr:uid="{9B9F5079-78CD-4392-922B-C092620BF140}">
      <text>
        <r>
          <rPr>
            <sz val="9"/>
            <color indexed="81"/>
            <rFont val="Tahoma"/>
            <family val="2"/>
          </rPr>
          <t xml:space="preserve">IPCC, AR6, Table 7, SM7
</t>
        </r>
      </text>
    </comment>
    <comment ref="D28" authorId="0" shapeId="0" xr:uid="{96628939-8231-4FAA-B52B-45016A9C1C18}">
      <text>
        <r>
          <rPr>
            <sz val="9"/>
            <color indexed="81"/>
            <rFont val="Tahoma"/>
            <family val="2"/>
          </rPr>
          <t>Assumed similar to CFC-11, but no special estimation has been found</t>
        </r>
      </text>
    </comment>
    <comment ref="E28" authorId="0" shapeId="0" xr:uid="{51BD5359-8BC6-43A7-A986-E1D3B8691D76}">
      <text>
        <r>
          <rPr>
            <sz val="9"/>
            <color indexed="81"/>
            <rFont val="Tahoma"/>
            <family val="2"/>
          </rPr>
          <t xml:space="preserve">F is not as effective free radical as Cl and Br, why the ODP of HFC:s is estimated to be close to 0
</t>
        </r>
      </text>
    </comment>
    <comment ref="F28" authorId="0" shapeId="0" xr:uid="{7E94168D-80B8-4420-AF88-C0F2A0679698}">
      <text>
        <r>
          <rPr>
            <sz val="9"/>
            <color indexed="81"/>
            <rFont val="Tahoma"/>
            <family val="2"/>
          </rPr>
          <t xml:space="preserve">ODP=0 is assumed to be an OK assumption
</t>
        </r>
      </text>
    </comment>
    <comment ref="G28" authorId="0" shapeId="0" xr:uid="{1745531D-A79D-4A9F-A5D1-9897105A2DA1}">
      <text>
        <r>
          <rPr>
            <sz val="9"/>
            <color indexed="81"/>
            <rFont val="Tahoma"/>
            <family val="2"/>
          </rPr>
          <t xml:space="preserve">See note on CFC-11
</t>
        </r>
      </text>
    </comment>
    <comment ref="I28" authorId="0" shapeId="0" xr:uid="{717C37BD-925D-41C3-9157-5466A7F973C2}">
      <text>
        <r>
          <rPr>
            <sz val="9"/>
            <color indexed="81"/>
            <rFont val="Tahoma"/>
            <family val="2"/>
          </rPr>
          <t xml:space="preserve">See note on CFC-11
</t>
        </r>
      </text>
    </comment>
    <comment ref="J28" authorId="0" shapeId="0" xr:uid="{CAA9696C-D0DF-475A-9281-0BAEBC25C9D0}">
      <text>
        <r>
          <rPr>
            <sz val="9"/>
            <color indexed="81"/>
            <rFont val="Tahoma"/>
            <family val="2"/>
          </rPr>
          <t xml:space="preserve">See note on CFC-11
</t>
        </r>
      </text>
    </comment>
    <comment ref="A29" authorId="0" shapeId="0" xr:uid="{2B75E5E5-585A-4D3A-B5C4-A41093E25396}">
      <text>
        <r>
          <rPr>
            <sz val="9"/>
            <color indexed="81"/>
            <rFont val="Tahoma"/>
            <family val="2"/>
          </rPr>
          <t xml:space="preserve">CF3CF2CHF2
</t>
        </r>
      </text>
    </comment>
    <comment ref="C29" authorId="0" shapeId="0" xr:uid="{F8232062-9EA2-4F35-8D7A-F27BC4A7AA88}">
      <text>
        <r>
          <rPr>
            <sz val="9"/>
            <color indexed="81"/>
            <rFont val="Tahoma"/>
            <family val="2"/>
          </rPr>
          <t xml:space="preserve">IPCC, AR6, Table 7, SM7
</t>
        </r>
      </text>
    </comment>
    <comment ref="D29" authorId="0" shapeId="0" xr:uid="{AADDBB24-A51E-4A49-85DB-E1C4847CD8D0}">
      <text>
        <r>
          <rPr>
            <sz val="9"/>
            <color indexed="81"/>
            <rFont val="Tahoma"/>
            <family val="2"/>
          </rPr>
          <t>Assumed similar to CFC-11, but no special estimation has been found</t>
        </r>
      </text>
    </comment>
    <comment ref="E29" authorId="0" shapeId="0" xr:uid="{FDBFFA68-E4CF-43FC-B29D-F6C772B72609}">
      <text>
        <r>
          <rPr>
            <sz val="9"/>
            <color indexed="81"/>
            <rFont val="Tahoma"/>
            <family val="2"/>
          </rPr>
          <t xml:space="preserve">F is not as effective free radical as Cl and Br, why the ODP of HFC:s is estimated to be close to 0
</t>
        </r>
      </text>
    </comment>
    <comment ref="F29" authorId="0" shapeId="0" xr:uid="{AFA429BE-760F-4695-8081-C3CE5B9A9C1E}">
      <text>
        <r>
          <rPr>
            <sz val="9"/>
            <color indexed="81"/>
            <rFont val="Tahoma"/>
            <family val="2"/>
          </rPr>
          <t xml:space="preserve">ODP=0 is assumed to be an OK assumption
</t>
        </r>
      </text>
    </comment>
    <comment ref="G29" authorId="0" shapeId="0" xr:uid="{D1A85429-E274-43CD-B4C2-1C548C8F48F5}">
      <text>
        <r>
          <rPr>
            <sz val="9"/>
            <color indexed="81"/>
            <rFont val="Tahoma"/>
            <family val="2"/>
          </rPr>
          <t xml:space="preserve">See note on CFC-11
</t>
        </r>
      </text>
    </comment>
    <comment ref="I29" authorId="0" shapeId="0" xr:uid="{3B4A14B4-B781-4EFB-85EF-B96E8DA169C5}">
      <text>
        <r>
          <rPr>
            <sz val="9"/>
            <color indexed="81"/>
            <rFont val="Tahoma"/>
            <family val="2"/>
          </rPr>
          <t xml:space="preserve">See note on CFC-11
</t>
        </r>
      </text>
    </comment>
    <comment ref="J29" authorId="0" shapeId="0" xr:uid="{58BFF075-9239-4664-A7F3-04C5658AB1AA}">
      <text>
        <r>
          <rPr>
            <sz val="9"/>
            <color indexed="81"/>
            <rFont val="Tahoma"/>
            <family val="2"/>
          </rPr>
          <t xml:space="preserve">See note on CFC-11
</t>
        </r>
      </text>
    </comment>
    <comment ref="A30" authorId="0" shapeId="0" xr:uid="{BA8A1F2C-B2E6-4C3E-B450-E374540C8F95}">
      <text>
        <r>
          <rPr>
            <sz val="9"/>
            <color indexed="81"/>
            <rFont val="Tahoma"/>
            <family val="2"/>
          </rPr>
          <t xml:space="preserve">CF3CHFCF3
</t>
        </r>
      </text>
    </comment>
    <comment ref="C30" authorId="0" shapeId="0" xr:uid="{7EF31DE3-0FC8-4FB5-B0CA-41C85BAC3EA6}">
      <text>
        <r>
          <rPr>
            <sz val="9"/>
            <color indexed="81"/>
            <rFont val="Tahoma"/>
            <family val="2"/>
          </rPr>
          <t xml:space="preserve">IPCC, AR6, Table 7, SM7
</t>
        </r>
      </text>
    </comment>
    <comment ref="D30" authorId="0" shapeId="0" xr:uid="{4430D07D-0164-4058-ACED-8765F2ECC888}">
      <text>
        <r>
          <rPr>
            <sz val="9"/>
            <color indexed="81"/>
            <rFont val="Tahoma"/>
            <family val="2"/>
          </rPr>
          <t>Assumed similar to CFC-11, but no special estimation has been found</t>
        </r>
      </text>
    </comment>
    <comment ref="E30" authorId="0" shapeId="0" xr:uid="{050E37C4-3ACB-4C52-9374-9DBFF566924E}">
      <text>
        <r>
          <rPr>
            <sz val="9"/>
            <color indexed="81"/>
            <rFont val="Tahoma"/>
            <family val="2"/>
          </rPr>
          <t xml:space="preserve">F is not as effective free radical as Cl and Br, why the ODP of HFC:s is estimated to be close to 0
</t>
        </r>
      </text>
    </comment>
    <comment ref="F30" authorId="0" shapeId="0" xr:uid="{0C194753-C7AF-4B3E-A3E8-E858882BBD40}">
      <text>
        <r>
          <rPr>
            <sz val="9"/>
            <color indexed="81"/>
            <rFont val="Tahoma"/>
            <family val="2"/>
          </rPr>
          <t xml:space="preserve">ODP=0 is assumed to be an OK assumption
</t>
        </r>
      </text>
    </comment>
    <comment ref="G30" authorId="0" shapeId="0" xr:uid="{76AAA5F5-F471-4A43-91E7-98054282FA0C}">
      <text>
        <r>
          <rPr>
            <sz val="9"/>
            <color indexed="81"/>
            <rFont val="Tahoma"/>
            <family val="2"/>
          </rPr>
          <t xml:space="preserve">See note on CFC-11
</t>
        </r>
      </text>
    </comment>
    <comment ref="I30" authorId="0" shapeId="0" xr:uid="{5A6EBADF-686B-4169-B5D9-7968554D1AF5}">
      <text>
        <r>
          <rPr>
            <sz val="9"/>
            <color indexed="81"/>
            <rFont val="Tahoma"/>
            <family val="2"/>
          </rPr>
          <t xml:space="preserve">See note on CFC-11
</t>
        </r>
      </text>
    </comment>
    <comment ref="J30" authorId="0" shapeId="0" xr:uid="{5DF494B2-4197-4A3B-979C-3F92569D8BAA}">
      <text>
        <r>
          <rPr>
            <sz val="9"/>
            <color indexed="81"/>
            <rFont val="Tahoma"/>
            <family val="2"/>
          </rPr>
          <t xml:space="preserve">See note on CFC-11
</t>
        </r>
      </text>
    </comment>
    <comment ref="A31" authorId="0" shapeId="0" xr:uid="{F8290684-C760-409D-818E-D402E204BBF4}">
      <text>
        <r>
          <rPr>
            <sz val="9"/>
            <color indexed="81"/>
            <rFont val="Tahoma"/>
            <family val="2"/>
          </rPr>
          <t xml:space="preserve">CH2FCF2CF3
</t>
        </r>
      </text>
    </comment>
    <comment ref="C31" authorId="0" shapeId="0" xr:uid="{51B5DB10-CBDF-4E8B-A883-F0076EF8BBFA}">
      <text>
        <r>
          <rPr>
            <sz val="9"/>
            <color indexed="81"/>
            <rFont val="Tahoma"/>
            <family val="2"/>
          </rPr>
          <t xml:space="preserve">IPCC, AR6, Table 7, SM7
</t>
        </r>
      </text>
    </comment>
    <comment ref="D31" authorId="0" shapeId="0" xr:uid="{9F44C53C-FF97-4D32-855F-2DEB7DC695BC}">
      <text>
        <r>
          <rPr>
            <sz val="9"/>
            <color indexed="81"/>
            <rFont val="Tahoma"/>
            <family val="2"/>
          </rPr>
          <t>Assumed similar to CFC-11, but no special estimation has been found</t>
        </r>
      </text>
    </comment>
    <comment ref="E31" authorId="0" shapeId="0" xr:uid="{DFB2405B-B771-4C6F-A36C-1A9CD5F2C3B4}">
      <text>
        <r>
          <rPr>
            <sz val="9"/>
            <color indexed="81"/>
            <rFont val="Tahoma"/>
            <family val="2"/>
          </rPr>
          <t xml:space="preserve">F is not as effective free radical as Cl and Br, why the ODP of HFC:s is estimated to be close to 0
</t>
        </r>
      </text>
    </comment>
    <comment ref="F31" authorId="0" shapeId="0" xr:uid="{64D27B24-89AE-42AC-A441-D9BBBD6C9875}">
      <text>
        <r>
          <rPr>
            <sz val="9"/>
            <color indexed="81"/>
            <rFont val="Tahoma"/>
            <family val="2"/>
          </rPr>
          <t xml:space="preserve">ODP=0 is assumed to be an OK assumption
</t>
        </r>
      </text>
    </comment>
    <comment ref="G31" authorId="0" shapeId="0" xr:uid="{AA497405-C971-4D9F-BCF5-7ECDDBBEC3C0}">
      <text>
        <r>
          <rPr>
            <sz val="9"/>
            <color indexed="81"/>
            <rFont val="Tahoma"/>
            <family val="2"/>
          </rPr>
          <t xml:space="preserve">See note on CFC-11
</t>
        </r>
      </text>
    </comment>
    <comment ref="I31" authorId="0" shapeId="0" xr:uid="{A166BAB9-A4FD-48B7-A3A5-E9ED97DB28D8}">
      <text>
        <r>
          <rPr>
            <sz val="9"/>
            <color indexed="81"/>
            <rFont val="Tahoma"/>
            <family val="2"/>
          </rPr>
          <t xml:space="preserve">See note on CFC-11
</t>
        </r>
      </text>
    </comment>
    <comment ref="J31" authorId="0" shapeId="0" xr:uid="{815C3017-B9EF-491B-BEEB-71FFC8731A66}">
      <text>
        <r>
          <rPr>
            <sz val="9"/>
            <color indexed="81"/>
            <rFont val="Tahoma"/>
            <family val="2"/>
          </rPr>
          <t xml:space="preserve">See note on CFC-11
</t>
        </r>
      </text>
    </comment>
    <comment ref="A32" authorId="0" shapeId="0" xr:uid="{6A0493A6-570B-4ADF-A8FA-A8B868367726}">
      <text>
        <r>
          <rPr>
            <sz val="9"/>
            <color indexed="81"/>
            <rFont val="Tahoma"/>
            <family val="2"/>
          </rPr>
          <t xml:space="preserve">CHF2CHFCF3
</t>
        </r>
      </text>
    </comment>
    <comment ref="C32" authorId="0" shapeId="0" xr:uid="{0F028699-B77C-42C6-94D4-3518F2C905BB}">
      <text>
        <r>
          <rPr>
            <sz val="9"/>
            <color indexed="81"/>
            <rFont val="Tahoma"/>
            <family val="2"/>
          </rPr>
          <t xml:space="preserve">IPCC, AR6, Table 7, SM7
</t>
        </r>
      </text>
    </comment>
    <comment ref="D32" authorId="0" shapeId="0" xr:uid="{DCB68EFF-61CE-468A-9E1D-B97AE3F112D1}">
      <text>
        <r>
          <rPr>
            <sz val="9"/>
            <color indexed="81"/>
            <rFont val="Tahoma"/>
            <family val="2"/>
          </rPr>
          <t>Assumed similar to CFC-11, but no special estimation has been found</t>
        </r>
      </text>
    </comment>
    <comment ref="E32" authorId="0" shapeId="0" xr:uid="{20AFFD4F-5978-4DE3-AF64-85664034D912}">
      <text>
        <r>
          <rPr>
            <sz val="9"/>
            <color indexed="81"/>
            <rFont val="Tahoma"/>
            <family val="2"/>
          </rPr>
          <t xml:space="preserve">F is not as effective free radical as Cl and Br, why the ODP of HFC:s is estimated to be close to 0
</t>
        </r>
      </text>
    </comment>
    <comment ref="F32" authorId="0" shapeId="0" xr:uid="{44A0320D-8288-4803-986F-C081C5329E81}">
      <text>
        <r>
          <rPr>
            <sz val="9"/>
            <color indexed="81"/>
            <rFont val="Tahoma"/>
            <family val="2"/>
          </rPr>
          <t xml:space="preserve">ODP=0 is assumed to be an OK assumption
</t>
        </r>
      </text>
    </comment>
    <comment ref="G32" authorId="0" shapeId="0" xr:uid="{9EAE226C-562C-4220-8290-A61BC0B4538A}">
      <text>
        <r>
          <rPr>
            <sz val="9"/>
            <color indexed="81"/>
            <rFont val="Tahoma"/>
            <family val="2"/>
          </rPr>
          <t xml:space="preserve">See note on CFC-11
</t>
        </r>
      </text>
    </comment>
    <comment ref="I32" authorId="0" shapeId="0" xr:uid="{CA05BCD7-9EA9-4792-BEE9-F544AA55E1A1}">
      <text>
        <r>
          <rPr>
            <sz val="9"/>
            <color indexed="81"/>
            <rFont val="Tahoma"/>
            <family val="2"/>
          </rPr>
          <t xml:space="preserve">See note on CFC-11
</t>
        </r>
      </text>
    </comment>
    <comment ref="J32" authorId="0" shapeId="0" xr:uid="{979A421B-98B3-487E-987B-C7C1A1F1CEA7}">
      <text>
        <r>
          <rPr>
            <sz val="9"/>
            <color indexed="81"/>
            <rFont val="Tahoma"/>
            <family val="2"/>
          </rPr>
          <t xml:space="preserve">See note on CFC-11
</t>
        </r>
      </text>
    </comment>
    <comment ref="A33" authorId="0" shapeId="0" xr:uid="{41B8921C-EE32-47DE-BD61-D91BCCB6F751}">
      <text>
        <r>
          <rPr>
            <sz val="9"/>
            <color indexed="81"/>
            <rFont val="Tahoma"/>
            <family val="2"/>
          </rPr>
          <t xml:space="preserve">CF3CH2CF3
</t>
        </r>
      </text>
    </comment>
    <comment ref="C33" authorId="0" shapeId="0" xr:uid="{2BD11825-B89C-4F4F-9240-EA45DFE414D4}">
      <text>
        <r>
          <rPr>
            <sz val="9"/>
            <color indexed="81"/>
            <rFont val="Tahoma"/>
            <family val="2"/>
          </rPr>
          <t xml:space="preserve">IPCC, AR6, Table 7, SM7
</t>
        </r>
      </text>
    </comment>
    <comment ref="D33" authorId="0" shapeId="0" xr:uid="{F6F42F7F-E59F-4AED-B7DA-BF6EC4A72855}">
      <text>
        <r>
          <rPr>
            <sz val="9"/>
            <color indexed="81"/>
            <rFont val="Tahoma"/>
            <family val="2"/>
          </rPr>
          <t>Assumed similar to CFC-11, but no special estimation has been found</t>
        </r>
      </text>
    </comment>
    <comment ref="E33" authorId="0" shapeId="0" xr:uid="{0CD323B5-734D-4221-A6E9-85B2C196E493}">
      <text>
        <r>
          <rPr>
            <sz val="9"/>
            <color indexed="81"/>
            <rFont val="Tahoma"/>
            <family val="2"/>
          </rPr>
          <t xml:space="preserve">F is not as effective free radical as Cl and Br, why the ODP of HFC:s is estimated to be close to 0
</t>
        </r>
      </text>
    </comment>
    <comment ref="F33" authorId="0" shapeId="0" xr:uid="{3A596B49-548F-46FE-9123-8A144C712B01}">
      <text>
        <r>
          <rPr>
            <sz val="9"/>
            <color indexed="81"/>
            <rFont val="Tahoma"/>
            <family val="2"/>
          </rPr>
          <t xml:space="preserve">ODP=0 is assumed to be an OK assumption
</t>
        </r>
      </text>
    </comment>
    <comment ref="G33" authorId="0" shapeId="0" xr:uid="{00A9A19C-FD63-49D4-AB2D-524260CE1C68}">
      <text>
        <r>
          <rPr>
            <sz val="9"/>
            <color indexed="81"/>
            <rFont val="Tahoma"/>
            <family val="2"/>
          </rPr>
          <t xml:space="preserve">See note on CFC-11
</t>
        </r>
      </text>
    </comment>
    <comment ref="I33" authorId="0" shapeId="0" xr:uid="{157D5C3C-FD98-4C01-AC0C-55238C6FA7BE}">
      <text>
        <r>
          <rPr>
            <sz val="9"/>
            <color indexed="81"/>
            <rFont val="Tahoma"/>
            <family val="2"/>
          </rPr>
          <t xml:space="preserve">See note on CFC-11
</t>
        </r>
      </text>
    </comment>
    <comment ref="J33" authorId="0" shapeId="0" xr:uid="{6082307D-1865-417D-B5C0-B38735C77740}">
      <text>
        <r>
          <rPr>
            <sz val="9"/>
            <color indexed="81"/>
            <rFont val="Tahoma"/>
            <family val="2"/>
          </rPr>
          <t xml:space="preserve">See note on CFC-11
</t>
        </r>
      </text>
    </comment>
    <comment ref="A34" authorId="0" shapeId="0" xr:uid="{E9B429C6-AF3B-41C4-BF96-9C9B419E5050}">
      <text>
        <r>
          <rPr>
            <sz val="9"/>
            <color indexed="81"/>
            <rFont val="Tahoma"/>
            <family val="2"/>
          </rPr>
          <t xml:space="preserve">CH2FCF2CHF2
</t>
        </r>
      </text>
    </comment>
    <comment ref="C34" authorId="0" shapeId="0" xr:uid="{2D4B7461-17FD-42FA-9E73-5A66F8878204}">
      <text>
        <r>
          <rPr>
            <sz val="9"/>
            <color indexed="81"/>
            <rFont val="Tahoma"/>
            <family val="2"/>
          </rPr>
          <t xml:space="preserve">IPCC, AR6, Table 7, SM7
</t>
        </r>
      </text>
    </comment>
    <comment ref="D34" authorId="0" shapeId="0" xr:uid="{73A33B17-5E69-4338-8A55-A081FD6030EF}">
      <text>
        <r>
          <rPr>
            <sz val="9"/>
            <color indexed="81"/>
            <rFont val="Tahoma"/>
            <family val="2"/>
          </rPr>
          <t>Assumed similar to CFC-11, but no special estimation has been found</t>
        </r>
      </text>
    </comment>
    <comment ref="E34" authorId="0" shapeId="0" xr:uid="{2DBB4CA9-77F0-4EFD-9D50-4BFF174DC97B}">
      <text>
        <r>
          <rPr>
            <sz val="9"/>
            <color indexed="81"/>
            <rFont val="Tahoma"/>
            <family val="2"/>
          </rPr>
          <t xml:space="preserve">F is not as effective free radical as Cl and Br, why the ODP of HFC:s is estimated to be close to 0
</t>
        </r>
      </text>
    </comment>
    <comment ref="F34" authorId="0" shapeId="0" xr:uid="{3E9097F0-96EE-4CAF-B9AE-042C25D5AB4B}">
      <text>
        <r>
          <rPr>
            <sz val="9"/>
            <color indexed="81"/>
            <rFont val="Tahoma"/>
            <family val="2"/>
          </rPr>
          <t xml:space="preserve">ODP=0 is assumed to be an OK assumption
</t>
        </r>
      </text>
    </comment>
    <comment ref="G34" authorId="0" shapeId="0" xr:uid="{6C628B7B-EEFD-467C-AC8C-2BFA4F60C060}">
      <text>
        <r>
          <rPr>
            <sz val="9"/>
            <color indexed="81"/>
            <rFont val="Tahoma"/>
            <family val="2"/>
          </rPr>
          <t xml:space="preserve">See note on CFC-11
</t>
        </r>
      </text>
    </comment>
    <comment ref="I34" authorId="0" shapeId="0" xr:uid="{0E810589-B940-4499-95ED-32B54EBA8C3E}">
      <text>
        <r>
          <rPr>
            <sz val="9"/>
            <color indexed="81"/>
            <rFont val="Tahoma"/>
            <family val="2"/>
          </rPr>
          <t xml:space="preserve">See note on CFC-11
</t>
        </r>
      </text>
    </comment>
    <comment ref="J34" authorId="0" shapeId="0" xr:uid="{CE623C12-8CD2-4713-B839-D83167E29DF9}">
      <text>
        <r>
          <rPr>
            <sz val="9"/>
            <color indexed="81"/>
            <rFont val="Tahoma"/>
            <family val="2"/>
          </rPr>
          <t xml:space="preserve">See note on CFC-11
</t>
        </r>
      </text>
    </comment>
    <comment ref="A35" authorId="0" shapeId="0" xr:uid="{C9A9C0B7-39DA-4AF5-8D8A-D7A82A9895B5}">
      <text>
        <r>
          <rPr>
            <sz val="9"/>
            <color indexed="81"/>
            <rFont val="Tahoma"/>
            <family val="2"/>
          </rPr>
          <t xml:space="preserve">CF3CF2CH3
</t>
        </r>
      </text>
    </comment>
    <comment ref="C35" authorId="0" shapeId="0" xr:uid="{61000066-42C5-4192-8530-D81B5D371024}">
      <text>
        <r>
          <rPr>
            <sz val="9"/>
            <color indexed="81"/>
            <rFont val="Tahoma"/>
            <family val="2"/>
          </rPr>
          <t xml:space="preserve">IPCC, AR6, Table 7, SM7
</t>
        </r>
      </text>
    </comment>
    <comment ref="D35" authorId="0" shapeId="0" xr:uid="{E46FFCB7-9640-49D3-8FA5-D4C6AA67D09E}">
      <text>
        <r>
          <rPr>
            <sz val="9"/>
            <color indexed="81"/>
            <rFont val="Tahoma"/>
            <family val="2"/>
          </rPr>
          <t>Assumed similar to CFC-11, but no special estimation has been found</t>
        </r>
      </text>
    </comment>
    <comment ref="E35" authorId="0" shapeId="0" xr:uid="{54D31806-D380-4859-BC42-A4C03C9D0D9C}">
      <text>
        <r>
          <rPr>
            <sz val="9"/>
            <color indexed="81"/>
            <rFont val="Tahoma"/>
            <family val="2"/>
          </rPr>
          <t xml:space="preserve">F is not as effective free radical as Cl and Br, why the ODP of HFC:s is estimated to be close to 0
</t>
        </r>
      </text>
    </comment>
    <comment ref="F35" authorId="0" shapeId="0" xr:uid="{7F087A6F-AA1A-48E4-8C9C-F28239F999B0}">
      <text>
        <r>
          <rPr>
            <sz val="9"/>
            <color indexed="81"/>
            <rFont val="Tahoma"/>
            <family val="2"/>
          </rPr>
          <t xml:space="preserve">ODP=0 is assumed to be an OK assumption
</t>
        </r>
      </text>
    </comment>
    <comment ref="G35" authorId="0" shapeId="0" xr:uid="{55F7D216-A7F3-4317-A07B-2568DC474768}">
      <text>
        <r>
          <rPr>
            <sz val="9"/>
            <color indexed="81"/>
            <rFont val="Tahoma"/>
            <family val="2"/>
          </rPr>
          <t xml:space="preserve">See note on CFC-11
</t>
        </r>
      </text>
    </comment>
    <comment ref="I35" authorId="0" shapeId="0" xr:uid="{ECE77750-0DD4-41DF-A44A-D0E172649840}">
      <text>
        <r>
          <rPr>
            <sz val="9"/>
            <color indexed="81"/>
            <rFont val="Tahoma"/>
            <family val="2"/>
          </rPr>
          <t xml:space="preserve">See note on CFC-11
</t>
        </r>
      </text>
    </comment>
    <comment ref="J35" authorId="0" shapeId="0" xr:uid="{B44EC123-47CE-46FC-B64C-E5BF3352014A}">
      <text>
        <r>
          <rPr>
            <sz val="9"/>
            <color indexed="81"/>
            <rFont val="Tahoma"/>
            <family val="2"/>
          </rPr>
          <t xml:space="preserve">See note on CFC-11
</t>
        </r>
      </text>
    </comment>
    <comment ref="A36" authorId="0" shapeId="0" xr:uid="{322A2121-E602-4D52-AA46-D37FDB2B10C5}">
      <text>
        <r>
          <rPr>
            <sz val="9"/>
            <color indexed="81"/>
            <rFont val="Tahoma"/>
            <family val="2"/>
          </rPr>
          <t xml:space="preserve">CHF2CHFCHF2
</t>
        </r>
      </text>
    </comment>
    <comment ref="C36" authorId="0" shapeId="0" xr:uid="{B37B71C4-4590-4F05-B442-33997FB0F9B8}">
      <text>
        <r>
          <rPr>
            <sz val="9"/>
            <color indexed="81"/>
            <rFont val="Tahoma"/>
            <family val="2"/>
          </rPr>
          <t xml:space="preserve">IPCC, AR6, Table 7, SM7
</t>
        </r>
      </text>
    </comment>
    <comment ref="D36" authorId="0" shapeId="0" xr:uid="{2E5C8241-4AE4-4010-B293-7AA599BE3B9E}">
      <text>
        <r>
          <rPr>
            <sz val="9"/>
            <color indexed="81"/>
            <rFont val="Tahoma"/>
            <family val="2"/>
          </rPr>
          <t>Assumed similar to CFC-11, but no special estimation has been found</t>
        </r>
      </text>
    </comment>
    <comment ref="E36" authorId="0" shapeId="0" xr:uid="{F6801FC4-F735-4189-BD50-8680EBA42771}">
      <text>
        <r>
          <rPr>
            <sz val="9"/>
            <color indexed="81"/>
            <rFont val="Tahoma"/>
            <family val="2"/>
          </rPr>
          <t xml:space="preserve">F is not as effective free radical as Cl and Br, why the ODP of HFC:s is estimated to be close to 0
</t>
        </r>
      </text>
    </comment>
    <comment ref="F36" authorId="0" shapeId="0" xr:uid="{277E8748-10DA-4869-9E6F-89ACBE6EBB12}">
      <text>
        <r>
          <rPr>
            <sz val="9"/>
            <color indexed="81"/>
            <rFont val="Tahoma"/>
            <family val="2"/>
          </rPr>
          <t xml:space="preserve">ODP=0 is assumed to be an OK assumption
</t>
        </r>
      </text>
    </comment>
    <comment ref="G36" authorId="0" shapeId="0" xr:uid="{BCF9FD43-EFC5-4C9C-9BA4-3858B7F8EBA8}">
      <text>
        <r>
          <rPr>
            <sz val="9"/>
            <color indexed="81"/>
            <rFont val="Tahoma"/>
            <family val="2"/>
          </rPr>
          <t xml:space="preserve">See note on CFC-11
</t>
        </r>
      </text>
    </comment>
    <comment ref="I36" authorId="0" shapeId="0" xr:uid="{E3459956-E887-4578-B0A4-21EFA5CA4BA4}">
      <text>
        <r>
          <rPr>
            <sz val="9"/>
            <color indexed="81"/>
            <rFont val="Tahoma"/>
            <family val="2"/>
          </rPr>
          <t xml:space="preserve">See note on CFC-11
</t>
        </r>
      </text>
    </comment>
    <comment ref="J36" authorId="0" shapeId="0" xr:uid="{ED6CF8C7-E8BA-451B-9985-1590B668F5ED}">
      <text>
        <r>
          <rPr>
            <sz val="9"/>
            <color indexed="81"/>
            <rFont val="Tahoma"/>
            <family val="2"/>
          </rPr>
          <t xml:space="preserve">See note on CFC-11
</t>
        </r>
      </text>
    </comment>
    <comment ref="A37" authorId="0" shapeId="0" xr:uid="{0C352CF9-CF0A-4363-A4AF-2B4623B70EB3}">
      <text>
        <r>
          <rPr>
            <sz val="9"/>
            <color indexed="81"/>
            <rFont val="Tahoma"/>
            <family val="2"/>
          </rPr>
          <t xml:space="preserve">CH2FCHFCF3
</t>
        </r>
      </text>
    </comment>
    <comment ref="C37" authorId="0" shapeId="0" xr:uid="{197225D9-F4E1-4C30-BB4B-A2EABCFD4BBE}">
      <text>
        <r>
          <rPr>
            <sz val="9"/>
            <color indexed="81"/>
            <rFont val="Tahoma"/>
            <family val="2"/>
          </rPr>
          <t xml:space="preserve">IPCC, AR6, Table 7, SM7
</t>
        </r>
      </text>
    </comment>
    <comment ref="D37" authorId="0" shapeId="0" xr:uid="{9F230C0C-A5A2-4B9A-97F8-AEFAC59B8A24}">
      <text>
        <r>
          <rPr>
            <sz val="9"/>
            <color indexed="81"/>
            <rFont val="Tahoma"/>
            <family val="2"/>
          </rPr>
          <t>Assumed similar to CFC-11, but no special estimation has been found</t>
        </r>
      </text>
    </comment>
    <comment ref="E37" authorId="0" shapeId="0" xr:uid="{9C6A1AF6-3A64-42FE-9053-A58363E6935E}">
      <text>
        <r>
          <rPr>
            <sz val="9"/>
            <color indexed="81"/>
            <rFont val="Tahoma"/>
            <family val="2"/>
          </rPr>
          <t xml:space="preserve">F is not as effective free radical as Cl and Br, why the ODP of HFC:s is estimated to be close to 0
</t>
        </r>
      </text>
    </comment>
    <comment ref="F37" authorId="0" shapeId="0" xr:uid="{56DC156F-39EE-4035-81BE-80CEED2818E2}">
      <text>
        <r>
          <rPr>
            <sz val="9"/>
            <color indexed="81"/>
            <rFont val="Tahoma"/>
            <family val="2"/>
          </rPr>
          <t xml:space="preserve">ODP=0 is assumed to be an OK assumption
</t>
        </r>
      </text>
    </comment>
    <comment ref="G37" authorId="0" shapeId="0" xr:uid="{097B7774-18D7-46D1-9EDA-A1E811262865}">
      <text>
        <r>
          <rPr>
            <sz val="9"/>
            <color indexed="81"/>
            <rFont val="Tahoma"/>
            <family val="2"/>
          </rPr>
          <t xml:space="preserve">See note on CFC-11
</t>
        </r>
      </text>
    </comment>
    <comment ref="I37" authorId="0" shapeId="0" xr:uid="{76BBA663-D87A-45A0-A6EB-E169EDCF954A}">
      <text>
        <r>
          <rPr>
            <sz val="9"/>
            <color indexed="81"/>
            <rFont val="Tahoma"/>
            <family val="2"/>
          </rPr>
          <t xml:space="preserve">See note on CFC-11
</t>
        </r>
      </text>
    </comment>
    <comment ref="J37" authorId="0" shapeId="0" xr:uid="{65407343-5ABA-41E8-86E0-4406A603DA51}">
      <text>
        <r>
          <rPr>
            <sz val="9"/>
            <color indexed="81"/>
            <rFont val="Tahoma"/>
            <family val="2"/>
          </rPr>
          <t xml:space="preserve">See note on CFC-11
</t>
        </r>
      </text>
    </comment>
    <comment ref="A38" authorId="0" shapeId="0" xr:uid="{47836D2B-1549-4F84-AD27-A8F105F7FDC9}">
      <text>
        <r>
          <rPr>
            <sz val="9"/>
            <color indexed="81"/>
            <rFont val="Tahoma"/>
            <family val="2"/>
          </rPr>
          <t xml:space="preserve">CHF2CH2CF3
</t>
        </r>
      </text>
    </comment>
    <comment ref="C38" authorId="0" shapeId="0" xr:uid="{09B10541-6E26-417D-A224-69F06ED9B9EC}">
      <text>
        <r>
          <rPr>
            <sz val="9"/>
            <color indexed="81"/>
            <rFont val="Tahoma"/>
            <family val="2"/>
          </rPr>
          <t xml:space="preserve">IPCC, AR6, Table 7, SM7
</t>
        </r>
      </text>
    </comment>
    <comment ref="D38" authorId="0" shapeId="0" xr:uid="{AE934749-1230-4F2A-922B-58DEBA62CC27}">
      <text>
        <r>
          <rPr>
            <sz val="9"/>
            <color indexed="81"/>
            <rFont val="Tahoma"/>
            <family val="2"/>
          </rPr>
          <t>Assumed similar to CFC-11, but no special estimation has been found</t>
        </r>
      </text>
    </comment>
    <comment ref="E38" authorId="0" shapeId="0" xr:uid="{DF8C08FB-45CE-479A-95E4-2DE48C159D7F}">
      <text>
        <r>
          <rPr>
            <sz val="9"/>
            <color indexed="81"/>
            <rFont val="Tahoma"/>
            <family val="2"/>
          </rPr>
          <t xml:space="preserve">F is not as effective free radical as Cl and Br, why the ODP of HFC:s is estimated to be close to 0
</t>
        </r>
      </text>
    </comment>
    <comment ref="F38" authorId="0" shapeId="0" xr:uid="{276BA412-146B-4755-8311-D352B49C5C5C}">
      <text>
        <r>
          <rPr>
            <sz val="9"/>
            <color indexed="81"/>
            <rFont val="Tahoma"/>
            <family val="2"/>
          </rPr>
          <t xml:space="preserve">ODP=0 is assumed to be an OK assumption
</t>
        </r>
      </text>
    </comment>
    <comment ref="G38" authorId="0" shapeId="0" xr:uid="{C2AC5F43-F817-42DD-AD69-B40E3118F59D}">
      <text>
        <r>
          <rPr>
            <sz val="9"/>
            <color indexed="81"/>
            <rFont val="Tahoma"/>
            <family val="2"/>
          </rPr>
          <t xml:space="preserve">See note on CFC-11
</t>
        </r>
      </text>
    </comment>
    <comment ref="I38" authorId="0" shapeId="0" xr:uid="{619B4C23-8D2D-4485-B122-F99AC8456F36}">
      <text>
        <r>
          <rPr>
            <sz val="9"/>
            <color indexed="81"/>
            <rFont val="Tahoma"/>
            <family val="2"/>
          </rPr>
          <t xml:space="preserve">See note on CFC-11
</t>
        </r>
      </text>
    </comment>
    <comment ref="J38" authorId="0" shapeId="0" xr:uid="{4AB2CFD2-C007-432E-9E80-A5EE9FB684BF}">
      <text>
        <r>
          <rPr>
            <sz val="9"/>
            <color indexed="81"/>
            <rFont val="Tahoma"/>
            <family val="2"/>
          </rPr>
          <t xml:space="preserve">See note on CFC-11
</t>
        </r>
      </text>
    </comment>
    <comment ref="A39" authorId="0" shapeId="0" xr:uid="{B0760199-0BD2-4692-880D-B40026E2396A}">
      <text>
        <r>
          <rPr>
            <sz val="9"/>
            <color indexed="81"/>
            <rFont val="Tahoma"/>
            <family val="2"/>
          </rPr>
          <t xml:space="preserve">CH3CH2CF3
</t>
        </r>
      </text>
    </comment>
    <comment ref="C39" authorId="0" shapeId="0" xr:uid="{4899C616-46D6-4E4C-BA37-ACE7E706B2D2}">
      <text>
        <r>
          <rPr>
            <sz val="9"/>
            <color indexed="81"/>
            <rFont val="Tahoma"/>
            <family val="2"/>
          </rPr>
          <t xml:space="preserve">IPCC, AR6, Table 7, SM7
</t>
        </r>
      </text>
    </comment>
    <comment ref="D39" authorId="0" shapeId="0" xr:uid="{F6BDB658-CBEA-4EBD-A3C2-5CD9167555AC}">
      <text>
        <r>
          <rPr>
            <sz val="9"/>
            <color indexed="81"/>
            <rFont val="Tahoma"/>
            <family val="2"/>
          </rPr>
          <t>Assumed similar to CFC-11, but no special estimation has been found</t>
        </r>
      </text>
    </comment>
    <comment ref="E39" authorId="0" shapeId="0" xr:uid="{4A8D9CA3-0E82-461B-B377-6B10656E79E5}">
      <text>
        <r>
          <rPr>
            <sz val="9"/>
            <color indexed="81"/>
            <rFont val="Tahoma"/>
            <family val="2"/>
          </rPr>
          <t xml:space="preserve">F is not as effective free radical as Cl and Br, why the ODP of HFC:s is estimated to be close to 0
</t>
        </r>
      </text>
    </comment>
    <comment ref="F39" authorId="0" shapeId="0" xr:uid="{94976C8A-284B-4C99-A62E-47403EFDCDE8}">
      <text>
        <r>
          <rPr>
            <sz val="9"/>
            <color indexed="81"/>
            <rFont val="Tahoma"/>
            <family val="2"/>
          </rPr>
          <t xml:space="preserve">ODP=0 is assumed to be an OK assumption
</t>
        </r>
      </text>
    </comment>
    <comment ref="G39" authorId="0" shapeId="0" xr:uid="{17184300-1B10-442F-9959-6C308AA92072}">
      <text>
        <r>
          <rPr>
            <sz val="9"/>
            <color indexed="81"/>
            <rFont val="Tahoma"/>
            <family val="2"/>
          </rPr>
          <t xml:space="preserve">See note on CFC-11
</t>
        </r>
      </text>
    </comment>
    <comment ref="I39" authorId="0" shapeId="0" xr:uid="{C87D6E16-3BA6-4F55-A837-FF5CFA18E5ED}">
      <text>
        <r>
          <rPr>
            <sz val="9"/>
            <color indexed="81"/>
            <rFont val="Tahoma"/>
            <family val="2"/>
          </rPr>
          <t xml:space="preserve">See note on CFC-11
</t>
        </r>
      </text>
    </comment>
    <comment ref="J39" authorId="0" shapeId="0" xr:uid="{E81B528F-824F-4527-8AC0-D3040B2C05AC}">
      <text>
        <r>
          <rPr>
            <sz val="9"/>
            <color indexed="81"/>
            <rFont val="Tahoma"/>
            <family val="2"/>
          </rPr>
          <t xml:space="preserve">See note on CFC-11
</t>
        </r>
      </text>
    </comment>
    <comment ref="A40" authorId="0" shapeId="0" xr:uid="{FA760ACE-B13E-4430-88A3-F1ECACA34D52}">
      <text>
        <r>
          <rPr>
            <sz val="9"/>
            <color indexed="81"/>
            <rFont val="Tahoma"/>
            <family val="2"/>
          </rPr>
          <t xml:space="preserve">CH3CF2CH3
</t>
        </r>
      </text>
    </comment>
    <comment ref="C40" authorId="0" shapeId="0" xr:uid="{232EBD0C-BADB-4D23-BA63-687F5BDC7367}">
      <text>
        <r>
          <rPr>
            <sz val="9"/>
            <color indexed="81"/>
            <rFont val="Tahoma"/>
            <family val="2"/>
          </rPr>
          <t xml:space="preserve">IPCC, AR6, Table 7, SM7
</t>
        </r>
      </text>
    </comment>
    <comment ref="D40" authorId="0" shapeId="0" xr:uid="{4B851BEF-DC4A-4346-A6BA-1DD0CE011407}">
      <text>
        <r>
          <rPr>
            <sz val="9"/>
            <color indexed="81"/>
            <rFont val="Tahoma"/>
            <family val="2"/>
          </rPr>
          <t>Assumed similar to CFC-11, but no special estimation has been found</t>
        </r>
      </text>
    </comment>
    <comment ref="E40" authorId="0" shapeId="0" xr:uid="{9A295485-2711-4535-A557-48BA428F8E3D}">
      <text>
        <r>
          <rPr>
            <sz val="9"/>
            <color indexed="81"/>
            <rFont val="Tahoma"/>
            <family val="2"/>
          </rPr>
          <t xml:space="preserve">F is not as effective free radical as Cl and Br, why the ODP of HFC:s is estimated to be close to 0
</t>
        </r>
      </text>
    </comment>
    <comment ref="F40" authorId="0" shapeId="0" xr:uid="{957DD4CF-352B-4B4D-8B2D-4D9D4A8EB225}">
      <text>
        <r>
          <rPr>
            <sz val="9"/>
            <color indexed="81"/>
            <rFont val="Tahoma"/>
            <family val="2"/>
          </rPr>
          <t xml:space="preserve">ODP=0 is assumed to be an OK assumption
</t>
        </r>
      </text>
    </comment>
    <comment ref="G40" authorId="0" shapeId="0" xr:uid="{5703C559-7226-471A-ABF5-AD1CE28DC617}">
      <text>
        <r>
          <rPr>
            <sz val="9"/>
            <color indexed="81"/>
            <rFont val="Tahoma"/>
            <family val="2"/>
          </rPr>
          <t xml:space="preserve">See note on CFC-11
</t>
        </r>
      </text>
    </comment>
    <comment ref="I40" authorId="0" shapeId="0" xr:uid="{9D7BFABD-F06D-4102-B702-E9DF2A9823F6}">
      <text>
        <r>
          <rPr>
            <sz val="9"/>
            <color indexed="81"/>
            <rFont val="Tahoma"/>
            <family val="2"/>
          </rPr>
          <t xml:space="preserve">See note on CFC-11
</t>
        </r>
      </text>
    </comment>
    <comment ref="J40" authorId="0" shapeId="0" xr:uid="{DA42159A-9CEA-4EDC-8C89-6261EEC87D18}">
      <text>
        <r>
          <rPr>
            <sz val="9"/>
            <color indexed="81"/>
            <rFont val="Tahoma"/>
            <family val="2"/>
          </rPr>
          <t xml:space="preserve">See note on CFC-11
</t>
        </r>
      </text>
    </comment>
    <comment ref="A41" authorId="0" shapeId="0" xr:uid="{59491720-A159-4B53-B418-DF8375064B9A}">
      <text>
        <r>
          <rPr>
            <sz val="9"/>
            <color indexed="81"/>
            <rFont val="Tahoma"/>
            <family val="2"/>
          </rPr>
          <t xml:space="preserve">CHF2CF2CF2CF3
</t>
        </r>
      </text>
    </comment>
    <comment ref="C41" authorId="0" shapeId="0" xr:uid="{AFA06813-759E-4F0B-9E82-D6DE8FF583D2}">
      <text>
        <r>
          <rPr>
            <sz val="9"/>
            <color indexed="81"/>
            <rFont val="Tahoma"/>
            <family val="2"/>
          </rPr>
          <t xml:space="preserve">IPCC, AR6, Table 7, SM7
</t>
        </r>
      </text>
    </comment>
    <comment ref="D41" authorId="0" shapeId="0" xr:uid="{7810D305-2414-4FF8-AF07-189C7C8252A5}">
      <text>
        <r>
          <rPr>
            <sz val="9"/>
            <color indexed="81"/>
            <rFont val="Tahoma"/>
            <family val="2"/>
          </rPr>
          <t>Assumed similar to CFC-11, but no special estimation has been found</t>
        </r>
      </text>
    </comment>
    <comment ref="E41" authorId="0" shapeId="0" xr:uid="{796C4E17-1C44-4FF9-A532-078011B17D97}">
      <text>
        <r>
          <rPr>
            <sz val="9"/>
            <color indexed="81"/>
            <rFont val="Tahoma"/>
            <family val="2"/>
          </rPr>
          <t xml:space="preserve">F is not as effective free radical as Cl and Br, why the ODP of HFC:s is estimated to be close to 0
</t>
        </r>
      </text>
    </comment>
    <comment ref="F41" authorId="0" shapeId="0" xr:uid="{F97410E0-23F0-444A-B926-8B30E29E7A90}">
      <text>
        <r>
          <rPr>
            <sz val="9"/>
            <color indexed="81"/>
            <rFont val="Tahoma"/>
            <family val="2"/>
          </rPr>
          <t xml:space="preserve">ODP=0 is assumed to be an OK assumption
</t>
        </r>
      </text>
    </comment>
    <comment ref="G41" authorId="0" shapeId="0" xr:uid="{351E6C1F-1265-4292-8C4F-2ACF58DBCEAE}">
      <text>
        <r>
          <rPr>
            <sz val="9"/>
            <color indexed="81"/>
            <rFont val="Tahoma"/>
            <family val="2"/>
          </rPr>
          <t xml:space="preserve">See note on CFC-11
</t>
        </r>
      </text>
    </comment>
    <comment ref="I41" authorId="0" shapeId="0" xr:uid="{B6F30CDE-41A5-46C2-8DA1-B8EC82C13253}">
      <text>
        <r>
          <rPr>
            <sz val="9"/>
            <color indexed="81"/>
            <rFont val="Tahoma"/>
            <family val="2"/>
          </rPr>
          <t xml:space="preserve">See note on CFC-11
</t>
        </r>
      </text>
    </comment>
    <comment ref="J41" authorId="0" shapeId="0" xr:uid="{B38D3583-C202-481B-B61D-F08EE8BA2CFF}">
      <text>
        <r>
          <rPr>
            <sz val="9"/>
            <color indexed="81"/>
            <rFont val="Tahoma"/>
            <family val="2"/>
          </rPr>
          <t xml:space="preserve">See note on CFC-11
</t>
        </r>
      </text>
    </comment>
    <comment ref="A42" authorId="0" shapeId="0" xr:uid="{D990A7EE-9B09-413C-A068-0A5E0C06832B}">
      <text>
        <r>
          <rPr>
            <sz val="9"/>
            <color indexed="81"/>
            <rFont val="Tahoma"/>
            <family val="2"/>
          </rPr>
          <t xml:space="preserve">CH3CF2CH2CF3
</t>
        </r>
      </text>
    </comment>
    <comment ref="C42" authorId="0" shapeId="0" xr:uid="{C5AFE41E-C0F1-463D-9A0C-6C696895FF92}">
      <text>
        <r>
          <rPr>
            <sz val="9"/>
            <color indexed="81"/>
            <rFont val="Tahoma"/>
            <family val="2"/>
          </rPr>
          <t xml:space="preserve">IPCC, AR6, Table 7, SM7
</t>
        </r>
      </text>
    </comment>
    <comment ref="D42" authorId="0" shapeId="0" xr:uid="{DA55E852-1316-4B9D-A851-118EA3A0F113}">
      <text>
        <r>
          <rPr>
            <sz val="9"/>
            <color indexed="81"/>
            <rFont val="Tahoma"/>
            <family val="2"/>
          </rPr>
          <t>Assumed similar to CFC-11, but no special estimation has been found</t>
        </r>
      </text>
    </comment>
    <comment ref="E42" authorId="0" shapeId="0" xr:uid="{EECB586C-1751-4563-B312-4C6EA7205102}">
      <text>
        <r>
          <rPr>
            <sz val="9"/>
            <color indexed="81"/>
            <rFont val="Tahoma"/>
            <family val="2"/>
          </rPr>
          <t xml:space="preserve">F is not as effective free radical as Cl and Br, why the ODP of HFC:s is estimated to be close to 0
</t>
        </r>
      </text>
    </comment>
    <comment ref="F42" authorId="0" shapeId="0" xr:uid="{8218F28E-2832-4B17-BC67-1C1641EE2D41}">
      <text>
        <r>
          <rPr>
            <sz val="9"/>
            <color indexed="81"/>
            <rFont val="Tahoma"/>
            <family val="2"/>
          </rPr>
          <t xml:space="preserve">ODP=0 is assumed to be an OK assumption
</t>
        </r>
      </text>
    </comment>
    <comment ref="G42" authorId="0" shapeId="0" xr:uid="{36CC1E36-DE0A-4EF6-AB1D-BF0330BEA1C1}">
      <text>
        <r>
          <rPr>
            <sz val="9"/>
            <color indexed="81"/>
            <rFont val="Tahoma"/>
            <family val="2"/>
          </rPr>
          <t xml:space="preserve">See note on CFC-11
</t>
        </r>
      </text>
    </comment>
    <comment ref="I42" authorId="0" shapeId="0" xr:uid="{8F8F1A6D-7B70-4176-B00A-989F7A052A0C}">
      <text>
        <r>
          <rPr>
            <sz val="9"/>
            <color indexed="81"/>
            <rFont val="Tahoma"/>
            <family val="2"/>
          </rPr>
          <t xml:space="preserve">See note on CFC-11
</t>
        </r>
      </text>
    </comment>
    <comment ref="J42" authorId="0" shapeId="0" xr:uid="{2A744ADE-239C-4908-BF08-0C880141CEED}">
      <text>
        <r>
          <rPr>
            <sz val="9"/>
            <color indexed="81"/>
            <rFont val="Tahoma"/>
            <family val="2"/>
          </rPr>
          <t xml:space="preserve">See note on CFC-11
</t>
        </r>
      </text>
    </comment>
    <comment ref="A43" authorId="0" shapeId="0" xr:uid="{D991EFE2-5E0D-4844-9F5C-43D6284B6262}">
      <text>
        <r>
          <rPr>
            <sz val="9"/>
            <color indexed="81"/>
            <rFont val="Tahoma"/>
            <family val="2"/>
          </rPr>
          <t xml:space="preserve">CF3CHFCHFCF2CF3
</t>
        </r>
      </text>
    </comment>
    <comment ref="C43" authorId="0" shapeId="0" xr:uid="{278CD493-623B-40BA-BD17-D85432E059C0}">
      <text>
        <r>
          <rPr>
            <sz val="9"/>
            <color indexed="81"/>
            <rFont val="Tahoma"/>
            <family val="2"/>
          </rPr>
          <t xml:space="preserve">IPCC, AR6, Table 7, SM7
</t>
        </r>
      </text>
    </comment>
    <comment ref="D43" authorId="0" shapeId="0" xr:uid="{761049E1-5EF3-442B-B386-912F5978C066}">
      <text>
        <r>
          <rPr>
            <sz val="9"/>
            <color indexed="81"/>
            <rFont val="Tahoma"/>
            <family val="2"/>
          </rPr>
          <t>Assumed similar to CFC-11, but no special estimation has been found</t>
        </r>
      </text>
    </comment>
    <comment ref="E43" authorId="0" shapeId="0" xr:uid="{28DB95EE-D40B-45D6-A660-F81EB24F8873}">
      <text>
        <r>
          <rPr>
            <sz val="9"/>
            <color indexed="81"/>
            <rFont val="Tahoma"/>
            <family val="2"/>
          </rPr>
          <t xml:space="preserve">F is not as effective free radical as Cl and Br, why the ODP of HFC:s is estimated to be close to 0
</t>
        </r>
      </text>
    </comment>
    <comment ref="F43" authorId="0" shapeId="0" xr:uid="{1F1751C3-E688-464B-B966-F681A6BC23AF}">
      <text>
        <r>
          <rPr>
            <sz val="9"/>
            <color indexed="81"/>
            <rFont val="Tahoma"/>
            <family val="2"/>
          </rPr>
          <t xml:space="preserve">ODP=0 is assumed to be an OK assumption
</t>
        </r>
      </text>
    </comment>
    <comment ref="G43" authorId="0" shapeId="0" xr:uid="{531DBB05-C5B8-420A-91CD-234A21CBE9F8}">
      <text>
        <r>
          <rPr>
            <sz val="9"/>
            <color indexed="81"/>
            <rFont val="Tahoma"/>
            <family val="2"/>
          </rPr>
          <t xml:space="preserve">See note on CFC-11
</t>
        </r>
      </text>
    </comment>
    <comment ref="I43" authorId="0" shapeId="0" xr:uid="{F861E5B2-0579-4AA2-8A3A-CEE873EE94CF}">
      <text>
        <r>
          <rPr>
            <sz val="9"/>
            <color indexed="81"/>
            <rFont val="Tahoma"/>
            <family val="2"/>
          </rPr>
          <t xml:space="preserve">See note on CFC-11
</t>
        </r>
      </text>
    </comment>
    <comment ref="J43" authorId="0" shapeId="0" xr:uid="{E31A0467-06EA-41DE-AF80-FE5AA22A898D}">
      <text>
        <r>
          <rPr>
            <sz val="9"/>
            <color indexed="81"/>
            <rFont val="Tahoma"/>
            <family val="2"/>
          </rPr>
          <t xml:space="preserve">See note on CFC-11
</t>
        </r>
      </text>
    </comment>
    <comment ref="A44" authorId="0" shapeId="0" xr:uid="{B08B44C1-ED2D-4AF4-B336-DECC4A451976}">
      <text>
        <r>
          <rPr>
            <sz val="9"/>
            <color indexed="81"/>
            <rFont val="Tahoma"/>
            <family val="2"/>
          </rPr>
          <t xml:space="preserve">CHF=CF2
</t>
        </r>
      </text>
    </comment>
    <comment ref="C44" authorId="0" shapeId="0" xr:uid="{353C47F0-C37F-4383-9050-126BD479F036}">
      <text>
        <r>
          <rPr>
            <sz val="9"/>
            <color indexed="81"/>
            <rFont val="Tahoma"/>
            <family val="2"/>
          </rPr>
          <t xml:space="preserve">IPCC, AR6, Table 7, SM7
</t>
        </r>
      </text>
    </comment>
    <comment ref="D44" authorId="0" shapeId="0" xr:uid="{9253FC4B-86AF-4DC8-8054-01FFC3AE0CFF}">
      <text>
        <r>
          <rPr>
            <sz val="9"/>
            <color indexed="81"/>
            <rFont val="Tahoma"/>
            <family val="2"/>
          </rPr>
          <t>Assumed similar to CFC-11, but no special estimation has been found</t>
        </r>
      </text>
    </comment>
    <comment ref="E44" authorId="0" shapeId="0" xr:uid="{9B0224BA-DED1-48C3-BDB4-4C28FDC77AA0}">
      <text>
        <r>
          <rPr>
            <sz val="9"/>
            <color indexed="81"/>
            <rFont val="Tahoma"/>
            <family val="2"/>
          </rPr>
          <t xml:space="preserve">F is not as effective free radical as Cl and Br, why the ODP of HFC:s is estimated to be close to 0
</t>
        </r>
      </text>
    </comment>
    <comment ref="F44" authorId="0" shapeId="0" xr:uid="{CA179131-A9D0-4600-BDFA-B10DDC014235}">
      <text>
        <r>
          <rPr>
            <sz val="9"/>
            <color indexed="81"/>
            <rFont val="Tahoma"/>
            <family val="2"/>
          </rPr>
          <t xml:space="preserve">ODP=0 is assumed to be an OK assumption
</t>
        </r>
      </text>
    </comment>
    <comment ref="G44" authorId="0" shapeId="0" xr:uid="{612953B5-DAA8-40DE-AFC2-B0A0D0E98B97}">
      <text>
        <r>
          <rPr>
            <sz val="9"/>
            <color indexed="81"/>
            <rFont val="Tahoma"/>
            <family val="2"/>
          </rPr>
          <t xml:space="preserve">See note on CFC-11
</t>
        </r>
      </text>
    </comment>
    <comment ref="I44" authorId="0" shapeId="0" xr:uid="{653828AB-3CA9-4D35-8F98-59AA6B4F93D3}">
      <text>
        <r>
          <rPr>
            <sz val="9"/>
            <color indexed="81"/>
            <rFont val="Tahoma"/>
            <family val="2"/>
          </rPr>
          <t xml:space="preserve">See note on CFC-11
</t>
        </r>
      </text>
    </comment>
    <comment ref="J44" authorId="0" shapeId="0" xr:uid="{B10F3DBD-D5FA-4E14-ABC3-D04ED2AD9A3C}">
      <text>
        <r>
          <rPr>
            <sz val="9"/>
            <color indexed="81"/>
            <rFont val="Tahoma"/>
            <family val="2"/>
          </rPr>
          <t xml:space="preserve">See note on CFC-11
</t>
        </r>
      </text>
    </comment>
    <comment ref="A45" authorId="0" shapeId="0" xr:uid="{B34296DD-BEB8-4466-8962-1420EA59BECD}">
      <text>
        <r>
          <rPr>
            <sz val="9"/>
            <color indexed="81"/>
            <rFont val="Tahoma"/>
            <family val="2"/>
          </rPr>
          <t>CH2=CF2</t>
        </r>
        <r>
          <rPr>
            <b/>
            <sz val="9"/>
            <color indexed="81"/>
            <rFont val="Tahoma"/>
            <family val="2"/>
          </rPr>
          <t xml:space="preserve">
</t>
        </r>
        <r>
          <rPr>
            <sz val="9"/>
            <color indexed="81"/>
            <rFont val="Tahoma"/>
            <family val="2"/>
          </rPr>
          <t xml:space="preserve">
</t>
        </r>
      </text>
    </comment>
    <comment ref="C45" authorId="0" shapeId="0" xr:uid="{A2FD75E4-0A65-4B76-894F-B745A6B18853}">
      <text>
        <r>
          <rPr>
            <sz val="9"/>
            <color indexed="81"/>
            <rFont val="Tahoma"/>
            <family val="2"/>
          </rPr>
          <t xml:space="preserve">IPCC, AR6, Table 7, SM7
</t>
        </r>
      </text>
    </comment>
    <comment ref="D45" authorId="0" shapeId="0" xr:uid="{47A0DE98-2C01-4CCF-B170-6F799C144F09}">
      <text>
        <r>
          <rPr>
            <sz val="9"/>
            <color indexed="81"/>
            <rFont val="Tahoma"/>
            <family val="2"/>
          </rPr>
          <t>Assumed similar to CFC-11, but no special estimation has been found</t>
        </r>
      </text>
    </comment>
    <comment ref="E45" authorId="0" shapeId="0" xr:uid="{A3A7CF0D-D92A-433F-BCE5-2A33AEC10480}">
      <text>
        <r>
          <rPr>
            <sz val="9"/>
            <color indexed="81"/>
            <rFont val="Tahoma"/>
            <family val="2"/>
          </rPr>
          <t xml:space="preserve">F is not as effective free radical as Cl and Br, why the ODP of HFC:s is estimated to be close to 0
</t>
        </r>
      </text>
    </comment>
    <comment ref="F45" authorId="0" shapeId="0" xr:uid="{2652D6B0-5C4F-4695-92D3-8FBB9FD54D5B}">
      <text>
        <r>
          <rPr>
            <sz val="9"/>
            <color indexed="81"/>
            <rFont val="Tahoma"/>
            <family val="2"/>
          </rPr>
          <t xml:space="preserve">ODP=0 is assumed to be an OK assumption
</t>
        </r>
      </text>
    </comment>
    <comment ref="G45" authorId="0" shapeId="0" xr:uid="{2A2B23ED-CDB5-4362-8C9C-1AE84843AB57}">
      <text>
        <r>
          <rPr>
            <sz val="9"/>
            <color indexed="81"/>
            <rFont val="Tahoma"/>
            <family val="2"/>
          </rPr>
          <t xml:space="preserve">See note on CFC-11
</t>
        </r>
      </text>
    </comment>
    <comment ref="I45" authorId="0" shapeId="0" xr:uid="{2A9F6B76-61B9-4D69-BF77-3A642EF42747}">
      <text>
        <r>
          <rPr>
            <sz val="9"/>
            <color indexed="81"/>
            <rFont val="Tahoma"/>
            <family val="2"/>
          </rPr>
          <t xml:space="preserve">See note on CFC-11
</t>
        </r>
      </text>
    </comment>
    <comment ref="J45" authorId="0" shapeId="0" xr:uid="{0CFFC286-7D92-4A1B-96EE-2DD76DEFB293}">
      <text>
        <r>
          <rPr>
            <sz val="9"/>
            <color indexed="81"/>
            <rFont val="Tahoma"/>
            <family val="2"/>
          </rPr>
          <t xml:space="preserve">See note on CFC-11
</t>
        </r>
      </text>
    </comment>
    <comment ref="A46" authorId="0" shapeId="0" xr:uid="{77DE15BB-FC1F-4007-851B-C57ADC80296D}">
      <text>
        <r>
          <rPr>
            <sz val="9"/>
            <color indexed="81"/>
            <rFont val="Tahoma"/>
            <family val="2"/>
          </rPr>
          <t>CH2=CHF</t>
        </r>
      </text>
    </comment>
    <comment ref="C46" authorId="0" shapeId="0" xr:uid="{E3F4130A-F53B-4BE8-9ACE-0156C552ABA3}">
      <text>
        <r>
          <rPr>
            <sz val="9"/>
            <color indexed="81"/>
            <rFont val="Tahoma"/>
            <family val="2"/>
          </rPr>
          <t xml:space="preserve">IPCC, AR6, Table 7, SM7
</t>
        </r>
      </text>
    </comment>
    <comment ref="D46" authorId="0" shapeId="0" xr:uid="{419F2338-EEB3-413A-B290-659355BF5AA6}">
      <text>
        <r>
          <rPr>
            <sz val="9"/>
            <color indexed="81"/>
            <rFont val="Tahoma"/>
            <family val="2"/>
          </rPr>
          <t>Assumed similar to CFC-11, but no special estimation has been found</t>
        </r>
      </text>
    </comment>
    <comment ref="E46" authorId="0" shapeId="0" xr:uid="{AB8A4501-EE91-47C5-AA40-DA0CE4ECBD49}">
      <text>
        <r>
          <rPr>
            <sz val="9"/>
            <color indexed="81"/>
            <rFont val="Tahoma"/>
            <family val="2"/>
          </rPr>
          <t xml:space="preserve">F is not as effective free radical as Cl and Br, why the ODP of HFC:s is estimated to be close to 0
</t>
        </r>
      </text>
    </comment>
    <comment ref="F46" authorId="0" shapeId="0" xr:uid="{1E8930D4-6701-46A3-971F-D620AA3DE647}">
      <text>
        <r>
          <rPr>
            <sz val="9"/>
            <color indexed="81"/>
            <rFont val="Tahoma"/>
            <family val="2"/>
          </rPr>
          <t xml:space="preserve">ODP=0 is assumed to be an OK assumption
</t>
        </r>
      </text>
    </comment>
    <comment ref="G46" authorId="0" shapeId="0" xr:uid="{DA57DB87-389B-4BB7-BC47-8FC830741188}">
      <text>
        <r>
          <rPr>
            <sz val="9"/>
            <color indexed="81"/>
            <rFont val="Tahoma"/>
            <family val="2"/>
          </rPr>
          <t xml:space="preserve">See note on CFC-11
</t>
        </r>
      </text>
    </comment>
    <comment ref="I46" authorId="0" shapeId="0" xr:uid="{64550716-C85B-45D2-B364-360C7AE15497}">
      <text>
        <r>
          <rPr>
            <sz val="9"/>
            <color indexed="81"/>
            <rFont val="Tahoma"/>
            <family val="2"/>
          </rPr>
          <t xml:space="preserve">See note on CFC-11
</t>
        </r>
      </text>
    </comment>
    <comment ref="J46" authorId="0" shapeId="0" xr:uid="{A2DAF3B3-8AC2-4E76-B67A-D865D0FCB741}">
      <text>
        <r>
          <rPr>
            <sz val="9"/>
            <color indexed="81"/>
            <rFont val="Tahoma"/>
            <family val="2"/>
          </rPr>
          <t xml:space="preserve">See note on CFC-11
</t>
        </r>
      </text>
    </comment>
    <comment ref="A47" authorId="0" shapeId="0" xr:uid="{1A8CF129-7D1C-42E7-8864-6D44996E674D}">
      <text>
        <r>
          <rPr>
            <sz val="9"/>
            <color indexed="81"/>
            <rFont val="Tahoma"/>
            <family val="2"/>
          </rPr>
          <t>(Z)-CF3CF=CHF</t>
        </r>
      </text>
    </comment>
    <comment ref="C47" authorId="0" shapeId="0" xr:uid="{D71B21D9-F05C-440E-BF6F-165C89BF73F8}">
      <text>
        <r>
          <rPr>
            <sz val="9"/>
            <color indexed="81"/>
            <rFont val="Tahoma"/>
            <family val="2"/>
          </rPr>
          <t xml:space="preserve">IPCC, AR6, Table 7, SM7
</t>
        </r>
      </text>
    </comment>
    <comment ref="D47" authorId="0" shapeId="0" xr:uid="{ED17A9DA-ADB3-4DB6-8C91-65DA7720A034}">
      <text>
        <r>
          <rPr>
            <sz val="9"/>
            <color indexed="81"/>
            <rFont val="Tahoma"/>
            <family val="2"/>
          </rPr>
          <t>Assumed similar to CFC-11, but no special estimation has been found</t>
        </r>
      </text>
    </comment>
    <comment ref="E47" authorId="0" shapeId="0" xr:uid="{96699809-3678-4C0F-B799-A25FEED0C660}">
      <text>
        <r>
          <rPr>
            <sz val="9"/>
            <color indexed="81"/>
            <rFont val="Tahoma"/>
            <family val="2"/>
          </rPr>
          <t xml:space="preserve">F is not as effective free radical as Cl and Br, why the ODP of HFC:s is estimated to be close to 0
</t>
        </r>
      </text>
    </comment>
    <comment ref="F47" authorId="0" shapeId="0" xr:uid="{70999D94-1F0F-4919-83E4-2B7B9312AB91}">
      <text>
        <r>
          <rPr>
            <sz val="9"/>
            <color indexed="81"/>
            <rFont val="Tahoma"/>
            <family val="2"/>
          </rPr>
          <t xml:space="preserve">ODP=0 is assumed to be an OK assumption
</t>
        </r>
      </text>
    </comment>
    <comment ref="G47" authorId="0" shapeId="0" xr:uid="{EBF296F7-4288-4551-880E-6C87B41ED9DA}">
      <text>
        <r>
          <rPr>
            <sz val="9"/>
            <color indexed="81"/>
            <rFont val="Tahoma"/>
            <family val="2"/>
          </rPr>
          <t xml:space="preserve">See note on CFC-11
</t>
        </r>
      </text>
    </comment>
    <comment ref="I47" authorId="0" shapeId="0" xr:uid="{05F6D69C-D5C6-40A9-B5E2-62DF5DD35138}">
      <text>
        <r>
          <rPr>
            <sz val="9"/>
            <color indexed="81"/>
            <rFont val="Tahoma"/>
            <family val="2"/>
          </rPr>
          <t xml:space="preserve">See note on CFC-11
</t>
        </r>
      </text>
    </comment>
    <comment ref="J47" authorId="0" shapeId="0" xr:uid="{72591C8F-3927-42C6-B91C-80A12DC39D68}">
      <text>
        <r>
          <rPr>
            <sz val="9"/>
            <color indexed="81"/>
            <rFont val="Tahoma"/>
            <family val="2"/>
          </rPr>
          <t xml:space="preserve">See note on CFC-11
</t>
        </r>
      </text>
    </comment>
    <comment ref="A48" authorId="0" shapeId="0" xr:uid="{EB2885D1-E0D3-4BCD-ADB9-1065840018F6}">
      <text>
        <r>
          <rPr>
            <sz val="9"/>
            <color indexed="81"/>
            <rFont val="Tahoma"/>
            <family val="2"/>
          </rPr>
          <t xml:space="preserve">(E)-CF3CF=CHF
</t>
        </r>
      </text>
    </comment>
    <comment ref="C48" authorId="0" shapeId="0" xr:uid="{AEA29CEA-F6BC-4A97-A17F-8145B17B9C4D}">
      <text>
        <r>
          <rPr>
            <sz val="9"/>
            <color indexed="81"/>
            <rFont val="Tahoma"/>
            <family val="2"/>
          </rPr>
          <t xml:space="preserve">IPCC, AR6, Table 7, SM7
</t>
        </r>
      </text>
    </comment>
    <comment ref="D48" authorId="0" shapeId="0" xr:uid="{6E9EB661-3C9E-4B51-9303-CF2D0AE9D851}">
      <text>
        <r>
          <rPr>
            <sz val="9"/>
            <color indexed="81"/>
            <rFont val="Tahoma"/>
            <family val="2"/>
          </rPr>
          <t>Assumed similar to CFC-11, but no special estimation has been found</t>
        </r>
      </text>
    </comment>
    <comment ref="E48" authorId="0" shapeId="0" xr:uid="{0BFFE5F2-4EB3-4E18-BFA1-57BD4C8D6FA9}">
      <text>
        <r>
          <rPr>
            <sz val="9"/>
            <color indexed="81"/>
            <rFont val="Tahoma"/>
            <family val="2"/>
          </rPr>
          <t xml:space="preserve">F is not as effective free radical as Cl and Br, why the ODP of HFC:s is estimated to be close to 0
</t>
        </r>
      </text>
    </comment>
    <comment ref="F48" authorId="0" shapeId="0" xr:uid="{8E4421E7-02D7-4DA5-A768-FFB944331852}">
      <text>
        <r>
          <rPr>
            <sz val="9"/>
            <color indexed="81"/>
            <rFont val="Tahoma"/>
            <family val="2"/>
          </rPr>
          <t xml:space="preserve">ODP=0 is assumed to be an OK assumption
</t>
        </r>
      </text>
    </comment>
    <comment ref="G48" authorId="0" shapeId="0" xr:uid="{B1B96711-85D1-4A01-89CF-7C2E95FE052A}">
      <text>
        <r>
          <rPr>
            <sz val="9"/>
            <color indexed="81"/>
            <rFont val="Tahoma"/>
            <family val="2"/>
          </rPr>
          <t xml:space="preserve">See note on CFC-11
</t>
        </r>
      </text>
    </comment>
    <comment ref="I48" authorId="0" shapeId="0" xr:uid="{B0F7F07D-D010-4938-8349-A682B9D4EB08}">
      <text>
        <r>
          <rPr>
            <sz val="9"/>
            <color indexed="81"/>
            <rFont val="Tahoma"/>
            <family val="2"/>
          </rPr>
          <t xml:space="preserve">See note on CFC-11
</t>
        </r>
      </text>
    </comment>
    <comment ref="J48" authorId="0" shapeId="0" xr:uid="{E1306B14-51B8-4C38-B488-6FF2164F82B7}">
      <text>
        <r>
          <rPr>
            <sz val="9"/>
            <color indexed="81"/>
            <rFont val="Tahoma"/>
            <family val="2"/>
          </rPr>
          <t xml:space="preserve">See note on CFC-11
</t>
        </r>
      </text>
    </comment>
    <comment ref="A49" authorId="0" shapeId="0" xr:uid="{2431ABD6-A04B-4A02-944D-5DBF98BE2741}">
      <text>
        <r>
          <rPr>
            <sz val="9"/>
            <color indexed="81"/>
            <rFont val="Tahoma"/>
            <family val="2"/>
          </rPr>
          <t>(Z)-CF3CH=CHF</t>
        </r>
      </text>
    </comment>
    <comment ref="C49" authorId="0" shapeId="0" xr:uid="{ABA2BEBA-A475-490E-B1DB-9AA546AAC745}">
      <text>
        <r>
          <rPr>
            <sz val="9"/>
            <color indexed="81"/>
            <rFont val="Tahoma"/>
            <family val="2"/>
          </rPr>
          <t xml:space="preserve">IPCC, AR6, Table 7, SM7
</t>
        </r>
      </text>
    </comment>
    <comment ref="D49" authorId="0" shapeId="0" xr:uid="{DC68A542-0D83-45E7-A9DF-AC99B4F73ED9}">
      <text>
        <r>
          <rPr>
            <sz val="9"/>
            <color indexed="81"/>
            <rFont val="Tahoma"/>
            <family val="2"/>
          </rPr>
          <t>Assumed similar to CFC-11, but no special estimation has been found</t>
        </r>
      </text>
    </comment>
    <comment ref="E49" authorId="0" shapeId="0" xr:uid="{AE9100DB-1178-4817-A0D3-05E49C650E04}">
      <text>
        <r>
          <rPr>
            <sz val="9"/>
            <color indexed="81"/>
            <rFont val="Tahoma"/>
            <family val="2"/>
          </rPr>
          <t xml:space="preserve">F is not as effective free radical as Cl and Br, why the ODP of HFC:s is estimated to be close to 0
</t>
        </r>
      </text>
    </comment>
    <comment ref="F49" authorId="0" shapeId="0" xr:uid="{3FA02006-E6E5-46A5-A043-1C5120C9D196}">
      <text>
        <r>
          <rPr>
            <sz val="9"/>
            <color indexed="81"/>
            <rFont val="Tahoma"/>
            <family val="2"/>
          </rPr>
          <t xml:space="preserve">ODP=0 is assumed to be an OK assumption
</t>
        </r>
      </text>
    </comment>
    <comment ref="G49" authorId="0" shapeId="0" xr:uid="{61F264A6-192F-48DC-967C-DA357FA0813A}">
      <text>
        <r>
          <rPr>
            <sz val="9"/>
            <color indexed="81"/>
            <rFont val="Tahoma"/>
            <family val="2"/>
          </rPr>
          <t xml:space="preserve">See note on CFC-11
</t>
        </r>
      </text>
    </comment>
    <comment ref="I49" authorId="0" shapeId="0" xr:uid="{2D913CBC-1E99-4286-B9D4-44286F2EA15D}">
      <text>
        <r>
          <rPr>
            <sz val="9"/>
            <color indexed="81"/>
            <rFont val="Tahoma"/>
            <family val="2"/>
          </rPr>
          <t xml:space="preserve">See note on CFC-11
</t>
        </r>
      </text>
    </comment>
    <comment ref="J49" authorId="0" shapeId="0" xr:uid="{526F26D0-27EC-4562-BD6C-7D8D49BAA7B1}">
      <text>
        <r>
          <rPr>
            <sz val="9"/>
            <color indexed="81"/>
            <rFont val="Tahoma"/>
            <family val="2"/>
          </rPr>
          <t xml:space="preserve">See note on CFC-11
</t>
        </r>
      </text>
    </comment>
    <comment ref="A50" authorId="0" shapeId="0" xr:uid="{50581B64-C4F4-471B-B10D-7F6AE8697B83}">
      <text>
        <r>
          <rPr>
            <sz val="9"/>
            <color indexed="81"/>
            <rFont val="Tahoma"/>
            <family val="2"/>
          </rPr>
          <t xml:space="preserve">(E)-CF3CH=CHF
</t>
        </r>
      </text>
    </comment>
    <comment ref="C50" authorId="0" shapeId="0" xr:uid="{AC37BB51-5C0C-4E74-9511-0C1320751D15}">
      <text>
        <r>
          <rPr>
            <sz val="9"/>
            <color indexed="81"/>
            <rFont val="Tahoma"/>
            <family val="2"/>
          </rPr>
          <t xml:space="preserve">IPCC, AR6, Table 7, SM7
</t>
        </r>
      </text>
    </comment>
    <comment ref="D50" authorId="0" shapeId="0" xr:uid="{4A146A69-E49C-4BF5-A347-543C94D316DD}">
      <text>
        <r>
          <rPr>
            <sz val="9"/>
            <color indexed="81"/>
            <rFont val="Tahoma"/>
            <family val="2"/>
          </rPr>
          <t>Assumed similar to CFC-11, but no special estimation has been found</t>
        </r>
      </text>
    </comment>
    <comment ref="E50" authorId="0" shapeId="0" xr:uid="{6F4DC175-04FF-4D90-B506-4F8898D1A58E}">
      <text>
        <r>
          <rPr>
            <sz val="9"/>
            <color indexed="81"/>
            <rFont val="Tahoma"/>
            <family val="2"/>
          </rPr>
          <t xml:space="preserve">F is not as effective free radical as Cl and Br, why the ODP of HFC:s is estimated to be close to 0
</t>
        </r>
      </text>
    </comment>
    <comment ref="F50" authorId="0" shapeId="0" xr:uid="{8468EC4E-1781-4B1B-BFFE-E37D46CF4810}">
      <text>
        <r>
          <rPr>
            <sz val="9"/>
            <color indexed="81"/>
            <rFont val="Tahoma"/>
            <family val="2"/>
          </rPr>
          <t xml:space="preserve">ODP=0 is assumed to be an OK assumption
</t>
        </r>
      </text>
    </comment>
    <comment ref="G50" authorId="0" shapeId="0" xr:uid="{6332964A-875A-4208-AB2E-CB3971E12BA5}">
      <text>
        <r>
          <rPr>
            <sz val="9"/>
            <color indexed="81"/>
            <rFont val="Tahoma"/>
            <family val="2"/>
          </rPr>
          <t xml:space="preserve">See note on CFC-11
</t>
        </r>
      </text>
    </comment>
    <comment ref="I50" authorId="0" shapeId="0" xr:uid="{6CD06FB4-1922-4112-908F-7F519B920936}">
      <text>
        <r>
          <rPr>
            <sz val="9"/>
            <color indexed="81"/>
            <rFont val="Tahoma"/>
            <family val="2"/>
          </rPr>
          <t xml:space="preserve">See note on CFC-11
</t>
        </r>
      </text>
    </comment>
    <comment ref="J50" authorId="0" shapeId="0" xr:uid="{91BD669C-7FD5-427B-B829-2F804738F70A}">
      <text>
        <r>
          <rPr>
            <sz val="9"/>
            <color indexed="81"/>
            <rFont val="Tahoma"/>
            <family val="2"/>
          </rPr>
          <t xml:space="preserve">See note on CFC-11
</t>
        </r>
      </text>
    </comment>
    <comment ref="A51" authorId="0" shapeId="0" xr:uid="{2F770202-37E3-481E-9E7C-DFC73F9B9C9A}">
      <text>
        <r>
          <rPr>
            <sz val="9"/>
            <color indexed="81"/>
            <rFont val="Tahoma"/>
            <family val="2"/>
          </rPr>
          <t xml:space="preserve">CF3CF=CH2
</t>
        </r>
      </text>
    </comment>
    <comment ref="C51" authorId="0" shapeId="0" xr:uid="{546D7890-72AC-43AA-B6CF-87CD92426393}">
      <text>
        <r>
          <rPr>
            <sz val="9"/>
            <color indexed="81"/>
            <rFont val="Tahoma"/>
            <family val="2"/>
          </rPr>
          <t xml:space="preserve">IPCC, AR6, Table 7, SM7
</t>
        </r>
      </text>
    </comment>
    <comment ref="D51" authorId="0" shapeId="0" xr:uid="{3C40D198-7C14-490E-9D8C-D6FE5734CCB7}">
      <text>
        <r>
          <rPr>
            <sz val="9"/>
            <color indexed="81"/>
            <rFont val="Tahoma"/>
            <family val="2"/>
          </rPr>
          <t>Assumed similar to CFC-11, but no special estimation has been found</t>
        </r>
      </text>
    </comment>
    <comment ref="E51" authorId="0" shapeId="0" xr:uid="{AB3F8091-13E5-4A6D-A734-C61072DB0085}">
      <text>
        <r>
          <rPr>
            <sz val="9"/>
            <color indexed="81"/>
            <rFont val="Tahoma"/>
            <family val="2"/>
          </rPr>
          <t xml:space="preserve">F is not as effective free radical as Cl and Br, why the ODP of HFC:s is estimated to be close to 0
</t>
        </r>
      </text>
    </comment>
    <comment ref="F51" authorId="0" shapeId="0" xr:uid="{09C8FDCC-4BD2-454B-A116-FA083B5A497E}">
      <text>
        <r>
          <rPr>
            <sz val="9"/>
            <color indexed="81"/>
            <rFont val="Tahoma"/>
            <family val="2"/>
          </rPr>
          <t xml:space="preserve">ODP=0 is assumed to be an OK assumption
</t>
        </r>
      </text>
    </comment>
    <comment ref="G51" authorId="0" shapeId="0" xr:uid="{F1595125-CF5C-4B87-B43F-1E353AEEB6AA}">
      <text>
        <r>
          <rPr>
            <sz val="9"/>
            <color indexed="81"/>
            <rFont val="Tahoma"/>
            <family val="2"/>
          </rPr>
          <t xml:space="preserve">See note on CFC-11
</t>
        </r>
      </text>
    </comment>
    <comment ref="I51" authorId="0" shapeId="0" xr:uid="{DA0B3E6E-7A62-4294-86F0-A1883A8B27A6}">
      <text>
        <r>
          <rPr>
            <sz val="9"/>
            <color indexed="81"/>
            <rFont val="Tahoma"/>
            <family val="2"/>
          </rPr>
          <t xml:space="preserve">See note on CFC-11
</t>
        </r>
      </text>
    </comment>
    <comment ref="J51" authorId="0" shapeId="0" xr:uid="{AAA607D8-56B2-43F6-8441-317D4D74D6B5}">
      <text>
        <r>
          <rPr>
            <sz val="9"/>
            <color indexed="81"/>
            <rFont val="Tahoma"/>
            <family val="2"/>
          </rPr>
          <t xml:space="preserve">See note on CFC-11
</t>
        </r>
      </text>
    </comment>
    <comment ref="A52" authorId="0" shapeId="0" xr:uid="{8BE59981-0A17-4458-A5DF-521630E9ECA2}">
      <text>
        <r>
          <rPr>
            <sz val="9"/>
            <color indexed="81"/>
            <rFont val="Tahoma"/>
            <family val="2"/>
          </rPr>
          <t>(E)-CF3CH=CHCF3</t>
        </r>
      </text>
    </comment>
    <comment ref="C52" authorId="0" shapeId="0" xr:uid="{6EFE782B-D222-4943-8F47-8BCE2C8D080D}">
      <text>
        <r>
          <rPr>
            <sz val="9"/>
            <color indexed="81"/>
            <rFont val="Tahoma"/>
            <family val="2"/>
          </rPr>
          <t xml:space="preserve">IPCC, AR6, Table 7, SM7
</t>
        </r>
      </text>
    </comment>
    <comment ref="D52" authorId="0" shapeId="0" xr:uid="{B4F06AB0-E49C-42A7-A5FF-B168DA07AFD9}">
      <text>
        <r>
          <rPr>
            <sz val="9"/>
            <color indexed="81"/>
            <rFont val="Tahoma"/>
            <family val="2"/>
          </rPr>
          <t>Assumed similar to CFC-11, but no special estimation has been found</t>
        </r>
      </text>
    </comment>
    <comment ref="E52" authorId="0" shapeId="0" xr:uid="{6FC10D73-3BB2-44BD-910E-308F73F87FFB}">
      <text>
        <r>
          <rPr>
            <sz val="9"/>
            <color indexed="81"/>
            <rFont val="Tahoma"/>
            <family val="2"/>
          </rPr>
          <t xml:space="preserve">F is not as effective free radical as Cl and Br, why the ODP of HFC:s is estimated to be close to 0
</t>
        </r>
      </text>
    </comment>
    <comment ref="F52" authorId="0" shapeId="0" xr:uid="{CE54D557-ADCD-492A-941C-51BF2CBE7879}">
      <text>
        <r>
          <rPr>
            <sz val="9"/>
            <color indexed="81"/>
            <rFont val="Tahoma"/>
            <family val="2"/>
          </rPr>
          <t xml:space="preserve">ODP=0 is assumed to be an OK assumption
</t>
        </r>
      </text>
    </comment>
    <comment ref="G52" authorId="0" shapeId="0" xr:uid="{1F324EEF-9CC2-4A65-A4B8-84F56748307F}">
      <text>
        <r>
          <rPr>
            <sz val="9"/>
            <color indexed="81"/>
            <rFont val="Tahoma"/>
            <family val="2"/>
          </rPr>
          <t xml:space="preserve">See note on CFC-11
</t>
        </r>
      </text>
    </comment>
    <comment ref="I52" authorId="0" shapeId="0" xr:uid="{3A6030AF-F020-4BBC-A686-4DAE36D72A81}">
      <text>
        <r>
          <rPr>
            <sz val="9"/>
            <color indexed="81"/>
            <rFont val="Tahoma"/>
            <family val="2"/>
          </rPr>
          <t xml:space="preserve">See note on CFC-11
</t>
        </r>
      </text>
    </comment>
    <comment ref="J52" authorId="0" shapeId="0" xr:uid="{DA66EBC6-4596-4728-A059-7FA9E57280A5}">
      <text>
        <r>
          <rPr>
            <sz val="9"/>
            <color indexed="81"/>
            <rFont val="Tahoma"/>
            <family val="2"/>
          </rPr>
          <t xml:space="preserve">See note on CFC-11
</t>
        </r>
      </text>
    </comment>
    <comment ref="A53" authorId="0" shapeId="0" xr:uid="{ACBD8BAD-EDAE-4096-A927-17AF839D0DC4}">
      <text>
        <r>
          <rPr>
            <sz val="9"/>
            <color indexed="81"/>
            <rFont val="Tahoma"/>
            <family val="2"/>
          </rPr>
          <t xml:space="preserve">(Z)-CF3CH=CHCF3
</t>
        </r>
      </text>
    </comment>
    <comment ref="C53" authorId="0" shapeId="0" xr:uid="{23BBD637-9525-4725-B64F-08F548BAD6DC}">
      <text>
        <r>
          <rPr>
            <sz val="9"/>
            <color indexed="81"/>
            <rFont val="Tahoma"/>
            <family val="2"/>
          </rPr>
          <t xml:space="preserve">IPCC, AR6, Table 7, SM7
</t>
        </r>
      </text>
    </comment>
    <comment ref="D53" authorId="0" shapeId="0" xr:uid="{683EC271-00F8-4533-8601-498E0CBF0734}">
      <text>
        <r>
          <rPr>
            <sz val="9"/>
            <color indexed="81"/>
            <rFont val="Tahoma"/>
            <family val="2"/>
          </rPr>
          <t>Assumed similar to CFC-11, but no special estimation has been found</t>
        </r>
      </text>
    </comment>
    <comment ref="E53" authorId="0" shapeId="0" xr:uid="{2935DA61-726A-41B3-885B-52BB13B0F67B}">
      <text>
        <r>
          <rPr>
            <sz val="9"/>
            <color indexed="81"/>
            <rFont val="Tahoma"/>
            <family val="2"/>
          </rPr>
          <t xml:space="preserve">F is not as effective free radical as Cl and Br, why the ODP of HFC:s is estimated to be close to 0
</t>
        </r>
      </text>
    </comment>
    <comment ref="F53" authorId="0" shapeId="0" xr:uid="{890428C9-6C66-47F5-BCD6-7FA248A152EC}">
      <text>
        <r>
          <rPr>
            <sz val="9"/>
            <color indexed="81"/>
            <rFont val="Tahoma"/>
            <family val="2"/>
          </rPr>
          <t xml:space="preserve">ODP=0 is assumed to be an OK assumption
</t>
        </r>
      </text>
    </comment>
    <comment ref="G53" authorId="0" shapeId="0" xr:uid="{A3CEB584-CEF3-4AF7-93D6-64E0B97D1047}">
      <text>
        <r>
          <rPr>
            <sz val="9"/>
            <color indexed="81"/>
            <rFont val="Tahoma"/>
            <family val="2"/>
          </rPr>
          <t xml:space="preserve">See note on CFC-11
</t>
        </r>
      </text>
    </comment>
    <comment ref="I53" authorId="0" shapeId="0" xr:uid="{77B14D9A-8C10-4A90-9889-C18E569F0761}">
      <text>
        <r>
          <rPr>
            <sz val="9"/>
            <color indexed="81"/>
            <rFont val="Tahoma"/>
            <family val="2"/>
          </rPr>
          <t xml:space="preserve">See note on CFC-11
</t>
        </r>
      </text>
    </comment>
    <comment ref="J53" authorId="0" shapeId="0" xr:uid="{4CB486FA-7542-4129-8E5D-048728D60E73}">
      <text>
        <r>
          <rPr>
            <sz val="9"/>
            <color indexed="81"/>
            <rFont val="Tahoma"/>
            <family val="2"/>
          </rPr>
          <t xml:space="preserve">See note on CFC-11
</t>
        </r>
      </text>
    </comment>
    <comment ref="A54" authorId="0" shapeId="0" xr:uid="{DCD96C8B-B06C-4827-9A52-F72BE6A8536D}">
      <text>
        <r>
          <rPr>
            <sz val="9"/>
            <color indexed="81"/>
            <rFont val="Tahoma"/>
            <family val="2"/>
          </rPr>
          <t>CF3CH=CH2</t>
        </r>
      </text>
    </comment>
    <comment ref="D54" authorId="0" shapeId="0" xr:uid="{7628DEF6-0303-4B16-AFF7-7BC335BEF1BC}">
      <text>
        <r>
          <rPr>
            <sz val="9"/>
            <color indexed="81"/>
            <rFont val="Tahoma"/>
            <family val="2"/>
          </rPr>
          <t>Assumed similar to CFC-11, but no special estimation has been found</t>
        </r>
      </text>
    </comment>
    <comment ref="E54" authorId="0" shapeId="0" xr:uid="{83D36BF9-6664-4699-A75E-85343BA04BFC}">
      <text>
        <r>
          <rPr>
            <sz val="9"/>
            <color indexed="81"/>
            <rFont val="Tahoma"/>
            <family val="2"/>
          </rPr>
          <t xml:space="preserve">F is not as effective free radical as Cl and Br, why the ODP of HFC:s is estimated to be close to 0
</t>
        </r>
      </text>
    </comment>
    <comment ref="F54" authorId="0" shapeId="0" xr:uid="{2672AC71-4872-4A71-BEE0-8B2F7E325B5E}">
      <text>
        <r>
          <rPr>
            <sz val="9"/>
            <color indexed="81"/>
            <rFont val="Tahoma"/>
            <family val="2"/>
          </rPr>
          <t xml:space="preserve">ODP=0 is assumed to be an OK assumption
</t>
        </r>
      </text>
    </comment>
    <comment ref="G54" authorId="0" shapeId="0" xr:uid="{60DDCE90-8A51-4C40-9B43-AC4BDF6CAD67}">
      <text>
        <r>
          <rPr>
            <sz val="9"/>
            <color indexed="81"/>
            <rFont val="Tahoma"/>
            <family val="2"/>
          </rPr>
          <t xml:space="preserve">See note on CFC-11
</t>
        </r>
      </text>
    </comment>
    <comment ref="I54" authorId="0" shapeId="0" xr:uid="{08BB81B1-34DB-4BC3-B7DB-2BF03D068E3D}">
      <text>
        <r>
          <rPr>
            <sz val="9"/>
            <color indexed="81"/>
            <rFont val="Tahoma"/>
            <family val="2"/>
          </rPr>
          <t xml:space="preserve">See note on CFC-11
</t>
        </r>
      </text>
    </comment>
    <comment ref="J54" authorId="0" shapeId="0" xr:uid="{DE49A63D-0ECF-4516-8CD0-5F6A2AE008A5}">
      <text>
        <r>
          <rPr>
            <sz val="9"/>
            <color indexed="81"/>
            <rFont val="Tahoma"/>
            <family val="2"/>
          </rPr>
          <t xml:space="preserve">See note on CFC-11
</t>
        </r>
      </text>
    </comment>
    <comment ref="A55" authorId="0" shapeId="0" xr:uid="{E10EB5D2-7176-456D-A1E5-8F762946DBA5}">
      <text>
        <r>
          <rPr>
            <sz val="9"/>
            <color indexed="81"/>
            <rFont val="Tahoma"/>
            <family val="2"/>
          </rPr>
          <t xml:space="preserve">CF3CF2CH=CH2
</t>
        </r>
      </text>
    </comment>
    <comment ref="D55" authorId="0" shapeId="0" xr:uid="{DCFF1FDE-6691-426C-89DE-D0BC0693AC87}">
      <text>
        <r>
          <rPr>
            <sz val="9"/>
            <color indexed="81"/>
            <rFont val="Tahoma"/>
            <family val="2"/>
          </rPr>
          <t>Assumed similar to CFC-11, but no special estimation has been found</t>
        </r>
      </text>
    </comment>
    <comment ref="E55" authorId="0" shapeId="0" xr:uid="{994C8DF2-10BF-443C-B8BD-37E3772C222B}">
      <text>
        <r>
          <rPr>
            <sz val="9"/>
            <color indexed="81"/>
            <rFont val="Tahoma"/>
            <family val="2"/>
          </rPr>
          <t xml:space="preserve">F is not as effective free radical as Cl and Br, why the ODP of HFC:s is estimated to be close to 0
</t>
        </r>
      </text>
    </comment>
    <comment ref="F55" authorId="0" shapeId="0" xr:uid="{44287F65-45F8-447A-8BE6-2A112C80C096}">
      <text>
        <r>
          <rPr>
            <sz val="9"/>
            <color indexed="81"/>
            <rFont val="Tahoma"/>
            <family val="2"/>
          </rPr>
          <t xml:space="preserve">ODP=0 is assumed to be an OK assumption
</t>
        </r>
      </text>
    </comment>
    <comment ref="G55" authorId="0" shapeId="0" xr:uid="{EE4C7F07-0CC2-4D9F-AA8F-B6D4F4676DAD}">
      <text>
        <r>
          <rPr>
            <sz val="9"/>
            <color indexed="81"/>
            <rFont val="Tahoma"/>
            <family val="2"/>
          </rPr>
          <t xml:space="preserve">See note on CFC-11
</t>
        </r>
      </text>
    </comment>
    <comment ref="I55" authorId="0" shapeId="0" xr:uid="{1E6F387E-16C4-43E4-8246-BB4C58C9B0F9}">
      <text>
        <r>
          <rPr>
            <sz val="9"/>
            <color indexed="81"/>
            <rFont val="Tahoma"/>
            <family val="2"/>
          </rPr>
          <t xml:space="preserve">See note on CFC-11
</t>
        </r>
      </text>
    </comment>
    <comment ref="J55" authorId="0" shapeId="0" xr:uid="{A3BF59A1-1C1C-40EB-A77A-A94348ED8EC9}">
      <text>
        <r>
          <rPr>
            <sz val="9"/>
            <color indexed="81"/>
            <rFont val="Tahoma"/>
            <family val="2"/>
          </rPr>
          <t xml:space="preserve">See note on CFC-11
</t>
        </r>
      </text>
    </comment>
    <comment ref="A56" authorId="0" shapeId="0" xr:uid="{5EE374FB-3E22-40EB-939E-9E00E62BB3C1}">
      <text>
        <r>
          <rPr>
            <sz val="9"/>
            <color indexed="81"/>
            <rFont val="Tahoma"/>
            <family val="2"/>
          </rPr>
          <t xml:space="preserve">n-C4F9CH=CH2
</t>
        </r>
      </text>
    </comment>
    <comment ref="D56" authorId="0" shapeId="0" xr:uid="{2779C39E-067C-45F9-9FB6-DF5AEA8F7B4D}">
      <text>
        <r>
          <rPr>
            <sz val="9"/>
            <color indexed="81"/>
            <rFont val="Tahoma"/>
            <family val="2"/>
          </rPr>
          <t>Assumed similar to CFC-11, but no special estimation has been found</t>
        </r>
      </text>
    </comment>
    <comment ref="E56" authorId="0" shapeId="0" xr:uid="{32F938F1-1A04-44C3-B0A8-7B9DA3FDF6B6}">
      <text>
        <r>
          <rPr>
            <sz val="9"/>
            <color indexed="81"/>
            <rFont val="Tahoma"/>
            <family val="2"/>
          </rPr>
          <t xml:space="preserve">F is not as effective free radical as Cl and Br, why the ODP of HFC:s is estimated to be close to 0
</t>
        </r>
      </text>
    </comment>
    <comment ref="F56" authorId="0" shapeId="0" xr:uid="{45398F5D-F109-44D1-A906-1E8A3A2A25FD}">
      <text>
        <r>
          <rPr>
            <sz val="9"/>
            <color indexed="81"/>
            <rFont val="Tahoma"/>
            <family val="2"/>
          </rPr>
          <t xml:space="preserve">ODP=0 is assumed to be an OK assumption
</t>
        </r>
      </text>
    </comment>
    <comment ref="G56" authorId="0" shapeId="0" xr:uid="{6C77D5A0-7C07-4B73-98BD-481A86953725}">
      <text>
        <r>
          <rPr>
            <sz val="9"/>
            <color indexed="81"/>
            <rFont val="Tahoma"/>
            <family val="2"/>
          </rPr>
          <t xml:space="preserve">See note on CFC-11
</t>
        </r>
      </text>
    </comment>
    <comment ref="I56" authorId="0" shapeId="0" xr:uid="{F8AAC2BA-C92A-4C66-AE4E-FEB412BB8B4D}">
      <text>
        <r>
          <rPr>
            <sz val="9"/>
            <color indexed="81"/>
            <rFont val="Tahoma"/>
            <family val="2"/>
          </rPr>
          <t xml:space="preserve">See note on CFC-11
</t>
        </r>
      </text>
    </comment>
    <comment ref="J56" authorId="0" shapeId="0" xr:uid="{F89A997C-153F-4BB0-BF85-9DE42AC657B1}">
      <text>
        <r>
          <rPr>
            <sz val="9"/>
            <color indexed="81"/>
            <rFont val="Tahoma"/>
            <family val="2"/>
          </rPr>
          <t xml:space="preserve">See note on CFC-11
</t>
        </r>
      </text>
    </comment>
    <comment ref="A57" authorId="0" shapeId="0" xr:uid="{4AEB136C-C750-4DB4-BC9F-5B36EE6CE620}">
      <text>
        <r>
          <rPr>
            <sz val="9"/>
            <color indexed="81"/>
            <rFont val="Tahoma"/>
            <family val="2"/>
          </rPr>
          <t>n-C6F13CH=CH2</t>
        </r>
      </text>
    </comment>
    <comment ref="D57" authorId="0" shapeId="0" xr:uid="{7DCBEC1D-F9B9-440F-895D-688BE5AEA0BE}">
      <text>
        <r>
          <rPr>
            <sz val="9"/>
            <color indexed="81"/>
            <rFont val="Tahoma"/>
            <family val="2"/>
          </rPr>
          <t>Assumed similar to CFC-11, but no special estimation has been found</t>
        </r>
      </text>
    </comment>
    <comment ref="E57" authorId="0" shapeId="0" xr:uid="{9F68D397-14E7-47EE-9843-58F7A8C77021}">
      <text>
        <r>
          <rPr>
            <sz val="9"/>
            <color indexed="81"/>
            <rFont val="Tahoma"/>
            <family val="2"/>
          </rPr>
          <t xml:space="preserve">F is not as effective free radical as Cl and Br, why the ODP of HFC:s is estimated to be close to 0
</t>
        </r>
      </text>
    </comment>
    <comment ref="F57" authorId="0" shapeId="0" xr:uid="{2A4B42C5-4F31-47AD-802B-40D4D22F4DE7}">
      <text>
        <r>
          <rPr>
            <sz val="9"/>
            <color indexed="81"/>
            <rFont val="Tahoma"/>
            <family val="2"/>
          </rPr>
          <t xml:space="preserve">ODP=0 is assumed to be an OK assumption
</t>
        </r>
      </text>
    </comment>
    <comment ref="G57" authorId="0" shapeId="0" xr:uid="{50504BB7-3907-4123-B98B-F9420AAF9AB5}">
      <text>
        <r>
          <rPr>
            <sz val="9"/>
            <color indexed="81"/>
            <rFont val="Tahoma"/>
            <family val="2"/>
          </rPr>
          <t xml:space="preserve">See note on CFC-11
</t>
        </r>
      </text>
    </comment>
    <comment ref="I57" authorId="0" shapeId="0" xr:uid="{15B01CE8-F632-4C43-B29C-7752F0A0F674}">
      <text>
        <r>
          <rPr>
            <sz val="9"/>
            <color indexed="81"/>
            <rFont val="Tahoma"/>
            <family val="2"/>
          </rPr>
          <t xml:space="preserve">See note on CFC-11
</t>
        </r>
      </text>
    </comment>
    <comment ref="J57" authorId="0" shapeId="0" xr:uid="{2C2E6B82-3C4C-4F65-ABF5-A833F1053FE6}">
      <text>
        <r>
          <rPr>
            <sz val="9"/>
            <color indexed="81"/>
            <rFont val="Tahoma"/>
            <family val="2"/>
          </rPr>
          <t xml:space="preserve">See note on CFC-11
</t>
        </r>
      </text>
    </comment>
    <comment ref="A58" authorId="0" shapeId="0" xr:uid="{57FD03ED-5BFC-43E9-BFBA-BC4301D3AF5A}">
      <text>
        <r>
          <rPr>
            <sz val="9"/>
            <color indexed="81"/>
            <rFont val="Tahoma"/>
            <family val="2"/>
          </rPr>
          <t xml:space="preserve">n-C8F17CH=CH2
</t>
        </r>
      </text>
    </comment>
    <comment ref="D58" authorId="0" shapeId="0" xr:uid="{F5C9386E-6310-42D4-8150-E7F4C70515FC}">
      <text>
        <r>
          <rPr>
            <sz val="9"/>
            <color indexed="81"/>
            <rFont val="Tahoma"/>
            <family val="2"/>
          </rPr>
          <t>Assumed similar to CFC-11, but no special estimation has been found</t>
        </r>
      </text>
    </comment>
    <comment ref="E58" authorId="0" shapeId="0" xr:uid="{37E3B335-6039-4B2D-A68D-F2D8AB76AF67}">
      <text>
        <r>
          <rPr>
            <sz val="9"/>
            <color indexed="81"/>
            <rFont val="Tahoma"/>
            <family val="2"/>
          </rPr>
          <t xml:space="preserve">F is not as effective free radical as Cl and Br, why the ODP of HFC:s is estimated to be close to 0
</t>
        </r>
      </text>
    </comment>
    <comment ref="F58" authorId="0" shapeId="0" xr:uid="{534BED7F-BB7D-4968-91F1-A5BE4E325692}">
      <text>
        <r>
          <rPr>
            <sz val="9"/>
            <color indexed="81"/>
            <rFont val="Tahoma"/>
            <family val="2"/>
          </rPr>
          <t xml:space="preserve">ODP=0 is assumed to be an OK assumption
</t>
        </r>
      </text>
    </comment>
    <comment ref="G58" authorId="0" shapeId="0" xr:uid="{5999DE32-1B20-49FB-BEC8-1D7FFA33ED90}">
      <text>
        <r>
          <rPr>
            <sz val="9"/>
            <color indexed="81"/>
            <rFont val="Tahoma"/>
            <family val="2"/>
          </rPr>
          <t xml:space="preserve">See note on CFC-11
</t>
        </r>
      </text>
    </comment>
    <comment ref="I58" authorId="0" shapeId="0" xr:uid="{5738EBD5-B365-42E7-9F5B-801F35017170}">
      <text>
        <r>
          <rPr>
            <sz val="9"/>
            <color indexed="81"/>
            <rFont val="Tahoma"/>
            <family val="2"/>
          </rPr>
          <t xml:space="preserve">See note on CFC-11
</t>
        </r>
      </text>
    </comment>
    <comment ref="J58" authorId="0" shapeId="0" xr:uid="{3B1C680B-FE45-4480-8EFB-C318E0E62347}">
      <text>
        <r>
          <rPr>
            <sz val="9"/>
            <color indexed="81"/>
            <rFont val="Tahoma"/>
            <family val="2"/>
          </rPr>
          <t xml:space="preserve">See note on CFC-11
</t>
        </r>
      </text>
    </comment>
    <comment ref="A59" authorId="0" shapeId="0" xr:uid="{9A6E4912-C259-458B-9101-94ABBA0E78B9}">
      <text>
        <r>
          <rPr>
            <sz val="9"/>
            <color indexed="81"/>
            <rFont val="Tahoma"/>
            <family val="2"/>
          </rPr>
          <t xml:space="preserve">(CF3)2C=CH2
</t>
        </r>
      </text>
    </comment>
    <comment ref="D59" authorId="0" shapeId="0" xr:uid="{D1803655-3C99-4303-8003-3F46972A3E85}">
      <text>
        <r>
          <rPr>
            <sz val="9"/>
            <color indexed="81"/>
            <rFont val="Tahoma"/>
            <family val="2"/>
          </rPr>
          <t>Assumed similar to CFC-11, but no special estimation has been found</t>
        </r>
      </text>
    </comment>
    <comment ref="E59" authorId="0" shapeId="0" xr:uid="{C0E86564-03C7-48A5-BD94-4A6B21603648}">
      <text>
        <r>
          <rPr>
            <sz val="9"/>
            <color indexed="81"/>
            <rFont val="Tahoma"/>
            <family val="2"/>
          </rPr>
          <t xml:space="preserve">F is not as effective free radical as Cl and Br, why the ODP of HFC:s is estimated to be close to 0
</t>
        </r>
      </text>
    </comment>
    <comment ref="F59" authorId="0" shapeId="0" xr:uid="{B516111D-0BBB-4BAB-93B0-C6ADE504D81D}">
      <text>
        <r>
          <rPr>
            <sz val="9"/>
            <color indexed="81"/>
            <rFont val="Tahoma"/>
            <family val="2"/>
          </rPr>
          <t xml:space="preserve">ODP=0 is assumed to be an OK assumption
</t>
        </r>
      </text>
    </comment>
    <comment ref="G59" authorId="0" shapeId="0" xr:uid="{70E9C8F8-8796-4FBF-99BF-B03453D4C7EB}">
      <text>
        <r>
          <rPr>
            <sz val="9"/>
            <color indexed="81"/>
            <rFont val="Tahoma"/>
            <family val="2"/>
          </rPr>
          <t xml:space="preserve">See note on CFC-11
</t>
        </r>
      </text>
    </comment>
    <comment ref="I59" authorId="0" shapeId="0" xr:uid="{97146D81-2EB6-4A48-A30C-E962E67193EE}">
      <text>
        <r>
          <rPr>
            <sz val="9"/>
            <color indexed="81"/>
            <rFont val="Tahoma"/>
            <family val="2"/>
          </rPr>
          <t xml:space="preserve">See note on CFC-11
</t>
        </r>
      </text>
    </comment>
    <comment ref="J59" authorId="0" shapeId="0" xr:uid="{2E31C9AC-1326-4AF7-9328-554D80ACD693}">
      <text>
        <r>
          <rPr>
            <sz val="9"/>
            <color indexed="81"/>
            <rFont val="Tahoma"/>
            <family val="2"/>
          </rPr>
          <t xml:space="preserve">See note on CFC-11
</t>
        </r>
      </text>
    </comment>
    <comment ref="A60" authorId="0" shapeId="0" xr:uid="{9EDB349D-E4C7-46C4-ACFB-B1FF14084ADA}">
      <text>
        <r>
          <rPr>
            <sz val="9"/>
            <color indexed="81"/>
            <rFont val="Tahoma"/>
            <family val="2"/>
          </rPr>
          <t xml:space="preserve">cyc (-CF2CF2CF2CH2CH2-)
</t>
        </r>
      </text>
    </comment>
    <comment ref="D60" authorId="0" shapeId="0" xr:uid="{19BAF9C0-AA7F-46FF-9BCB-F826D15E042F}">
      <text>
        <r>
          <rPr>
            <sz val="9"/>
            <color indexed="81"/>
            <rFont val="Tahoma"/>
            <family val="2"/>
          </rPr>
          <t>Assumed similar to CFC-11, but no special estimation has been found</t>
        </r>
      </text>
    </comment>
    <comment ref="E60" authorId="0" shapeId="0" xr:uid="{507009B3-F6A1-41BF-B373-1D0F2C47112F}">
      <text>
        <r>
          <rPr>
            <sz val="9"/>
            <color indexed="81"/>
            <rFont val="Tahoma"/>
            <family val="2"/>
          </rPr>
          <t xml:space="preserve">F is not as effective free radical as Cl and Br, why the ODP of HFC:s is estimated to be close to 0
</t>
        </r>
      </text>
    </comment>
    <comment ref="F60" authorId="0" shapeId="0" xr:uid="{90020CA3-A618-4EC4-A59D-CF3AE22BB933}">
      <text>
        <r>
          <rPr>
            <sz val="9"/>
            <color indexed="81"/>
            <rFont val="Tahoma"/>
            <family val="2"/>
          </rPr>
          <t xml:space="preserve">ODP=0 is assumed to be an OK assumption
</t>
        </r>
      </text>
    </comment>
    <comment ref="G60" authorId="0" shapeId="0" xr:uid="{9F1F221B-5808-4B47-873F-EF5420C403F6}">
      <text>
        <r>
          <rPr>
            <sz val="9"/>
            <color indexed="81"/>
            <rFont val="Tahoma"/>
            <family val="2"/>
          </rPr>
          <t xml:space="preserve">See note on CFC-11
</t>
        </r>
      </text>
    </comment>
    <comment ref="I60" authorId="0" shapeId="0" xr:uid="{FDA7644C-2C0E-4EE2-A47F-426B8F7E2BA1}">
      <text>
        <r>
          <rPr>
            <sz val="9"/>
            <color indexed="81"/>
            <rFont val="Tahoma"/>
            <family val="2"/>
          </rPr>
          <t xml:space="preserve">See note on CFC-11
</t>
        </r>
      </text>
    </comment>
    <comment ref="J60" authorId="0" shapeId="0" xr:uid="{7DD796F0-9F2A-4788-8C3D-CAFCC16C0EAE}">
      <text>
        <r>
          <rPr>
            <sz val="9"/>
            <color indexed="81"/>
            <rFont val="Tahoma"/>
            <family val="2"/>
          </rPr>
          <t xml:space="preserve">See note on CFC-11
</t>
        </r>
      </text>
    </comment>
    <comment ref="A61" authorId="0" shapeId="0" xr:uid="{ADDFF097-04BF-46A8-A0D5-C902ACE8B0C3}">
      <text>
        <r>
          <rPr>
            <sz val="9"/>
            <color indexed="81"/>
            <rFont val="Tahoma"/>
            <family val="2"/>
          </rPr>
          <t xml:space="preserve">cyc
(-CF2CF2CF2CHFCH2-)
</t>
        </r>
      </text>
    </comment>
    <comment ref="D61" authorId="0" shapeId="0" xr:uid="{4B4954AA-ECE3-4533-B454-6E31D6781124}">
      <text>
        <r>
          <rPr>
            <sz val="9"/>
            <color indexed="81"/>
            <rFont val="Tahoma"/>
            <family val="2"/>
          </rPr>
          <t>Assumed similar to CFC-11, but no special estimation has been found</t>
        </r>
      </text>
    </comment>
    <comment ref="E61" authorId="0" shapeId="0" xr:uid="{F53A44B2-B55D-4F44-8B86-4524A0A83439}">
      <text>
        <r>
          <rPr>
            <sz val="9"/>
            <color indexed="81"/>
            <rFont val="Tahoma"/>
            <family val="2"/>
          </rPr>
          <t xml:space="preserve">F is not as effective free radical as Cl and Br, why the ODP of HFC:s is estimated to be close to 0
</t>
        </r>
      </text>
    </comment>
    <comment ref="F61" authorId="0" shapeId="0" xr:uid="{3D779F95-A03F-42ED-A863-59150CEF5048}">
      <text>
        <r>
          <rPr>
            <sz val="9"/>
            <color indexed="81"/>
            <rFont val="Tahoma"/>
            <family val="2"/>
          </rPr>
          <t xml:space="preserve">ODP=0 is assumed to be an OK assumption
</t>
        </r>
      </text>
    </comment>
    <comment ref="G61" authorId="0" shapeId="0" xr:uid="{5C130376-5EE0-4EEB-95CC-378F8AA05C99}">
      <text>
        <r>
          <rPr>
            <sz val="9"/>
            <color indexed="81"/>
            <rFont val="Tahoma"/>
            <family val="2"/>
          </rPr>
          <t xml:space="preserve">See note on CFC-11
</t>
        </r>
      </text>
    </comment>
    <comment ref="I61" authorId="0" shapeId="0" xr:uid="{CDBA9BF3-2EBC-4965-9F1D-3200FB61E3B8}">
      <text>
        <r>
          <rPr>
            <sz val="9"/>
            <color indexed="81"/>
            <rFont val="Tahoma"/>
            <family val="2"/>
          </rPr>
          <t xml:space="preserve">See note on CFC-11
</t>
        </r>
      </text>
    </comment>
    <comment ref="J61" authorId="0" shapeId="0" xr:uid="{83AD16DC-69C1-4309-9861-EF63C308BFEB}">
      <text>
        <r>
          <rPr>
            <sz val="9"/>
            <color indexed="81"/>
            <rFont val="Tahoma"/>
            <family val="2"/>
          </rPr>
          <t xml:space="preserve">See note on CFC-11
</t>
        </r>
      </text>
    </comment>
    <comment ref="A62" authorId="0" shapeId="0" xr:uid="{24A25A1A-057F-471F-B445-C01E835D047A}">
      <text>
        <r>
          <rPr>
            <sz val="9"/>
            <color indexed="81"/>
            <rFont val="Tahoma"/>
            <family val="2"/>
          </rPr>
          <t xml:space="preserve">cyc (-CF2CF2CF2CF=CH-)
</t>
        </r>
      </text>
    </comment>
    <comment ref="D62" authorId="0" shapeId="0" xr:uid="{1A8A4CBE-E90E-4810-940D-0EF8F71716CD}">
      <text>
        <r>
          <rPr>
            <sz val="9"/>
            <color indexed="81"/>
            <rFont val="Tahoma"/>
            <family val="2"/>
          </rPr>
          <t>Assumed similar to CFC-11, but no special estimation has been found</t>
        </r>
      </text>
    </comment>
    <comment ref="E62" authorId="0" shapeId="0" xr:uid="{F144B3A3-0781-42E6-A540-08D973C4DEC3}">
      <text>
        <r>
          <rPr>
            <sz val="9"/>
            <color indexed="81"/>
            <rFont val="Tahoma"/>
            <family val="2"/>
          </rPr>
          <t xml:space="preserve">F is not as effective free radical as Cl and Br, why the ODP of HFC:s is estimated to be close to 0
</t>
        </r>
      </text>
    </comment>
    <comment ref="F62" authorId="0" shapeId="0" xr:uid="{3AE7D76F-3CB4-44F3-932E-F315C8E79D02}">
      <text>
        <r>
          <rPr>
            <sz val="9"/>
            <color indexed="81"/>
            <rFont val="Tahoma"/>
            <family val="2"/>
          </rPr>
          <t xml:space="preserve">ODP=0 is assumed to be an OK assumption
</t>
        </r>
      </text>
    </comment>
    <comment ref="G62" authorId="0" shapeId="0" xr:uid="{84369E1C-FA2A-46D7-8116-CE3EB338AE12}">
      <text>
        <r>
          <rPr>
            <sz val="9"/>
            <color indexed="81"/>
            <rFont val="Tahoma"/>
            <family val="2"/>
          </rPr>
          <t xml:space="preserve">See note on CFC-11
</t>
        </r>
      </text>
    </comment>
    <comment ref="I62" authorId="0" shapeId="0" xr:uid="{C60DCE82-A18D-480D-BCA2-ABA1BF5E6D4D}">
      <text>
        <r>
          <rPr>
            <sz val="9"/>
            <color indexed="81"/>
            <rFont val="Tahoma"/>
            <family val="2"/>
          </rPr>
          <t xml:space="preserve">See note on CFC-11
</t>
        </r>
      </text>
    </comment>
    <comment ref="J62" authorId="0" shapeId="0" xr:uid="{97C55D93-DD97-4021-9298-63A3FD86B84F}">
      <text>
        <r>
          <rPr>
            <sz val="9"/>
            <color indexed="81"/>
            <rFont val="Tahoma"/>
            <family val="2"/>
          </rPr>
          <t xml:space="preserve">See note on CFC-11
</t>
        </r>
      </text>
    </comment>
    <comment ref="A63" authorId="0" shapeId="0" xr:uid="{919A729D-96F5-4848-812B-954444381CC7}">
      <text>
        <r>
          <rPr>
            <sz val="9"/>
            <color indexed="81"/>
            <rFont val="Tahoma"/>
            <family val="2"/>
          </rPr>
          <t xml:space="preserve">trans-cyc
(-CF2CF2CF2CHFCHF-)
</t>
        </r>
      </text>
    </comment>
    <comment ref="D63" authorId="0" shapeId="0" xr:uid="{C90C0E0E-B15D-46E1-B085-4F9C50918CD2}">
      <text>
        <r>
          <rPr>
            <sz val="9"/>
            <color indexed="81"/>
            <rFont val="Tahoma"/>
            <family val="2"/>
          </rPr>
          <t>Assumed similar to CFC-11, but no special estimation has been found</t>
        </r>
      </text>
    </comment>
    <comment ref="E63" authorId="0" shapeId="0" xr:uid="{8B276CE6-2F1D-487C-B9C7-4F85FFFC77CC}">
      <text>
        <r>
          <rPr>
            <sz val="9"/>
            <color indexed="81"/>
            <rFont val="Tahoma"/>
            <family val="2"/>
          </rPr>
          <t xml:space="preserve">F is not as effective free radical as Cl and Br, why the ODP of HFC:s is estimated to be close to 0
</t>
        </r>
      </text>
    </comment>
    <comment ref="F63" authorId="0" shapeId="0" xr:uid="{6A2E90C0-9167-433A-8D45-DF8CCF34901A}">
      <text>
        <r>
          <rPr>
            <sz val="9"/>
            <color indexed="81"/>
            <rFont val="Tahoma"/>
            <family val="2"/>
          </rPr>
          <t xml:space="preserve">ODP=0 is assumed to be an OK assumption
</t>
        </r>
      </text>
    </comment>
    <comment ref="G63" authorId="0" shapeId="0" xr:uid="{E519D352-FE42-4D35-A6AF-CCB79B2531AA}">
      <text>
        <r>
          <rPr>
            <sz val="9"/>
            <color indexed="81"/>
            <rFont val="Tahoma"/>
            <family val="2"/>
          </rPr>
          <t xml:space="preserve">See note on CFC-11
</t>
        </r>
      </text>
    </comment>
    <comment ref="I63" authorId="0" shapeId="0" xr:uid="{E7E54FA7-422F-4872-9A36-F69C2A4FA0BF}">
      <text>
        <r>
          <rPr>
            <sz val="9"/>
            <color indexed="81"/>
            <rFont val="Tahoma"/>
            <family val="2"/>
          </rPr>
          <t xml:space="preserve">See note on CFC-11
</t>
        </r>
      </text>
    </comment>
    <comment ref="J63" authorId="0" shapeId="0" xr:uid="{C3A04544-B3CA-460C-8B52-FE3A59472ED2}">
      <text>
        <r>
          <rPr>
            <sz val="9"/>
            <color indexed="81"/>
            <rFont val="Tahoma"/>
            <family val="2"/>
          </rPr>
          <t xml:space="preserve">See note on CFC-11
</t>
        </r>
      </text>
    </comment>
    <comment ref="A64" authorId="0" shapeId="0" xr:uid="{2880E1E7-74A9-4BA4-95C5-FD63136F5281}">
      <text>
        <r>
          <rPr>
            <sz val="9"/>
            <color indexed="81"/>
            <rFont val="Tahoma"/>
            <family val="2"/>
          </rPr>
          <t>(E)-(CF3)2CFCH=CHF</t>
        </r>
      </text>
    </comment>
    <comment ref="D64" authorId="0" shapeId="0" xr:uid="{7103240C-B61F-49B1-A3FD-AE5D433C49E5}">
      <text>
        <r>
          <rPr>
            <sz val="9"/>
            <color indexed="81"/>
            <rFont val="Tahoma"/>
            <family val="2"/>
          </rPr>
          <t>Assumed similar to CFC-11, but no special estimation has been found</t>
        </r>
      </text>
    </comment>
    <comment ref="E64" authorId="0" shapeId="0" xr:uid="{C076EC25-9590-4381-8B59-A4FD336CBCF5}">
      <text>
        <r>
          <rPr>
            <sz val="9"/>
            <color indexed="81"/>
            <rFont val="Tahoma"/>
            <family val="2"/>
          </rPr>
          <t xml:space="preserve">F is not as effective free radical as Cl and Br, why the ODP of HFC:s is estimated to be close to 0
</t>
        </r>
      </text>
    </comment>
    <comment ref="F64" authorId="0" shapeId="0" xr:uid="{E12D837A-8958-4DBA-9191-9979FCE8BD94}">
      <text>
        <r>
          <rPr>
            <sz val="9"/>
            <color indexed="81"/>
            <rFont val="Tahoma"/>
            <family val="2"/>
          </rPr>
          <t xml:space="preserve">ODP=0 is assumed to be an OK assumption
</t>
        </r>
      </text>
    </comment>
    <comment ref="G64" authorId="0" shapeId="0" xr:uid="{F39BE2D2-2C77-4E3C-A10B-58863EC75295}">
      <text>
        <r>
          <rPr>
            <sz val="9"/>
            <color indexed="81"/>
            <rFont val="Tahoma"/>
            <family val="2"/>
          </rPr>
          <t xml:space="preserve">See note on CFC-11
</t>
        </r>
      </text>
    </comment>
    <comment ref="I64" authorId="0" shapeId="0" xr:uid="{8503C2AD-6AAA-4D2C-8175-253B175FEEFA}">
      <text>
        <r>
          <rPr>
            <sz val="9"/>
            <color indexed="81"/>
            <rFont val="Tahoma"/>
            <family val="2"/>
          </rPr>
          <t xml:space="preserve">See note on CFC-11
</t>
        </r>
      </text>
    </comment>
    <comment ref="J64" authorId="0" shapeId="0" xr:uid="{5CAD4C9A-C79D-4601-842B-993F7FF112E6}">
      <text>
        <r>
          <rPr>
            <sz val="9"/>
            <color indexed="81"/>
            <rFont val="Tahoma"/>
            <family val="2"/>
          </rPr>
          <t xml:space="preserve">See note on CFC-11
</t>
        </r>
      </text>
    </comment>
    <comment ref="A65" authorId="0" shapeId="0" xr:uid="{4C9E1923-6A89-475A-BFE0-F5EDF162943B}">
      <text>
        <r>
          <rPr>
            <sz val="9"/>
            <color indexed="81"/>
            <rFont val="Tahoma"/>
            <family val="2"/>
          </rPr>
          <t xml:space="preserve">CF3(CF2)2CH=CH2
</t>
        </r>
      </text>
    </comment>
    <comment ref="D65" authorId="0" shapeId="0" xr:uid="{A09C51AF-D8C6-4107-A5E1-7F1606C0A755}">
      <text>
        <r>
          <rPr>
            <sz val="9"/>
            <color indexed="81"/>
            <rFont val="Tahoma"/>
            <family val="2"/>
          </rPr>
          <t>Assumed similar to CFC-11, but no special estimation has been found</t>
        </r>
      </text>
    </comment>
    <comment ref="E65" authorId="0" shapeId="0" xr:uid="{764C5406-5478-4507-91C8-5D84FB13AE01}">
      <text>
        <r>
          <rPr>
            <sz val="9"/>
            <color indexed="81"/>
            <rFont val="Tahoma"/>
            <family val="2"/>
          </rPr>
          <t xml:space="preserve">F is not as effective free radical as Cl and Br, why the ODP of HFC:s is estimated to be close to 0
</t>
        </r>
      </text>
    </comment>
    <comment ref="F65" authorId="0" shapeId="0" xr:uid="{5F9935DA-E521-4CAD-99EB-D835F872A8AC}">
      <text>
        <r>
          <rPr>
            <sz val="9"/>
            <color indexed="81"/>
            <rFont val="Tahoma"/>
            <family val="2"/>
          </rPr>
          <t xml:space="preserve">ODP=0 is assumed to be an OK assumption
</t>
        </r>
      </text>
    </comment>
    <comment ref="G65" authorId="0" shapeId="0" xr:uid="{270E82C1-42B5-46AC-BF9C-890145F05BFD}">
      <text>
        <r>
          <rPr>
            <sz val="9"/>
            <color indexed="81"/>
            <rFont val="Tahoma"/>
            <family val="2"/>
          </rPr>
          <t xml:space="preserve">See note on CFC-11
</t>
        </r>
      </text>
    </comment>
    <comment ref="I65" authorId="0" shapeId="0" xr:uid="{6F5D9353-FB04-45B4-9A43-BF24397FE18D}">
      <text>
        <r>
          <rPr>
            <sz val="9"/>
            <color indexed="81"/>
            <rFont val="Tahoma"/>
            <family val="2"/>
          </rPr>
          <t xml:space="preserve">See note on CFC-11
</t>
        </r>
      </text>
    </comment>
    <comment ref="J65" authorId="0" shapeId="0" xr:uid="{A2A5C569-6CF7-4406-A956-7657582A293F}">
      <text>
        <r>
          <rPr>
            <sz val="9"/>
            <color indexed="81"/>
            <rFont val="Tahoma"/>
            <family val="2"/>
          </rPr>
          <t xml:space="preserve">See note on CFC-11
</t>
        </r>
      </text>
    </comment>
    <comment ref="A66" authorId="0" shapeId="0" xr:uid="{EA1A8C61-787B-48CD-9878-B4DC7BC25A79}">
      <text>
        <r>
          <rPr>
            <sz val="9"/>
            <color indexed="81"/>
            <rFont val="Tahoma"/>
            <family val="2"/>
          </rPr>
          <t>cyc (-CH=CFCF2CF2-)</t>
        </r>
      </text>
    </comment>
    <comment ref="D66" authorId="0" shapeId="0" xr:uid="{3F9F7976-EFE4-4723-A580-18DF119DBCF4}">
      <text>
        <r>
          <rPr>
            <sz val="9"/>
            <color indexed="81"/>
            <rFont val="Tahoma"/>
            <family val="2"/>
          </rPr>
          <t>Assumed similar to CFC-11, but no special estimation has been found</t>
        </r>
      </text>
    </comment>
    <comment ref="E66" authorId="0" shapeId="0" xr:uid="{334B53A9-1A8A-4BF6-9B2B-4467215DE3A0}">
      <text>
        <r>
          <rPr>
            <sz val="9"/>
            <color indexed="81"/>
            <rFont val="Tahoma"/>
            <family val="2"/>
          </rPr>
          <t xml:space="preserve">F is not as effective free radical as Cl and Br, why the ODP of HFC:s is estimated to be close to 0
</t>
        </r>
      </text>
    </comment>
    <comment ref="F66" authorId="0" shapeId="0" xr:uid="{5FD99B78-F415-480D-AE1F-4CD39B820A05}">
      <text>
        <r>
          <rPr>
            <sz val="9"/>
            <color indexed="81"/>
            <rFont val="Tahoma"/>
            <family val="2"/>
          </rPr>
          <t xml:space="preserve">ODP=0 is assumed to be an OK assumption
</t>
        </r>
      </text>
    </comment>
    <comment ref="G66" authorId="0" shapeId="0" xr:uid="{E196066B-98DF-4F28-B4C5-C968B0042B9D}">
      <text>
        <r>
          <rPr>
            <sz val="9"/>
            <color indexed="81"/>
            <rFont val="Tahoma"/>
            <family val="2"/>
          </rPr>
          <t xml:space="preserve">See note on CFC-11
</t>
        </r>
      </text>
    </comment>
    <comment ref="I66" authorId="0" shapeId="0" xr:uid="{3131CB79-4051-4FC8-A99A-D25CD07FE857}">
      <text>
        <r>
          <rPr>
            <sz val="9"/>
            <color indexed="81"/>
            <rFont val="Tahoma"/>
            <family val="2"/>
          </rPr>
          <t xml:space="preserve">See note on CFC-11
</t>
        </r>
      </text>
    </comment>
    <comment ref="J66" authorId="0" shapeId="0" xr:uid="{92ACF4F9-9E3E-422C-92A8-25D624241C76}">
      <text>
        <r>
          <rPr>
            <sz val="9"/>
            <color indexed="81"/>
            <rFont val="Tahoma"/>
            <family val="2"/>
          </rPr>
          <t xml:space="preserve">See note on CFC-11
</t>
        </r>
      </text>
    </comment>
    <comment ref="A67" authorId="0" shapeId="0" xr:uid="{C9D589FB-0ED4-46B4-8979-4FCA62EC79E9}">
      <text>
        <r>
          <rPr>
            <sz val="9"/>
            <color indexed="81"/>
            <rFont val="Tahoma"/>
            <family val="2"/>
          </rPr>
          <t xml:space="preserve">cyc (-CH=CHCF2CF2-)
</t>
        </r>
      </text>
    </comment>
    <comment ref="D67" authorId="0" shapeId="0" xr:uid="{75CA2864-589B-4F84-84A0-940249A93668}">
      <text>
        <r>
          <rPr>
            <sz val="9"/>
            <color indexed="81"/>
            <rFont val="Tahoma"/>
            <family val="2"/>
          </rPr>
          <t>Assumed similar to CFC-11, but no special estimation has been found</t>
        </r>
      </text>
    </comment>
    <comment ref="E67" authorId="0" shapeId="0" xr:uid="{18DFB34F-FC05-4F92-A76E-24BE61B70595}">
      <text>
        <r>
          <rPr>
            <sz val="9"/>
            <color indexed="81"/>
            <rFont val="Tahoma"/>
            <family val="2"/>
          </rPr>
          <t xml:space="preserve">F is not as effective free radical as Cl and Br, why the ODP of HFC:s is estimated to be close to 0
</t>
        </r>
      </text>
    </comment>
    <comment ref="F67" authorId="0" shapeId="0" xr:uid="{A59EA79B-9561-4E05-B9D6-600506244ED1}">
      <text>
        <r>
          <rPr>
            <sz val="9"/>
            <color indexed="81"/>
            <rFont val="Tahoma"/>
            <family val="2"/>
          </rPr>
          <t xml:space="preserve">ODP=0 is assumed to be an OK assumption
</t>
        </r>
      </text>
    </comment>
    <comment ref="G67" authorId="0" shapeId="0" xr:uid="{DFDF39CA-833F-4AC5-B297-DC098EDDAB59}">
      <text>
        <r>
          <rPr>
            <sz val="9"/>
            <color indexed="81"/>
            <rFont val="Tahoma"/>
            <family val="2"/>
          </rPr>
          <t xml:space="preserve">See note on CFC-11
</t>
        </r>
      </text>
    </comment>
    <comment ref="I67" authorId="0" shapeId="0" xr:uid="{0B03AD34-E99E-4621-841F-E46169136DC6}">
      <text>
        <r>
          <rPr>
            <sz val="9"/>
            <color indexed="81"/>
            <rFont val="Tahoma"/>
            <family val="2"/>
          </rPr>
          <t xml:space="preserve">See note on CFC-11
</t>
        </r>
      </text>
    </comment>
    <comment ref="J67" authorId="0" shapeId="0" xr:uid="{2547ACB2-8E16-4D99-B391-D817B5E9DB49}">
      <text>
        <r>
          <rPr>
            <sz val="9"/>
            <color indexed="81"/>
            <rFont val="Tahoma"/>
            <family val="2"/>
          </rPr>
          <t xml:space="preserve">See note on CFC-11
</t>
        </r>
      </text>
    </comment>
    <comment ref="A69" authorId="0" shapeId="0" xr:uid="{00000000-0006-0000-0900-000050000000}">
      <text>
        <r>
          <rPr>
            <sz val="9"/>
            <color indexed="81"/>
            <rFont val="Tahoma"/>
            <family val="2"/>
          </rPr>
          <t xml:space="preserve">= CHFCl2 
</t>
        </r>
      </text>
    </comment>
    <comment ref="C69" authorId="0" shapeId="0" xr:uid="{CDC5ED00-1BCD-4C65-B148-C6CF292B48B1}">
      <text>
        <r>
          <rPr>
            <sz val="8"/>
            <color indexed="81"/>
            <rFont val="Tahoma"/>
            <family val="2"/>
          </rPr>
          <t xml:space="preserve">(IPCC AR6 WGI Table 7.SM.7)
</t>
        </r>
      </text>
    </comment>
    <comment ref="D69" authorId="0" shapeId="0" xr:uid="{1BBE6125-06F4-4578-AF00-468FA4EE9CA5}">
      <text>
        <r>
          <rPr>
            <sz val="9"/>
            <color indexed="81"/>
            <rFont val="Tahoma"/>
            <family val="2"/>
          </rPr>
          <t xml:space="preserve">GWP100 is 292 according to
https://csl.noaa.gov/groups/csl5/datasets/data/hcfcs/Summary%20C1%20Compounds.pdf
</t>
        </r>
      </text>
    </comment>
    <comment ref="E69" authorId="0" shapeId="0" xr:uid="{00000000-0006-0000-0900-000052000000}">
      <text>
        <r>
          <rPr>
            <sz val="9"/>
            <color indexed="81"/>
            <rFont val="Tahoma"/>
            <family val="2"/>
          </rPr>
          <t>The Montreal Protocol on Substances that Deplete the Ozone Layer. UNEP, 2000. ISBN 92-807-1888-6</t>
        </r>
      </text>
    </comment>
    <comment ref="F69" authorId="0" shapeId="0" xr:uid="{83F8FD62-444B-4EEF-9334-98D5EF668D54}">
      <text>
        <r>
          <rPr>
            <sz val="9"/>
            <color indexed="81"/>
            <rFont val="Tahoma"/>
            <family val="2"/>
          </rPr>
          <t xml:space="preserve">ODP is 0.053 according to
https://csl.noaa.gov/groups/csl5/datasets/data/hcfcs/Summary%20C1%20Compounds.pdf </t>
        </r>
      </text>
    </comment>
    <comment ref="G69" authorId="0" shapeId="0" xr:uid="{00000000-0006-0000-0900-000053000000}">
      <text>
        <r>
          <rPr>
            <sz val="9"/>
            <color indexed="81"/>
            <rFont val="Tahoma"/>
            <family val="2"/>
          </rPr>
          <t xml:space="preserve">See note on CFC-11
</t>
        </r>
      </text>
    </comment>
    <comment ref="I69" authorId="0" shapeId="0" xr:uid="{00000000-0006-0000-0900-000054000000}">
      <text>
        <r>
          <rPr>
            <sz val="9"/>
            <color indexed="81"/>
            <rFont val="Tahoma"/>
            <family val="2"/>
          </rPr>
          <t xml:space="preserve">See notes on CFC11
</t>
        </r>
      </text>
    </comment>
    <comment ref="J69" authorId="0" shapeId="0" xr:uid="{00000000-0006-0000-0900-000055000000}">
      <text>
        <r>
          <rPr>
            <sz val="9"/>
            <color indexed="81"/>
            <rFont val="Tahoma"/>
            <family val="2"/>
          </rPr>
          <t xml:space="preserve">See notes on CFC11
</t>
        </r>
      </text>
    </comment>
    <comment ref="A70" authorId="0" shapeId="0" xr:uid="{00000000-0006-0000-0900-000056000000}">
      <text>
        <r>
          <rPr>
            <sz val="9"/>
            <color indexed="81"/>
            <rFont val="Tahoma"/>
            <family val="2"/>
          </rPr>
          <t xml:space="preserve">=Chlorodifluoromethane or R22
</t>
        </r>
      </text>
    </comment>
    <comment ref="C70" authorId="0" shapeId="0" xr:uid="{44E3519E-7533-49C3-800B-A9FDFCC0039B}">
      <text>
        <r>
          <rPr>
            <sz val="8"/>
            <color indexed="81"/>
            <rFont val="Tahoma"/>
            <family val="2"/>
          </rPr>
          <t xml:space="preserve">(IPCC AR6 WGI Table 7.SM.7)
</t>
        </r>
      </text>
    </comment>
    <comment ref="D70" authorId="0" shapeId="0" xr:uid="{6A29E4A2-AC08-41D5-951D-4931550B7D02}">
      <text>
        <r>
          <rPr>
            <sz val="9"/>
            <color indexed="81"/>
            <rFont val="Tahoma"/>
            <family val="2"/>
          </rPr>
          <t xml:space="preserve">GWP100 is 1138 according to https://csl.noaa.gov/groups/csl5/datasets/data/hcfcs/Summary%20C1%20Compounds.pdf (2018) and 1760 according to WMO (2014)
</t>
        </r>
      </text>
    </comment>
    <comment ref="E70" authorId="0" shapeId="0" xr:uid="{00000000-0006-0000-0900-000058000000}">
      <text>
        <r>
          <rPr>
            <sz val="9"/>
            <color indexed="81"/>
            <rFont val="Tahoma"/>
            <family val="2"/>
          </rPr>
          <t xml:space="preserve">The Montreal Protocol on Substances that Deplete the Ozone Layer. UNEP, 2000. ISBN 92-807-1888-6
</t>
        </r>
      </text>
    </comment>
    <comment ref="F70" authorId="0" shapeId="0" xr:uid="{CC67885A-9E88-44C2-9F7A-93114D114669}">
      <text>
        <r>
          <rPr>
            <sz val="9"/>
            <color indexed="81"/>
            <rFont val="Tahoma"/>
            <family val="2"/>
          </rPr>
          <t>ODP is 0.032 according to https://csl.noaa.gov/groups/csl5/datasets/data/hcfcs/Summary%20C1%20Compounds.pdf (2018)</t>
        </r>
      </text>
    </comment>
    <comment ref="G70" authorId="0" shapeId="0" xr:uid="{00000000-0006-0000-0900-000059000000}">
      <text>
        <r>
          <rPr>
            <sz val="9"/>
            <color indexed="81"/>
            <rFont val="Tahoma"/>
            <family val="2"/>
          </rPr>
          <t xml:space="preserve">See note on CFC-11
</t>
        </r>
      </text>
    </comment>
    <comment ref="I70" authorId="0" shapeId="0" xr:uid="{00000000-0006-0000-0900-00005A000000}">
      <text>
        <r>
          <rPr>
            <sz val="9"/>
            <color indexed="81"/>
            <rFont val="Tahoma"/>
            <family val="2"/>
          </rPr>
          <t xml:space="preserve">See notes on CFC11
</t>
        </r>
      </text>
    </comment>
    <comment ref="J70" authorId="0" shapeId="0" xr:uid="{00000000-0006-0000-0900-00005B000000}">
      <text>
        <r>
          <rPr>
            <sz val="9"/>
            <color indexed="81"/>
            <rFont val="Tahoma"/>
            <family val="2"/>
          </rPr>
          <t xml:space="preserve">See notes on CFC11
</t>
        </r>
      </text>
    </comment>
    <comment ref="A71" authorId="0" shapeId="0" xr:uid="{00000000-0006-0000-0900-00005C000000}">
      <text>
        <r>
          <rPr>
            <sz val="9"/>
            <color indexed="81"/>
            <rFont val="Tahoma"/>
            <family val="2"/>
          </rPr>
          <t>CH2FCl
Chlorofluoromethane</t>
        </r>
      </text>
    </comment>
    <comment ref="C71" authorId="0" shapeId="0" xr:uid="{61CDE5F8-8801-4B36-9D06-6A68129D3AAD}">
      <text>
        <r>
          <rPr>
            <sz val="8"/>
            <color indexed="81"/>
            <rFont val="Tahoma"/>
            <family val="2"/>
          </rPr>
          <t xml:space="preserve">(IPCC AR6 WGI Table 7.SM.7)
</t>
        </r>
      </text>
    </comment>
    <comment ref="D71" authorId="0" shapeId="0" xr:uid="{196F870B-14E8-47CE-9ECB-C19101F05825}">
      <text>
        <r>
          <rPr>
            <sz val="9"/>
            <color indexed="81"/>
            <rFont val="Tahoma"/>
            <family val="2"/>
          </rPr>
          <t xml:space="preserve">Uncertainty estimated from difference to and between well-mixed (65) and life time adjusted (47) GWP in https://csl.noaa.gov/groups/csl5/datasets/data/hcfcs/Summary%20C2%20Compounds.pdf
</t>
        </r>
      </text>
    </comment>
    <comment ref="E71" authorId="0" shapeId="0" xr:uid="{9D68AA4F-334A-4C41-A5EC-701BC31C55DD}">
      <text>
        <r>
          <rPr>
            <sz val="9"/>
            <color indexed="81"/>
            <rFont val="Tahoma"/>
            <family val="2"/>
          </rPr>
          <t>https://csl.noaa.gov/groups/csl5/datasets/data/hcfcs/Summary%20C1%20Compounds.pdf (2018)</t>
        </r>
      </text>
    </comment>
    <comment ref="F71" authorId="0" shapeId="0" xr:uid="{71B498E3-C7D4-4398-8268-DD7DCB82E02A}">
      <text>
        <r>
          <rPr>
            <sz val="9"/>
            <color indexed="81"/>
            <rFont val="Tahoma"/>
            <family val="2"/>
          </rPr>
          <t xml:space="preserve">Assumed to be subject to the same kind of uncertainties as the GWP estimate
</t>
        </r>
      </text>
    </comment>
    <comment ref="G71" authorId="0" shapeId="0" xr:uid="{00000000-0006-0000-0900-00005E000000}">
      <text>
        <r>
          <rPr>
            <sz val="9"/>
            <color indexed="81"/>
            <rFont val="Tahoma"/>
            <family val="2"/>
          </rPr>
          <t xml:space="preserve">See note on CFC-11
</t>
        </r>
      </text>
    </comment>
    <comment ref="I71" authorId="0" shapeId="0" xr:uid="{00000000-0006-0000-0900-00005F000000}">
      <text>
        <r>
          <rPr>
            <sz val="9"/>
            <color indexed="81"/>
            <rFont val="Tahoma"/>
            <family val="2"/>
          </rPr>
          <t xml:space="preserve">See notes on CFC11
</t>
        </r>
      </text>
    </comment>
    <comment ref="J71" authorId="0" shapeId="0" xr:uid="{00000000-0006-0000-0900-000060000000}">
      <text>
        <r>
          <rPr>
            <sz val="9"/>
            <color indexed="81"/>
            <rFont val="Tahoma"/>
            <family val="2"/>
          </rPr>
          <t xml:space="preserve">See notes on CFC11
</t>
        </r>
      </text>
    </comment>
    <comment ref="A72" authorId="0" shapeId="0" xr:uid="{00000000-0006-0000-0900-000061000000}">
      <text>
        <r>
          <rPr>
            <sz val="9"/>
            <color indexed="81"/>
            <rFont val="Tahoma"/>
            <family val="2"/>
          </rPr>
          <t xml:space="preserve">C2HFCl4
1,1,2,2-Tetrachloro-1-fluoroethane
</t>
        </r>
      </text>
    </comment>
    <comment ref="C72" authorId="0" shapeId="0" xr:uid="{C6D03E3C-D572-4C9B-A2C0-408D64299EFB}">
      <text>
        <r>
          <rPr>
            <sz val="8"/>
            <color indexed="81"/>
            <rFont val="Tahoma"/>
            <family val="2"/>
          </rPr>
          <t xml:space="preserve">(IPCC AR6 WGI Table 7.SM.7)
</t>
        </r>
      </text>
    </comment>
    <comment ref="D72" authorId="0" shapeId="0" xr:uid="{C180D2D6-FDFA-4F35-8018-C695C6E4DCDB}">
      <text>
        <r>
          <rPr>
            <sz val="9"/>
            <color indexed="81"/>
            <rFont val="Tahoma"/>
            <family val="2"/>
          </rPr>
          <t xml:space="preserve">Uncertainty estimated from difference between well-mixed (87) and life time adjusted (66) GWP in https://csl.noaa.gov/groups/csl5/datasets/data/hcfcs/Summary%20C2%20Compounds.pdf
</t>
        </r>
      </text>
    </comment>
    <comment ref="E72" authorId="0" shapeId="0" xr:uid="{00000000-0006-0000-0900-000063000000}">
      <text>
        <r>
          <rPr>
            <sz val="9"/>
            <color indexed="81"/>
            <rFont val="Tahoma"/>
            <family val="2"/>
          </rPr>
          <t>https://csl.noaa.gov/groups/csl5/datasets/data/hcfcs/Summary%20C2%20Compounds.pdf
(2018)</t>
        </r>
      </text>
    </comment>
    <comment ref="F72" authorId="0" shapeId="0" xr:uid="{250A9AC4-690F-4096-988D-B2709622C130}">
      <text>
        <r>
          <rPr>
            <sz val="9"/>
            <color indexed="81"/>
            <rFont val="Tahoma"/>
            <family val="2"/>
          </rPr>
          <t xml:space="preserve">Assumed to be subject to the same kind of uncertainties as the GWP estimate
</t>
        </r>
      </text>
    </comment>
    <comment ref="G72" authorId="0" shapeId="0" xr:uid="{00000000-0006-0000-0900-000065000000}">
      <text>
        <r>
          <rPr>
            <sz val="9"/>
            <color indexed="81"/>
            <rFont val="Tahoma"/>
            <family val="2"/>
          </rPr>
          <t xml:space="preserve">See note on CFC-11
</t>
        </r>
      </text>
    </comment>
    <comment ref="I72" authorId="0" shapeId="0" xr:uid="{00000000-0006-0000-0900-000066000000}">
      <text>
        <r>
          <rPr>
            <sz val="9"/>
            <color indexed="81"/>
            <rFont val="Tahoma"/>
            <family val="2"/>
          </rPr>
          <t xml:space="preserve">See notes on CFC11
</t>
        </r>
      </text>
    </comment>
    <comment ref="J72" authorId="0" shapeId="0" xr:uid="{00000000-0006-0000-0900-000067000000}">
      <text>
        <r>
          <rPr>
            <sz val="9"/>
            <color indexed="81"/>
            <rFont val="Tahoma"/>
            <family val="2"/>
          </rPr>
          <t xml:space="preserve">See notes on CFC11
</t>
        </r>
      </text>
    </comment>
    <comment ref="A73" authorId="0" shapeId="0" xr:uid="{34C30EC4-7EAA-4C56-9C24-EFD5BC641D10}">
      <text>
        <r>
          <rPr>
            <sz val="9"/>
            <color indexed="81"/>
            <rFont val="Tahoma"/>
            <family val="2"/>
          </rPr>
          <t>CHClFCCl3
1,1,1,2-Tetrachloro-2-fluoroethane</t>
        </r>
      </text>
    </comment>
    <comment ref="C73" authorId="0" shapeId="0" xr:uid="{08578EF3-AC93-4EF3-8FD0-123748C5574F}">
      <text>
        <r>
          <rPr>
            <sz val="9"/>
            <color indexed="81"/>
            <rFont val="Tahoma"/>
            <family val="2"/>
          </rPr>
          <t xml:space="preserve">https://csl.noaa.gov/groups/csl5/datasets/data/hcfcs/Summary%20C2%20Compounds.pdf
</t>
        </r>
      </text>
    </comment>
    <comment ref="D73" authorId="0" shapeId="0" xr:uid="{2EEAD7D5-CE2A-4EE1-BB1C-737CA73E3CF6}">
      <text>
        <r>
          <rPr>
            <sz val="9"/>
            <color indexed="81"/>
            <rFont val="Tahoma"/>
            <family val="2"/>
          </rPr>
          <t xml:space="preserve">Uncertinty estimated from difference between   well-mixed (181) and lifetime adjusted (158) GWP.
</t>
        </r>
      </text>
    </comment>
    <comment ref="E73" authorId="0" shapeId="0" xr:uid="{73AFE034-B9A2-4277-8391-D92A8C272BD5}">
      <text>
        <r>
          <rPr>
            <sz val="9"/>
            <color indexed="81"/>
            <rFont val="Tahoma"/>
            <family val="2"/>
          </rPr>
          <t xml:space="preserve">https://csl.noaa.gov/groups/csl5/datasets/data/hcfcs/Summary%20C2%20Compounds.pdf
</t>
        </r>
      </text>
    </comment>
    <comment ref="F73" authorId="0" shapeId="0" xr:uid="{4E8987E1-0312-4B7B-9EBD-2C00F986F74C}">
      <text>
        <r>
          <rPr>
            <sz val="9"/>
            <color indexed="81"/>
            <rFont val="Tahoma"/>
            <family val="2"/>
          </rPr>
          <t xml:space="preserve">Assumed to be subject to the same kind of uncertainties as the GWP estimate
</t>
        </r>
      </text>
    </comment>
    <comment ref="G73" authorId="0" shapeId="0" xr:uid="{5D126292-D743-4185-BC5C-35BCC05B47D4}">
      <text>
        <r>
          <rPr>
            <sz val="9"/>
            <color indexed="81"/>
            <rFont val="Tahoma"/>
            <family val="2"/>
          </rPr>
          <t xml:space="preserve">See note on CFC-11
</t>
        </r>
      </text>
    </comment>
    <comment ref="I73" authorId="0" shapeId="0" xr:uid="{082DEABD-84E7-4111-A5B6-9AE15D17D410}">
      <text>
        <r>
          <rPr>
            <sz val="9"/>
            <color indexed="81"/>
            <rFont val="Tahoma"/>
            <family val="2"/>
          </rPr>
          <t xml:space="preserve">See note on CFC-11
</t>
        </r>
      </text>
    </comment>
    <comment ref="J73" authorId="0" shapeId="0" xr:uid="{5E431553-7F57-4D19-B877-212B1984E2E2}">
      <text>
        <r>
          <rPr>
            <sz val="9"/>
            <color indexed="81"/>
            <rFont val="Tahoma"/>
            <family val="2"/>
          </rPr>
          <t xml:space="preserve">See notes on CFC11
</t>
        </r>
      </text>
    </comment>
    <comment ref="A74" authorId="0" shapeId="0" xr:uid="{00000000-0006-0000-0900-000068000000}">
      <text>
        <r>
          <rPr>
            <sz val="9"/>
            <color indexed="81"/>
            <rFont val="Tahoma"/>
            <family val="2"/>
          </rPr>
          <t xml:space="preserve">C2HF2Cl3
1,2,2-trichloro-1,1-difluoroethane </t>
        </r>
      </text>
    </comment>
    <comment ref="C74" authorId="0" shapeId="0" xr:uid="{616BAAD7-F540-46BD-915F-44EE4EEBA603}">
      <text>
        <r>
          <rPr>
            <sz val="8"/>
            <color indexed="81"/>
            <rFont val="Tahoma"/>
            <family val="2"/>
          </rPr>
          <t>https://csl.noaa.gov/groups/csl5/datasets/data/hcfcs/Summary%20C2%20Compounds.pdf</t>
        </r>
      </text>
    </comment>
    <comment ref="D74" authorId="0" shapeId="0" xr:uid="{3F0DE19C-6861-4B06-88D3-73E5CD4EEBA6}">
      <text>
        <r>
          <rPr>
            <sz val="9"/>
            <color indexed="81"/>
            <rFont val="Tahoma"/>
            <family val="2"/>
          </rPr>
          <t xml:space="preserve">Uncertainty estimated from difference between well-mixed (133) and life time adjusted (105) GWP in https://csl.noaa.gov/groups/csl5/datasets/data/hcfcs/Summary%20C2%20Compounds.pdf
</t>
        </r>
      </text>
    </comment>
    <comment ref="E74" authorId="0" shapeId="0" xr:uid="{00000000-0006-0000-0900-00006A000000}">
      <text>
        <r>
          <rPr>
            <sz val="9"/>
            <color indexed="81"/>
            <rFont val="Tahoma"/>
            <family val="2"/>
          </rPr>
          <t xml:space="preserve">https://csl.noaa.gov/groups/csl5/datasets/data/hcfcs/Summary%20C2%20Compounds.pdf
</t>
        </r>
      </text>
    </comment>
    <comment ref="F74" authorId="0" shapeId="0" xr:uid="{57B5A280-230F-4357-BA31-2E6FB44C388B}">
      <text>
        <r>
          <rPr>
            <sz val="9"/>
            <color indexed="81"/>
            <rFont val="Tahoma"/>
            <family val="2"/>
          </rPr>
          <t xml:space="preserve">Assumed to be subject to the same kind of uncertainties as the GWP estimate
</t>
        </r>
      </text>
    </comment>
    <comment ref="G74" authorId="0" shapeId="0" xr:uid="{00000000-0006-0000-0900-00006C000000}">
      <text>
        <r>
          <rPr>
            <sz val="9"/>
            <color indexed="81"/>
            <rFont val="Tahoma"/>
            <family val="2"/>
          </rPr>
          <t xml:space="preserve">See note on CFC-11
</t>
        </r>
      </text>
    </comment>
    <comment ref="I74" authorId="0" shapeId="0" xr:uid="{00000000-0006-0000-0900-00006D000000}">
      <text>
        <r>
          <rPr>
            <sz val="9"/>
            <color indexed="81"/>
            <rFont val="Tahoma"/>
            <family val="2"/>
          </rPr>
          <t xml:space="preserve">See notes on CFC11
</t>
        </r>
      </text>
    </comment>
    <comment ref="J74" authorId="0" shapeId="0" xr:uid="{00000000-0006-0000-0900-00006E000000}">
      <text>
        <r>
          <rPr>
            <sz val="9"/>
            <color indexed="81"/>
            <rFont val="Tahoma"/>
            <family val="2"/>
          </rPr>
          <t xml:space="preserve">See notes on CFC11
</t>
        </r>
      </text>
    </comment>
    <comment ref="A75" authorId="0" shapeId="0" xr:uid="{00000000-0006-0000-0900-00006F000000}">
      <text>
        <r>
          <rPr>
            <sz val="9"/>
            <color indexed="81"/>
            <rFont val="Tahoma"/>
            <family val="2"/>
          </rPr>
          <t xml:space="preserve">1,2-difluoro-1,1,2-trichloroethane
</t>
        </r>
      </text>
    </comment>
    <comment ref="C75" authorId="0" shapeId="0" xr:uid="{5E806BF0-780B-4BAB-8BEF-E63FE47A8212}">
      <text>
        <r>
          <rPr>
            <sz val="8"/>
            <color indexed="81"/>
            <rFont val="Tahoma"/>
            <family val="2"/>
          </rPr>
          <t xml:space="preserve">(IPCC AR6 WGI Table 7.SM.7)
</t>
        </r>
      </text>
    </comment>
    <comment ref="D75" authorId="0" shapeId="0" xr:uid="{7A2456A3-F5A7-48DB-B4E8-6080FFAEA5B8}">
      <text>
        <r>
          <rPr>
            <sz val="9"/>
            <color indexed="81"/>
            <rFont val="Tahoma"/>
            <family val="2"/>
          </rPr>
          <t xml:space="preserve">Uncertainty estimated from difference between well-mixed (301) and life time adjusted (268) GWP in https://csl.noaa.gov/groups/csl5/datasets/data/hcfcs/Summary%20C2%20Compounds.pdf
</t>
        </r>
      </text>
    </comment>
    <comment ref="E75" authorId="0" shapeId="0" xr:uid="{00000000-0006-0000-0900-000071000000}">
      <text>
        <r>
          <rPr>
            <sz val="9"/>
            <color indexed="81"/>
            <rFont val="Tahoma"/>
            <family val="2"/>
          </rPr>
          <t xml:space="preserve">https://csl.noaa.gov/groups/csl5/datasets/data/hcfcs/Summary%20C2%20Compounds.pdf
</t>
        </r>
      </text>
    </comment>
    <comment ref="F75" authorId="0" shapeId="0" xr:uid="{659E9479-A3A2-43AE-AFD6-65D7B2770332}">
      <text>
        <r>
          <rPr>
            <sz val="9"/>
            <color indexed="81"/>
            <rFont val="Tahoma"/>
            <family val="2"/>
          </rPr>
          <t xml:space="preserve">Assumed to be subject to the same kind of uncertainties as the GWP estimate
</t>
        </r>
      </text>
    </comment>
    <comment ref="G75" authorId="0" shapeId="0" xr:uid="{00000000-0006-0000-0900-000072000000}">
      <text>
        <r>
          <rPr>
            <sz val="9"/>
            <color indexed="81"/>
            <rFont val="Tahoma"/>
            <family val="2"/>
          </rPr>
          <t xml:space="preserve">See note on CFC-11
</t>
        </r>
      </text>
    </comment>
    <comment ref="I75" authorId="0" shapeId="0" xr:uid="{00000000-0006-0000-0900-000073000000}">
      <text>
        <r>
          <rPr>
            <sz val="9"/>
            <color indexed="81"/>
            <rFont val="Tahoma"/>
            <family val="2"/>
          </rPr>
          <t xml:space="preserve">See notes on CFC11
</t>
        </r>
      </text>
    </comment>
    <comment ref="J75" authorId="0" shapeId="0" xr:uid="{00000000-0006-0000-0900-000074000000}">
      <text>
        <r>
          <rPr>
            <sz val="9"/>
            <color indexed="81"/>
            <rFont val="Tahoma"/>
            <family val="2"/>
          </rPr>
          <t xml:space="preserve">See notes on CFC11
</t>
        </r>
      </text>
    </comment>
    <comment ref="A76" authorId="0" shapeId="0" xr:uid="{80F0298F-6294-48D3-9E81-B0F2D88274C8}">
      <text>
        <r>
          <rPr>
            <sz val="9"/>
            <color indexed="81"/>
            <rFont val="Tahoma"/>
            <family val="2"/>
          </rPr>
          <t>1,1,1-Trichloro-2,2-difluoroethane</t>
        </r>
      </text>
    </comment>
    <comment ref="C76" authorId="0" shapeId="0" xr:uid="{44EA128C-BA84-403B-A2F2-DD4CBFB9674A}">
      <text>
        <r>
          <rPr>
            <sz val="9"/>
            <color indexed="81"/>
            <rFont val="Tahoma"/>
            <family val="2"/>
          </rPr>
          <t xml:space="preserve">https://csl.noaa.gov/groups/csl5/datasets/data/hcfcs/Summary%20C2%20Compounds.pdf
</t>
        </r>
      </text>
    </comment>
    <comment ref="D76" authorId="0" shapeId="0" xr:uid="{65A459C7-CAE6-425B-AB62-98BD21141A30}">
      <text>
        <r>
          <rPr>
            <sz val="9"/>
            <color indexed="81"/>
            <rFont val="Tahoma"/>
            <family val="2"/>
          </rPr>
          <t xml:space="preserve">Uncertainty estimated from difference between well-mixed (749
) and life time adjusted (713) GWP in https://csl.noaa.gov/groups/csl5/datasets/data/hcfcs/Summary%20C2%20Compounds.pdf
</t>
        </r>
      </text>
    </comment>
    <comment ref="E76" authorId="0" shapeId="0" xr:uid="{BF129C13-A4EC-44D5-9AF8-7CB5DE84BC75}">
      <text>
        <r>
          <rPr>
            <sz val="9"/>
            <color indexed="81"/>
            <rFont val="Tahoma"/>
            <family val="2"/>
          </rPr>
          <t xml:space="preserve">https://csl.noaa.gov/groups/csl5/datasets/data/hcfcs/Summary%20C2%20Compounds.pdf
</t>
        </r>
      </text>
    </comment>
    <comment ref="F76" authorId="0" shapeId="0" xr:uid="{6B7EDEA1-DDBB-49D5-A92A-D4C93CE26B02}">
      <text>
        <r>
          <rPr>
            <sz val="9"/>
            <color indexed="81"/>
            <rFont val="Tahoma"/>
            <family val="2"/>
          </rPr>
          <t xml:space="preserve">Assumed to be subject to the same kind of uncertainties as the GWP estimate
</t>
        </r>
      </text>
    </comment>
    <comment ref="G76" authorId="0" shapeId="0" xr:uid="{9EC7707A-E7B8-4D49-9682-3EBAEFCFBF8F}">
      <text>
        <r>
          <rPr>
            <sz val="9"/>
            <color indexed="81"/>
            <rFont val="Tahoma"/>
            <family val="2"/>
          </rPr>
          <t xml:space="preserve">See note on CFC-11
</t>
        </r>
      </text>
    </comment>
    <comment ref="I76" authorId="0" shapeId="0" xr:uid="{40E0F266-11F5-4F57-9AC0-F0E65C335244}">
      <text>
        <r>
          <rPr>
            <sz val="9"/>
            <color indexed="81"/>
            <rFont val="Tahoma"/>
            <family val="2"/>
          </rPr>
          <t xml:space="preserve">See note on CFC-11
</t>
        </r>
      </text>
    </comment>
    <comment ref="J76" authorId="0" shapeId="0" xr:uid="{4D6247A9-EA24-4A74-86CF-87D59138AADF}">
      <text>
        <r>
          <rPr>
            <sz val="9"/>
            <color indexed="81"/>
            <rFont val="Tahoma"/>
            <family val="2"/>
          </rPr>
          <t xml:space="preserve">See notes on CFC11
</t>
        </r>
      </text>
    </comment>
    <comment ref="A77" authorId="0" shapeId="0" xr:uid="{00000000-0006-0000-0900-000075000000}">
      <text>
        <r>
          <rPr>
            <sz val="9"/>
            <color indexed="81"/>
            <rFont val="Tahoma"/>
            <family val="2"/>
          </rPr>
          <t xml:space="preserve">2,2-Dichloro-1,1,1-trifluoroethane
</t>
        </r>
      </text>
    </comment>
    <comment ref="C77" authorId="0" shapeId="0" xr:uid="{F9C9BB0A-B32B-4C64-A35E-7D9900CAC301}">
      <text>
        <r>
          <rPr>
            <sz val="8"/>
            <color indexed="81"/>
            <rFont val="Tahoma"/>
            <family val="2"/>
          </rPr>
          <t xml:space="preserve">https://csl.noaa.gov/groups/csl5/datasets/data/hcfcs/Summary%20C2%20Compounds.pdf
</t>
        </r>
      </text>
    </comment>
    <comment ref="D77" authorId="0" shapeId="0" xr:uid="{B3AA1CD6-B629-45D3-A691-E1D7215FA4D7}">
      <text>
        <r>
          <rPr>
            <sz val="9"/>
            <color indexed="81"/>
            <rFont val="Tahoma"/>
            <family val="2"/>
          </rPr>
          <t xml:space="preserve">Uncertainty estimated from difference between well-mixed (157) and life time adjusted (130) GWP in https://csl.noaa.gov/groups/csl5/datasets/data/hcfcs/Summary%20C2%20Compounds.pdf
</t>
        </r>
      </text>
    </comment>
    <comment ref="E77" authorId="0" shapeId="0" xr:uid="{F8E395AA-ED5D-4EC8-A545-86BBFC6FEC7C}">
      <text>
        <r>
          <rPr>
            <sz val="9"/>
            <color indexed="81"/>
            <rFont val="Tahoma"/>
            <family val="2"/>
          </rPr>
          <t xml:space="preserve">https://csl.noaa.gov/groups/csl5/datasets/data/hcfcs/Summary%20C2%20Compounds.pdf
</t>
        </r>
      </text>
    </comment>
    <comment ref="F77" authorId="0" shapeId="0" xr:uid="{76735527-BC61-479A-A4B5-B9A7B6827B12}">
      <text>
        <r>
          <rPr>
            <sz val="9"/>
            <color indexed="81"/>
            <rFont val="Tahoma"/>
            <family val="2"/>
          </rPr>
          <t xml:space="preserve">Assumed to be subject to the same kind of uncertainties as the GWP estimate
</t>
        </r>
      </text>
    </comment>
    <comment ref="G77" authorId="0" shapeId="0" xr:uid="{00000000-0006-0000-0900-000079000000}">
      <text>
        <r>
          <rPr>
            <sz val="9"/>
            <color indexed="81"/>
            <rFont val="Tahoma"/>
            <family val="2"/>
          </rPr>
          <t xml:space="preserve">See note on CFC-11
</t>
        </r>
      </text>
    </comment>
    <comment ref="I77" authorId="0" shapeId="0" xr:uid="{00000000-0006-0000-0900-00007A000000}">
      <text>
        <r>
          <rPr>
            <sz val="9"/>
            <color indexed="81"/>
            <rFont val="Tahoma"/>
            <family val="2"/>
          </rPr>
          <t xml:space="preserve">See notes on CFC11
</t>
        </r>
      </text>
    </comment>
    <comment ref="J77" authorId="0" shapeId="0" xr:uid="{00000000-0006-0000-0900-00007B000000}">
      <text>
        <r>
          <rPr>
            <sz val="9"/>
            <color indexed="81"/>
            <rFont val="Tahoma"/>
            <family val="2"/>
          </rPr>
          <t xml:space="preserve">See notes on CFC11
</t>
        </r>
      </text>
    </comment>
    <comment ref="A78" authorId="0" shapeId="0" xr:uid="{00000000-0006-0000-0900-00007C000000}">
      <text>
        <r>
          <rPr>
            <sz val="9"/>
            <color indexed="81"/>
            <rFont val="Tahoma"/>
            <family val="2"/>
          </rPr>
          <t>Isomer to HCFC-123
 1,2-dichloro-1,1,2-trifluoroethane</t>
        </r>
      </text>
    </comment>
    <comment ref="C78" authorId="0" shapeId="0" xr:uid="{08439273-6DE6-4050-8105-BF3E96FB3BC9}">
      <text>
        <r>
          <rPr>
            <sz val="8"/>
            <color indexed="81"/>
            <rFont val="Tahoma"/>
            <family val="2"/>
          </rPr>
          <t>https://csl.noaa.gov/groups/csl5/datasets/data/hcfcs/Summary%20C2%20Compounds.pdf</t>
        </r>
      </text>
    </comment>
    <comment ref="D78" authorId="0" shapeId="0" xr:uid="{2AA3D219-2298-4469-AA1F-AC81962CB36E}">
      <text>
        <r>
          <rPr>
            <sz val="9"/>
            <color indexed="81"/>
            <rFont val="Tahoma"/>
            <family val="2"/>
          </rPr>
          <t>Uncertainty estimated from difference between well-mixed (157) and life time adjusted (468) GWP in https://csl.noaa.gov/groups/csl5/datasets/data/hcfcs/Summary%20C2%20Compounds.pdf</t>
        </r>
      </text>
    </comment>
    <comment ref="E78" authorId="0" shapeId="0" xr:uid="{F364AF9F-BAD9-4D4D-B3B0-E61962E0896F}">
      <text>
        <r>
          <rPr>
            <sz val="9"/>
            <color indexed="81"/>
            <rFont val="Tahoma"/>
            <family val="2"/>
          </rPr>
          <t xml:space="preserve">https://csl.noaa.gov/groups/csl5/datasets/data/hcfcs/Summary%20C2%20Compounds.pdf
</t>
        </r>
      </text>
    </comment>
    <comment ref="F78" authorId="0" shapeId="0" xr:uid="{65A44E4F-133A-4B07-A162-3C81CC80CE33}">
      <text>
        <r>
          <rPr>
            <sz val="9"/>
            <color indexed="81"/>
            <rFont val="Tahoma"/>
            <family val="2"/>
          </rPr>
          <t xml:space="preserve">Assumed to be subject to the same kind of uncertainties as the GWP estimate
</t>
        </r>
      </text>
    </comment>
    <comment ref="G78" authorId="0" shapeId="0" xr:uid="{00000000-0006-0000-0900-00007F000000}">
      <text>
        <r>
          <rPr>
            <sz val="9"/>
            <color indexed="81"/>
            <rFont val="Tahoma"/>
            <family val="2"/>
          </rPr>
          <t xml:space="preserve">See note on CFC-11
</t>
        </r>
      </text>
    </comment>
    <comment ref="I78" authorId="0" shapeId="0" xr:uid="{00000000-0006-0000-0900-000080000000}">
      <text>
        <r>
          <rPr>
            <sz val="9"/>
            <color indexed="81"/>
            <rFont val="Tahoma"/>
            <family val="2"/>
          </rPr>
          <t xml:space="preserve">See notes on CFC11
</t>
        </r>
      </text>
    </comment>
    <comment ref="J78" authorId="0" shapeId="0" xr:uid="{00000000-0006-0000-0900-000081000000}">
      <text>
        <r>
          <rPr>
            <sz val="9"/>
            <color indexed="81"/>
            <rFont val="Tahoma"/>
            <family val="2"/>
          </rPr>
          <t xml:space="preserve">See notes on CFC11
</t>
        </r>
      </text>
    </comment>
    <comment ref="A79" authorId="0" shapeId="0" xr:uid="{F79CF5B4-F562-45FC-A8EE-E597D7C76BA8}">
      <text>
        <r>
          <rPr>
            <sz val="9"/>
            <color indexed="81"/>
            <rFont val="Tahoma"/>
            <family val="2"/>
          </rPr>
          <t xml:space="preserve">CHF2CCl2F
1,1-Dichloro-1,2,2-trifluoroethane
</t>
        </r>
      </text>
    </comment>
    <comment ref="D79" authorId="0" shapeId="0" xr:uid="{BC534628-8567-4D36-832A-25DAEA730363}">
      <text>
        <r>
          <rPr>
            <sz val="9"/>
            <color indexed="81"/>
            <rFont val="Tahoma"/>
            <family val="2"/>
          </rPr>
          <t>Uncertainty estimated from difference between well-mixed (1125) and life time adjusted (1173) GWP in https://csl.noaa.gov/groups/csl5/datasets/data/hcfcs/Summary%20C2%20Compounds.pdf</t>
        </r>
      </text>
    </comment>
    <comment ref="E79" authorId="0" shapeId="0" xr:uid="{6CC7B6EC-E661-4679-AB3B-E35522E42DDF}">
      <text>
        <r>
          <rPr>
            <sz val="9"/>
            <color indexed="81"/>
            <rFont val="Tahoma"/>
            <family val="2"/>
          </rPr>
          <t xml:space="preserve">https://csl.noaa.gov/groups/csl5/datasets/data/hcfcs/Summary%20C2%20Compounds.pdf
</t>
        </r>
      </text>
    </comment>
    <comment ref="F79" authorId="0" shapeId="0" xr:uid="{F3CE0424-E20B-46E0-BFEB-9E9A52B60447}">
      <text>
        <r>
          <rPr>
            <sz val="9"/>
            <color indexed="81"/>
            <rFont val="Tahoma"/>
            <family val="2"/>
          </rPr>
          <t xml:space="preserve">Assumed to be subject to the same kind of uncertainties as the GWP estimate
</t>
        </r>
      </text>
    </comment>
    <comment ref="G79" authorId="0" shapeId="0" xr:uid="{38480AC5-1AE0-4DF4-904E-916EAF61046A}">
      <text>
        <r>
          <rPr>
            <sz val="9"/>
            <color indexed="81"/>
            <rFont val="Tahoma"/>
            <family val="2"/>
          </rPr>
          <t xml:space="preserve">See note on CFC-11
</t>
        </r>
      </text>
    </comment>
    <comment ref="I79" authorId="0" shapeId="0" xr:uid="{81522090-1E54-4BFE-B373-6478FCB2F772}">
      <text>
        <r>
          <rPr>
            <sz val="9"/>
            <color indexed="81"/>
            <rFont val="Tahoma"/>
            <family val="2"/>
          </rPr>
          <t xml:space="preserve">See note on CFC-11
</t>
        </r>
      </text>
    </comment>
    <comment ref="J79" authorId="0" shapeId="0" xr:uid="{D370F337-1ABB-4B7D-938A-4BEC9E8A297A}">
      <text>
        <r>
          <rPr>
            <sz val="9"/>
            <color indexed="81"/>
            <rFont val="Tahoma"/>
            <family val="2"/>
          </rPr>
          <t xml:space="preserve">See notes on CFC11
</t>
        </r>
      </text>
    </comment>
    <comment ref="A80" authorId="0" shapeId="0" xr:uid="{07A946C2-754E-485B-B8D5-22886E71106F}">
      <text>
        <r>
          <rPr>
            <sz val="9"/>
            <color indexed="81"/>
            <rFont val="Tahoma"/>
            <family val="2"/>
          </rPr>
          <t xml:space="preserve">CHClFCF3
</t>
        </r>
      </text>
    </comment>
    <comment ref="C80" authorId="0" shapeId="0" xr:uid="{3607FF94-F9C7-45CC-8775-C78F4C618B46}">
      <text>
        <r>
          <rPr>
            <sz val="8"/>
            <color indexed="81"/>
            <rFont val="Tahoma"/>
            <family val="2"/>
          </rPr>
          <t xml:space="preserve">(IPCC AR6 WGI Table 7.SM.7)
</t>
        </r>
      </text>
    </comment>
    <comment ref="D80" authorId="0" shapeId="0" xr:uid="{764A4433-F65E-476B-9C38-01949F502BDB}">
      <text>
        <r>
          <rPr>
            <sz val="9"/>
            <color indexed="81"/>
            <rFont val="Tahoma"/>
            <family val="2"/>
          </rPr>
          <t>Uncertainty estimated from difference between well-mixed (558) and life time adjusted (517) GWP in https://csl.noaa.gov/groups/csl5/datasets/data/hcfcs/Summary%20C2%20Compounds.pdf</t>
        </r>
      </text>
    </comment>
    <comment ref="E80" authorId="0" shapeId="0" xr:uid="{00000000-0006-0000-0900-000083000000}">
      <text>
        <r>
          <rPr>
            <sz val="9"/>
            <color indexed="81"/>
            <rFont val="Tahoma"/>
            <family val="2"/>
          </rPr>
          <t xml:space="preserve">The Montreal Protocol on Substances that Deplete the Ozone Layer. UNEP, 2000. ISBN 92-807-1888-6
</t>
        </r>
      </text>
    </comment>
    <comment ref="F80" authorId="0" shapeId="0" xr:uid="{00000000-0006-0000-0900-000084000000}">
      <text>
        <r>
          <rPr>
            <sz val="9"/>
            <color indexed="81"/>
            <rFont val="Tahoma"/>
            <family val="2"/>
          </rPr>
          <t xml:space="preserve">Estimated from the interval given in the montreal protocol 0.02–0.04 and the theoretical values (0.018) determined by Papanastasiou et al. (2018) and available in https://csl.noaa.gov/groups/csl5/datasets/data/hcfcs/Summary%20C2%20Compounds.pdf
</t>
        </r>
      </text>
    </comment>
    <comment ref="G80" authorId="0" shapeId="0" xr:uid="{00000000-0006-0000-0900-000085000000}">
      <text>
        <r>
          <rPr>
            <sz val="9"/>
            <color indexed="81"/>
            <rFont val="Tahoma"/>
            <family val="2"/>
          </rPr>
          <t xml:space="preserve">See note on CFC-11
</t>
        </r>
      </text>
    </comment>
    <comment ref="I80" authorId="0" shapeId="0" xr:uid="{00000000-0006-0000-0900-000086000000}">
      <text>
        <r>
          <rPr>
            <sz val="9"/>
            <color indexed="81"/>
            <rFont val="Tahoma"/>
            <family val="2"/>
          </rPr>
          <t xml:space="preserve">See notes on CFC11
</t>
        </r>
      </text>
    </comment>
    <comment ref="J80" authorId="0" shapeId="0" xr:uid="{00000000-0006-0000-0900-000087000000}">
      <text>
        <r>
          <rPr>
            <sz val="9"/>
            <color indexed="81"/>
            <rFont val="Tahoma"/>
            <family val="2"/>
          </rPr>
          <t xml:space="preserve">See notes on CFC11
</t>
        </r>
      </text>
    </comment>
    <comment ref="A81" authorId="0" shapeId="0" xr:uid="{9AB2B803-92F7-4821-8E20-F50CBDF30AF3}">
      <text>
        <r>
          <rPr>
            <sz val="9"/>
            <color indexed="81"/>
            <rFont val="Tahoma"/>
            <family val="2"/>
          </rPr>
          <t xml:space="preserve">CHF2CClF2
</t>
        </r>
      </text>
    </comment>
    <comment ref="C81" authorId="0" shapeId="0" xr:uid="{E490E5AA-4FA0-48B5-90D7-6317EE075383}">
      <text>
        <r>
          <rPr>
            <sz val="8"/>
            <color indexed="81"/>
            <rFont val="Tahoma"/>
            <family val="2"/>
          </rPr>
          <t xml:space="preserve">(IPCC AR6 WGI Table 7.SM.7)
</t>
        </r>
      </text>
    </comment>
    <comment ref="D81" authorId="0" shapeId="0" xr:uid="{B56A652E-5D5C-4F14-A632-1B8ABB8F419A}">
      <text>
        <r>
          <rPr>
            <sz val="9"/>
            <color indexed="81"/>
            <rFont val="Tahoma"/>
            <family val="2"/>
          </rPr>
          <t>Uncertainty estimated from difference between well-mixed (1884) and life time adjusted (1824) GWP in https://csl.noaa.gov/groups/csl5/datasets/data/hcfcs/Summary%20C2%20Compounds.pdf</t>
        </r>
      </text>
    </comment>
    <comment ref="E81" authorId="0" shapeId="0" xr:uid="{CC81C4D7-B8E4-4976-A208-F6FB4C96C7D4}">
      <text>
        <r>
          <rPr>
            <sz val="9"/>
            <color indexed="81"/>
            <rFont val="Tahoma"/>
            <family val="2"/>
          </rPr>
          <t xml:space="preserve">https://csl.noaa.gov/groups/csl5/datasets/data/hcfcs/Summary%20C2%20Compounds.pdf
</t>
        </r>
      </text>
    </comment>
    <comment ref="F81" authorId="0" shapeId="0" xr:uid="{65BE5D59-E427-48AB-AEF6-170E180F43D0}">
      <text>
        <r>
          <rPr>
            <sz val="9"/>
            <color indexed="81"/>
            <rFont val="Tahoma"/>
            <family val="2"/>
          </rPr>
          <t xml:space="preserve">Assumed to be subject to the same kind of uncertainties as the GWP estimate
</t>
        </r>
      </text>
    </comment>
    <comment ref="G81" authorId="0" shapeId="0" xr:uid="{1F1D0914-72EE-4F5E-B8DF-6AA3EAA30D1F}">
      <text>
        <r>
          <rPr>
            <sz val="9"/>
            <color indexed="81"/>
            <rFont val="Tahoma"/>
            <family val="2"/>
          </rPr>
          <t xml:space="preserve">See note on CFC-11
</t>
        </r>
      </text>
    </comment>
    <comment ref="I81" authorId="0" shapeId="0" xr:uid="{ECAA8362-15B0-40F4-AA08-6F9D4518CE9F}">
      <text>
        <r>
          <rPr>
            <sz val="9"/>
            <color indexed="81"/>
            <rFont val="Tahoma"/>
            <family val="2"/>
          </rPr>
          <t xml:space="preserve">See note on CFC-11
</t>
        </r>
      </text>
    </comment>
    <comment ref="J81" authorId="0" shapeId="0" xr:uid="{09CB2290-A49D-4C81-A21C-65028AA86318}">
      <text>
        <r>
          <rPr>
            <sz val="9"/>
            <color indexed="81"/>
            <rFont val="Tahoma"/>
            <family val="2"/>
          </rPr>
          <t xml:space="preserve">See notes on CFC11
</t>
        </r>
      </text>
    </comment>
    <comment ref="A82" authorId="0" shapeId="0" xr:uid="{E3E676A5-8813-4937-A4B2-CB492E403376}">
      <text>
        <r>
          <rPr>
            <sz val="9"/>
            <color indexed="81"/>
            <rFont val="Tahoma"/>
            <family val="2"/>
          </rPr>
          <t xml:space="preserve">CHCl2CHClF
1,2,2-Trichloro-1-fluoroethane
</t>
        </r>
      </text>
    </comment>
    <comment ref="C82" authorId="0" shapeId="0" xr:uid="{1D59DA32-90C4-4C19-AFF2-36453BEAE227}">
      <text>
        <r>
          <rPr>
            <sz val="9"/>
            <color indexed="81"/>
            <rFont val="Tahoma"/>
            <family val="2"/>
          </rPr>
          <t xml:space="preserve">https://csl.noaa.gov/groups/csl5/datasets/data/hcfcs/Summary%20C2%20Compounds.pdf
</t>
        </r>
      </text>
    </comment>
    <comment ref="D82" authorId="0" shapeId="0" xr:uid="{43096A9E-0DAA-4FCE-9F4A-F3532ECF89E9}">
      <text>
        <r>
          <rPr>
            <sz val="9"/>
            <color indexed="81"/>
            <rFont val="Tahoma"/>
            <family val="2"/>
          </rPr>
          <t>Uncertainty estimated from difference between well-mixed (44) and life time adjusted (31) GWP in https://csl.noaa.gov/groups/csl5/datasets/data/hcfcs/Summary%20C2%20Compounds.pdf</t>
        </r>
      </text>
    </comment>
    <comment ref="E82" authorId="0" shapeId="0" xr:uid="{79C43AF7-85C6-406F-B587-77DBDA19EB89}">
      <text>
        <r>
          <rPr>
            <sz val="9"/>
            <color indexed="81"/>
            <rFont val="Tahoma"/>
            <family val="2"/>
          </rPr>
          <t xml:space="preserve">https://csl.noaa.gov/groups/csl5/datasets/data/hcfcs/Summary%20C2%20Compounds.pdf
</t>
        </r>
      </text>
    </comment>
    <comment ref="F82" authorId="0" shapeId="0" xr:uid="{B5CEF94B-9AC8-401D-A02C-1368021BB8ED}">
      <text>
        <r>
          <rPr>
            <sz val="9"/>
            <color indexed="81"/>
            <rFont val="Tahoma"/>
            <family val="2"/>
          </rPr>
          <t xml:space="preserve">Assumed to be subject to the same kind of uncertainties as the GWP estimate
</t>
        </r>
      </text>
    </comment>
    <comment ref="G82" authorId="0" shapeId="0" xr:uid="{C9F4CE81-BE6B-42DF-A7EB-2577E5AA6761}">
      <text>
        <r>
          <rPr>
            <sz val="9"/>
            <color indexed="81"/>
            <rFont val="Tahoma"/>
            <family val="2"/>
          </rPr>
          <t xml:space="preserve">See note on CFC-11
</t>
        </r>
      </text>
    </comment>
    <comment ref="I82" authorId="0" shapeId="0" xr:uid="{F17FF8CB-F3A4-43B6-9BB4-788DA0703D66}">
      <text>
        <r>
          <rPr>
            <sz val="9"/>
            <color indexed="81"/>
            <rFont val="Tahoma"/>
            <family val="2"/>
          </rPr>
          <t xml:space="preserve">See note on CFC-11
</t>
        </r>
      </text>
    </comment>
    <comment ref="J82" authorId="0" shapeId="0" xr:uid="{3034603D-004E-40C1-9EEF-D3C89BDF6696}">
      <text>
        <r>
          <rPr>
            <sz val="9"/>
            <color indexed="81"/>
            <rFont val="Tahoma"/>
            <family val="2"/>
          </rPr>
          <t xml:space="preserve">See notes on CFC11
</t>
        </r>
      </text>
    </comment>
    <comment ref="A83" authorId="0" shapeId="0" xr:uid="{44FEDA30-9B07-40F2-9CF0-2CFA9B20AD9E}">
      <text>
        <r>
          <rPr>
            <sz val="9"/>
            <color indexed="81"/>
            <rFont val="Tahoma"/>
            <family val="2"/>
          </rPr>
          <t>CH2ClCCl2F
1,1,2-Trichloro-1-fluoroethane</t>
        </r>
      </text>
    </comment>
    <comment ref="C83" authorId="0" shapeId="0" xr:uid="{6A770304-1326-42FF-8656-6617BA749137}">
      <text>
        <r>
          <rPr>
            <sz val="9"/>
            <color indexed="81"/>
            <rFont val="Tahoma"/>
            <family val="2"/>
          </rPr>
          <t xml:space="preserve">https://csl.noaa.gov/groups/csl5/datasets/data/hcfcs/Summary%20C2%20Compounds.pdf
</t>
        </r>
      </text>
    </comment>
    <comment ref="D83" authorId="0" shapeId="0" xr:uid="{21C497AB-550E-4E9F-A486-C95651EEB6F2}">
      <text>
        <r>
          <rPr>
            <sz val="9"/>
            <color indexed="81"/>
            <rFont val="Tahoma"/>
            <family val="2"/>
          </rPr>
          <t>Uncertainty estimated from difference between well-mixed (202) and life time adjusted (175) GWP in https://csl.noaa.gov/groups/csl5/datasets/data/hcfcs/Summary%20C2%20Compounds.pdf</t>
        </r>
      </text>
    </comment>
    <comment ref="E83" authorId="0" shapeId="0" xr:uid="{CA2BEB6E-7981-48C2-B169-751BDC488AD3}">
      <text>
        <r>
          <rPr>
            <sz val="9"/>
            <color indexed="81"/>
            <rFont val="Tahoma"/>
            <family val="2"/>
          </rPr>
          <t xml:space="preserve">https://csl.noaa.gov/groups/csl5/datasets/data/hcfcs/Summary%20C2%20Compounds.pdf
</t>
        </r>
      </text>
    </comment>
    <comment ref="F83" authorId="0" shapeId="0" xr:uid="{302AA034-A6D1-40B6-B718-1B7656108573}">
      <text>
        <r>
          <rPr>
            <sz val="9"/>
            <color indexed="81"/>
            <rFont val="Tahoma"/>
            <family val="2"/>
          </rPr>
          <t xml:space="preserve">Assumed to be subject to the same kind of uncertainties as the GWP estimate
</t>
        </r>
      </text>
    </comment>
    <comment ref="G83" authorId="0" shapeId="0" xr:uid="{C9EC8057-1D4A-41BA-A693-CEA579501356}">
      <text>
        <r>
          <rPr>
            <sz val="9"/>
            <color indexed="81"/>
            <rFont val="Tahoma"/>
            <family val="2"/>
          </rPr>
          <t xml:space="preserve">See note on CFC-11
</t>
        </r>
      </text>
    </comment>
    <comment ref="I83" authorId="0" shapeId="0" xr:uid="{14D36931-B31D-444C-A045-48F846E371AD}">
      <text>
        <r>
          <rPr>
            <sz val="9"/>
            <color indexed="81"/>
            <rFont val="Tahoma"/>
            <family val="2"/>
          </rPr>
          <t xml:space="preserve">See note on CFC-11
</t>
        </r>
      </text>
    </comment>
    <comment ref="J83" authorId="0" shapeId="0" xr:uid="{846BCC4B-B86A-40EE-9CB7-26D7C09E5462}">
      <text>
        <r>
          <rPr>
            <sz val="9"/>
            <color indexed="81"/>
            <rFont val="Tahoma"/>
            <family val="2"/>
          </rPr>
          <t xml:space="preserve">See notes on CFC11
</t>
        </r>
      </text>
    </comment>
    <comment ref="A84" authorId="0" shapeId="0" xr:uid="{6ABBB88B-73BD-4959-A95A-37D51DAAC338}">
      <text>
        <r>
          <rPr>
            <sz val="9"/>
            <color indexed="81"/>
            <rFont val="Tahoma"/>
            <family val="2"/>
          </rPr>
          <t>CH2FCCl3
1,1,1-Trichloro-2-fluoroethane</t>
        </r>
        <r>
          <rPr>
            <b/>
            <sz val="9"/>
            <color indexed="81"/>
            <rFont val="Tahoma"/>
            <family val="2"/>
          </rPr>
          <t xml:space="preserve">
</t>
        </r>
        <r>
          <rPr>
            <sz val="9"/>
            <color indexed="81"/>
            <rFont val="Tahoma"/>
            <family val="2"/>
          </rPr>
          <t xml:space="preserve">
</t>
        </r>
      </text>
    </comment>
    <comment ref="C84" authorId="0" shapeId="0" xr:uid="{FF21FA00-C3CB-4DCF-945E-01640D678481}">
      <text>
        <r>
          <rPr>
            <sz val="9"/>
            <color indexed="81"/>
            <rFont val="Tahoma"/>
            <family val="2"/>
          </rPr>
          <t xml:space="preserve">https://csl.noaa.gov/groups/csl5/datasets/data/hcfcs/Summary%20C2%20Compounds.pdf
</t>
        </r>
      </text>
    </comment>
    <comment ref="D84" authorId="0" shapeId="0" xr:uid="{D2EA8A65-107F-4314-B9CB-9C1C4AF3981A}">
      <text>
        <r>
          <rPr>
            <sz val="9"/>
            <color indexed="81"/>
            <rFont val="Tahoma"/>
            <family val="2"/>
          </rPr>
          <t>Uncertainty estimated from difference between well-mixed (144) and life time adjusted (123) GWP in https://csl.noaa.gov/groups/csl5/datasets/data/hcfcs/Summary%20C2%20Compounds.pdf</t>
        </r>
      </text>
    </comment>
    <comment ref="E84" authorId="0" shapeId="0" xr:uid="{9951D016-1EE7-4B11-A9DB-85FB22A9BC0E}">
      <text>
        <r>
          <rPr>
            <sz val="9"/>
            <color indexed="81"/>
            <rFont val="Tahoma"/>
            <family val="2"/>
          </rPr>
          <t xml:space="preserve">https://csl.noaa.gov/groups/csl5/datasets/data/hcfcs/Summary%20C2%20Compounds.pdf
</t>
        </r>
      </text>
    </comment>
    <comment ref="F84" authorId="0" shapeId="0" xr:uid="{46086697-F22F-498F-ACF4-FB5E6631BE44}">
      <text>
        <r>
          <rPr>
            <sz val="9"/>
            <color indexed="81"/>
            <rFont val="Tahoma"/>
            <family val="2"/>
          </rPr>
          <t xml:space="preserve">Assumed to be subject to the same kind of uncertainties as the GWP estimate
</t>
        </r>
      </text>
    </comment>
    <comment ref="G84" authorId="0" shapeId="0" xr:uid="{3C4EE348-8AA8-4763-916B-D8E0BD689CE2}">
      <text>
        <r>
          <rPr>
            <sz val="9"/>
            <color indexed="81"/>
            <rFont val="Tahoma"/>
            <family val="2"/>
          </rPr>
          <t xml:space="preserve">See note on CFC-11
</t>
        </r>
      </text>
    </comment>
    <comment ref="I84" authorId="0" shapeId="0" xr:uid="{5EB48B2B-1CFB-4021-A7FA-6F0D78F07658}">
      <text>
        <r>
          <rPr>
            <sz val="9"/>
            <color indexed="81"/>
            <rFont val="Tahoma"/>
            <family val="2"/>
          </rPr>
          <t xml:space="preserve">See note on CFC-11
</t>
        </r>
      </text>
    </comment>
    <comment ref="J84" authorId="0" shapeId="0" xr:uid="{5F364325-6947-4B8A-BC82-BBBFBC46DD74}">
      <text>
        <r>
          <rPr>
            <sz val="9"/>
            <color indexed="81"/>
            <rFont val="Tahoma"/>
            <family val="2"/>
          </rPr>
          <t xml:space="preserve">See notes on CFC11
</t>
        </r>
      </text>
    </comment>
    <comment ref="A85" authorId="0" shapeId="0" xr:uid="{00000000-0006-0000-0900-000088000000}">
      <text>
        <r>
          <rPr>
            <sz val="9"/>
            <color indexed="81"/>
            <rFont val="Tahoma"/>
            <family val="2"/>
          </rPr>
          <t xml:space="preserve">CHClFCHClF
</t>
        </r>
      </text>
    </comment>
    <comment ref="C85" authorId="0" shapeId="0" xr:uid="{149A81DA-55F7-4642-8E04-896BB04DA2B7}">
      <text>
        <r>
          <rPr>
            <sz val="8"/>
            <color indexed="81"/>
            <rFont val="Tahoma"/>
            <family val="2"/>
          </rPr>
          <t xml:space="preserve">(IPCC AR6 WGI Table 7.SM.7)
</t>
        </r>
      </text>
    </comment>
    <comment ref="D85" authorId="0" shapeId="0" xr:uid="{526E526A-AE1D-4362-914B-4D33A81AC85D}">
      <text>
        <r>
          <rPr>
            <sz val="9"/>
            <color indexed="81"/>
            <rFont val="Tahoma"/>
            <family val="2"/>
          </rPr>
          <t>Uncertainty estimated from difference between well-mixed (144) and life time adjusted (119) GWP in https://csl.noaa.gov/groups/csl5/datasets/data/hcfcs/Summary%20C2%20Compounds.pdf</t>
        </r>
      </text>
    </comment>
    <comment ref="E85" authorId="0" shapeId="0" xr:uid="{00000000-0006-0000-0900-00008A000000}">
      <text>
        <r>
          <rPr>
            <sz val="9"/>
            <color indexed="81"/>
            <rFont val="Tahoma"/>
            <family val="2"/>
          </rPr>
          <t xml:space="preserve">The Montreal Protocol on Substances that Deplete the Ozone Layer. UNEP, 2000. ISBN 92-807-1888-6
</t>
        </r>
      </text>
    </comment>
    <comment ref="F85" authorId="0" shapeId="0" xr:uid="{00000000-0006-0000-0900-00008B000000}">
      <text>
        <r>
          <rPr>
            <sz val="9"/>
            <color indexed="81"/>
            <rFont val="Tahoma"/>
            <family val="2"/>
          </rPr>
          <t xml:space="preserve">Estimated from the interval given in the montreal protocol 0.007–0.05 and comparison with the theoretical value (0.025) given in https://csl.noaa.gov/groups/csl5/datasets/data/hcfcs/Summary%20C2%20Compounds.pdf
</t>
        </r>
      </text>
    </comment>
    <comment ref="G85" authorId="0" shapeId="0" xr:uid="{00000000-0006-0000-0900-00008C000000}">
      <text>
        <r>
          <rPr>
            <sz val="9"/>
            <color indexed="81"/>
            <rFont val="Tahoma"/>
            <family val="2"/>
          </rPr>
          <t xml:space="preserve">See note on CFC-11
</t>
        </r>
      </text>
    </comment>
    <comment ref="I85" authorId="0" shapeId="0" xr:uid="{00000000-0006-0000-0900-00008D000000}">
      <text>
        <r>
          <rPr>
            <sz val="9"/>
            <color indexed="81"/>
            <rFont val="Tahoma"/>
            <family val="2"/>
          </rPr>
          <t xml:space="preserve">See notes on CFC11
</t>
        </r>
      </text>
    </comment>
    <comment ref="J85" authorId="0" shapeId="0" xr:uid="{00000000-0006-0000-0900-00008E000000}">
      <text>
        <r>
          <rPr>
            <sz val="9"/>
            <color indexed="81"/>
            <rFont val="Tahoma"/>
            <family val="2"/>
          </rPr>
          <t xml:space="preserve">See notes on CFC11
</t>
        </r>
      </text>
    </comment>
    <comment ref="A86" authorId="0" shapeId="0" xr:uid="{B0BA9445-F8EE-4CE2-A1FA-5F6B2B35C5AD}">
      <text>
        <r>
          <rPr>
            <sz val="9"/>
            <color indexed="81"/>
            <rFont val="Tahoma"/>
            <family val="2"/>
          </rPr>
          <t xml:space="preserve">CHCl2CHF2
1,1-Dichloro-2,2-difluoroethane
</t>
        </r>
      </text>
    </comment>
    <comment ref="C86" authorId="0" shapeId="0" xr:uid="{F17AD927-2E5F-4742-B106-CCC897FF484A}">
      <text>
        <r>
          <rPr>
            <sz val="8"/>
            <color indexed="81"/>
            <rFont val="Tahoma"/>
            <family val="2"/>
          </rPr>
          <t xml:space="preserve">(IPCC AR6 WGI Table 7.SM.7)
</t>
        </r>
      </text>
    </comment>
    <comment ref="D86" authorId="0" shapeId="0" xr:uid="{207503CF-B716-459E-83EF-F7B30010FA60}">
      <text>
        <r>
          <rPr>
            <sz val="9"/>
            <color indexed="81"/>
            <rFont val="Tahoma"/>
            <family val="2"/>
          </rPr>
          <t>Uncertainty estimated from difference between well-mixed (87) and life time adjusted (67) GWP in https://csl.noaa.gov/groups/csl5/datasets/data/hcfcs/Summary%20C2%20Compounds.pdf</t>
        </r>
      </text>
    </comment>
    <comment ref="E86" authorId="0" shapeId="0" xr:uid="{CE418F3B-33CC-4736-AB6D-3AB1ABD04341}">
      <text>
        <r>
          <rPr>
            <sz val="9"/>
            <color indexed="81"/>
            <rFont val="Tahoma"/>
            <family val="2"/>
          </rPr>
          <t xml:space="preserve">https://csl.noaa.gov/groups/csl5/datasets/data/hcfcs/Summary%20C2%20Compounds.pdf
</t>
        </r>
      </text>
    </comment>
    <comment ref="F86" authorId="0" shapeId="0" xr:uid="{DA719F86-98E0-425F-A6A7-F06161A724A8}">
      <text>
        <r>
          <rPr>
            <sz val="9"/>
            <color indexed="81"/>
            <rFont val="Tahoma"/>
            <family val="2"/>
          </rPr>
          <t xml:space="preserve">Assumed to be subject to the same kind of uncertainties as the GWP estimate
</t>
        </r>
      </text>
    </comment>
    <comment ref="G86" authorId="0" shapeId="0" xr:uid="{17D02644-FC74-4FD0-9254-AB696DE7C2FF}">
      <text>
        <r>
          <rPr>
            <sz val="9"/>
            <color indexed="81"/>
            <rFont val="Tahoma"/>
            <family val="2"/>
          </rPr>
          <t xml:space="preserve">See note on CFC-11
</t>
        </r>
      </text>
    </comment>
    <comment ref="I86" authorId="0" shapeId="0" xr:uid="{2519C00F-19EF-4969-9BA7-4F3FD193517A}">
      <text>
        <r>
          <rPr>
            <sz val="9"/>
            <color indexed="81"/>
            <rFont val="Tahoma"/>
            <family val="2"/>
          </rPr>
          <t xml:space="preserve">See note on CFC-11
</t>
        </r>
      </text>
    </comment>
    <comment ref="J86" authorId="0" shapeId="0" xr:uid="{C8697350-581C-41EF-A85C-786B7980344A}">
      <text>
        <r>
          <rPr>
            <sz val="9"/>
            <color indexed="81"/>
            <rFont val="Tahoma"/>
            <family val="2"/>
          </rPr>
          <t xml:space="preserve">See notes on CFC11
</t>
        </r>
      </text>
    </comment>
    <comment ref="A87" authorId="0" shapeId="0" xr:uid="{DEED647F-D5BF-4DFD-BA9E-050CCB0805F7}">
      <text>
        <r>
          <rPr>
            <sz val="9"/>
            <color indexed="81"/>
            <rFont val="Tahoma"/>
            <family val="2"/>
          </rPr>
          <t>CH2ClCClF2
1,2-Dichloro-1,1-difluoroethane</t>
        </r>
        <r>
          <rPr>
            <b/>
            <sz val="9"/>
            <color indexed="81"/>
            <rFont val="Tahoma"/>
            <family val="2"/>
          </rPr>
          <t xml:space="preserve">
</t>
        </r>
        <r>
          <rPr>
            <sz val="9"/>
            <color indexed="81"/>
            <rFont val="Tahoma"/>
            <family val="2"/>
          </rPr>
          <t xml:space="preserve">
</t>
        </r>
      </text>
    </comment>
    <comment ref="D87" authorId="0" shapeId="0" xr:uid="{A7D063D3-8601-4D45-8D01-C985E7D042F4}">
      <text>
        <r>
          <rPr>
            <sz val="9"/>
            <color indexed="81"/>
            <rFont val="Tahoma"/>
            <family val="2"/>
          </rPr>
          <t>Uncertainty estimated from difference between well-mixed (479) and life time adjusted (441) GWP in https://csl.noaa.gov/groups/csl5/datasets/data/hcfcs/Summary%20C2%20Compounds.pdf</t>
        </r>
      </text>
    </comment>
    <comment ref="E87" authorId="0" shapeId="0" xr:uid="{06DFD8F5-D48D-4375-8954-87049D22778C}">
      <text>
        <r>
          <rPr>
            <sz val="9"/>
            <color indexed="81"/>
            <rFont val="Tahoma"/>
            <family val="2"/>
          </rPr>
          <t xml:space="preserve">https://csl.noaa.gov/groups/csl5/datasets/data/hcfcs/Summary%20C2%20Compounds.pdf
</t>
        </r>
      </text>
    </comment>
    <comment ref="F87" authorId="0" shapeId="0" xr:uid="{2BFACEBB-00E1-4E92-953D-E16432596DEF}">
      <text>
        <r>
          <rPr>
            <sz val="9"/>
            <color indexed="81"/>
            <rFont val="Tahoma"/>
            <family val="2"/>
          </rPr>
          <t xml:space="preserve">Assumed to be subject to the same kind of uncertainties as the GWP estimate
</t>
        </r>
      </text>
    </comment>
    <comment ref="G87" authorId="0" shapeId="0" xr:uid="{59D7F825-F859-43E6-8BBC-A53EED883D0B}">
      <text>
        <r>
          <rPr>
            <sz val="9"/>
            <color indexed="81"/>
            <rFont val="Tahoma"/>
            <family val="2"/>
          </rPr>
          <t xml:space="preserve">See note on CFC-11
</t>
        </r>
      </text>
    </comment>
    <comment ref="I87" authorId="0" shapeId="0" xr:uid="{1CD09451-9FB5-4519-9724-9764B683DB3A}">
      <text>
        <r>
          <rPr>
            <sz val="9"/>
            <color indexed="81"/>
            <rFont val="Tahoma"/>
            <family val="2"/>
          </rPr>
          <t xml:space="preserve">See note on CFC-11
</t>
        </r>
      </text>
    </comment>
    <comment ref="J87" authorId="0" shapeId="0" xr:uid="{A9B3B54C-681D-454D-9D85-82E88D059FE9}">
      <text>
        <r>
          <rPr>
            <sz val="9"/>
            <color indexed="81"/>
            <rFont val="Tahoma"/>
            <family val="2"/>
          </rPr>
          <t xml:space="preserve">See notes on CFC11
</t>
        </r>
      </text>
    </comment>
    <comment ref="A88" authorId="0" shapeId="0" xr:uid="{00000000-0006-0000-0900-00008F000000}">
      <text>
        <r>
          <rPr>
            <sz val="9"/>
            <color indexed="81"/>
            <rFont val="Tahoma"/>
            <family val="2"/>
          </rPr>
          <t xml:space="preserve">HCFC 132 =1,2-DICHLORO-1,2-DIFLUOROETHANE
HCFC 132c = 1,1-DICHLORO-1,2-DIFLUOROETHANE
</t>
        </r>
      </text>
    </comment>
    <comment ref="C88" authorId="0" shapeId="0" xr:uid="{D2C44AF6-313D-43C6-9AD0-33041F7D7B48}">
      <text>
        <r>
          <rPr>
            <sz val="8"/>
            <color indexed="81"/>
            <rFont val="Tahoma"/>
            <family val="2"/>
          </rPr>
          <t xml:space="preserve">(IPCC AR6 WGI Table 7.SM.7)
</t>
        </r>
      </text>
    </comment>
    <comment ref="D88" authorId="0" shapeId="0" xr:uid="{3A1D448A-D332-47C5-B2CF-1B1CCEED4115}">
      <text>
        <r>
          <rPr>
            <sz val="9"/>
            <color indexed="81"/>
            <rFont val="Tahoma"/>
            <family val="2"/>
          </rPr>
          <t>Uncertainty estimated from difference between well-mixed (360) and life time adjusted (325) GWP in https://csl.noaa.gov/groups/csl5/datasets/data/hcfcs/Summary%20C2%20Compounds.pdf</t>
        </r>
      </text>
    </comment>
    <comment ref="E88" authorId="0" shapeId="0" xr:uid="{5AD36FBA-C1E9-4DFC-9D82-4E19B9F3A63B}">
      <text>
        <r>
          <rPr>
            <sz val="9"/>
            <color indexed="81"/>
            <rFont val="Tahoma"/>
            <family val="2"/>
          </rPr>
          <t xml:space="preserve">The Montreal Protocol on Substances that Deplete the Ozone Layer. UNEP, 2000. ISBN 92-807-1888-6
</t>
        </r>
      </text>
    </comment>
    <comment ref="F88" authorId="0" shapeId="0" xr:uid="{A13B9333-1188-4DFC-8D08-27E0DBFBC282}">
      <text>
        <r>
          <rPr>
            <sz val="9"/>
            <color indexed="81"/>
            <rFont val="Tahoma"/>
            <family val="2"/>
          </rPr>
          <t xml:space="preserve">Assumed to be subject to the same kind of uncertainties as the GWP estimate
</t>
        </r>
      </text>
    </comment>
    <comment ref="G88" authorId="0" shapeId="0" xr:uid="{00000000-0006-0000-0900-000093000000}">
      <text>
        <r>
          <rPr>
            <sz val="9"/>
            <color indexed="81"/>
            <rFont val="Tahoma"/>
            <family val="2"/>
          </rPr>
          <t xml:space="preserve">See note on CFC-11
</t>
        </r>
      </text>
    </comment>
    <comment ref="I88" authorId="0" shapeId="0" xr:uid="{00000000-0006-0000-0900-000094000000}">
      <text>
        <r>
          <rPr>
            <sz val="9"/>
            <color indexed="81"/>
            <rFont val="Tahoma"/>
            <family val="2"/>
          </rPr>
          <t xml:space="preserve">See notes on CFC11
</t>
        </r>
      </text>
    </comment>
    <comment ref="J88" authorId="0" shapeId="0" xr:uid="{00000000-0006-0000-0900-000095000000}">
      <text>
        <r>
          <rPr>
            <sz val="9"/>
            <color indexed="81"/>
            <rFont val="Tahoma"/>
            <family val="2"/>
          </rPr>
          <t xml:space="preserve">See notes on CFC11
</t>
        </r>
      </text>
    </comment>
    <comment ref="A89" authorId="0" shapeId="0" xr:uid="{D56443B1-5F26-4BA3-B58A-C46062EBDCC5}">
      <text>
        <r>
          <rPr>
            <sz val="9"/>
            <color indexed="81"/>
            <rFont val="Tahoma"/>
            <family val="2"/>
          </rPr>
          <t xml:space="preserve">CHClFCHF2
1-Chloro-1,2,2-trifluoroethane
</t>
        </r>
      </text>
    </comment>
    <comment ref="D89" authorId="0" shapeId="0" xr:uid="{0080F602-6B41-44FE-8E87-E51CCB83FA7E}">
      <text>
        <r>
          <rPr>
            <sz val="9"/>
            <color indexed="81"/>
            <rFont val="Tahoma"/>
            <family val="2"/>
          </rPr>
          <t>Uncertainty estimated from difference between well-mixed (308) and life time adjusted (273) GWP in https://csl.noaa.gov/groups/csl5/datasets/data/hcfcs/Summary%20C2%20Compounds.pdf</t>
        </r>
      </text>
    </comment>
    <comment ref="E89" authorId="0" shapeId="0" xr:uid="{50676712-5C52-48B0-A7CF-6A74D7A8C719}">
      <text>
        <r>
          <rPr>
            <sz val="9"/>
            <color indexed="81"/>
            <rFont val="Tahoma"/>
            <family val="2"/>
          </rPr>
          <t xml:space="preserve">https://csl.noaa.gov/groups/csl5/datasets/data/hcfcs/Summary%20C2%20Compounds.pdf
</t>
        </r>
      </text>
    </comment>
    <comment ref="F89" authorId="0" shapeId="0" xr:uid="{883AE008-D013-4244-B3A8-3DD5D1D7990C}">
      <text>
        <r>
          <rPr>
            <sz val="9"/>
            <color indexed="81"/>
            <rFont val="Tahoma"/>
            <family val="2"/>
          </rPr>
          <t xml:space="preserve">Assumed to be subject to the same kind of uncertainties as the GWP estimate
</t>
        </r>
      </text>
    </comment>
    <comment ref="G89" authorId="0" shapeId="0" xr:uid="{0D0DFCB4-B217-4924-97EF-246289232AD2}">
      <text>
        <r>
          <rPr>
            <sz val="9"/>
            <color indexed="81"/>
            <rFont val="Tahoma"/>
            <family val="2"/>
          </rPr>
          <t xml:space="preserve">See note on CFC-11
</t>
        </r>
      </text>
    </comment>
    <comment ref="I89" authorId="0" shapeId="0" xr:uid="{3DC59578-5D21-4B20-BA85-4F23E116364D}">
      <text>
        <r>
          <rPr>
            <sz val="9"/>
            <color indexed="81"/>
            <rFont val="Tahoma"/>
            <family val="2"/>
          </rPr>
          <t xml:space="preserve">See note on CFC-11
</t>
        </r>
      </text>
    </comment>
    <comment ref="J89" authorId="0" shapeId="0" xr:uid="{0871535A-0695-41BA-ADB1-342F50490A05}">
      <text>
        <r>
          <rPr>
            <sz val="9"/>
            <color indexed="81"/>
            <rFont val="Tahoma"/>
            <family val="2"/>
          </rPr>
          <t xml:space="preserve">See notes on CFC11
</t>
        </r>
      </text>
    </comment>
    <comment ref="A90" authorId="0" shapeId="0" xr:uid="{CDAFFF81-F6B3-4F4B-8354-CA208CF0CBF9}">
      <text>
        <r>
          <rPr>
            <sz val="9"/>
            <color indexed="81"/>
            <rFont val="Tahoma"/>
            <family val="2"/>
          </rPr>
          <t xml:space="preserve">CH2ClCF3
</t>
        </r>
      </text>
    </comment>
    <comment ref="C90" authorId="0" shapeId="0" xr:uid="{F1BB7E22-3A6D-46D7-ACC4-2261D9C7C2A0}">
      <text>
        <r>
          <rPr>
            <sz val="8"/>
            <color indexed="81"/>
            <rFont val="Tahoma"/>
            <family val="2"/>
          </rPr>
          <t xml:space="preserve">(IPCC AR6 WGI Table 7.SM.7)
</t>
        </r>
      </text>
    </comment>
    <comment ref="D90" authorId="0" shapeId="0" xr:uid="{83D26A20-FE60-4B1E-8579-74BD9D6A9713}">
      <text>
        <r>
          <rPr>
            <sz val="9"/>
            <color indexed="81"/>
            <rFont val="Tahoma"/>
            <family val="2"/>
          </rPr>
          <t>Uncertainty estimated from difference to and between well-mixed (779) and life time adjusted (773) GWP in https://csl.noaa.gov/groups/csl5/datasets/data/hcfcs/Summary%20C2%20Compounds.pdf</t>
        </r>
      </text>
    </comment>
    <comment ref="E90" authorId="0" shapeId="0" xr:uid="{62364B43-F34A-4D13-9CAB-9441A9FC9578}">
      <text>
        <r>
          <rPr>
            <sz val="9"/>
            <color indexed="81"/>
            <rFont val="Tahoma"/>
            <family val="2"/>
          </rPr>
          <t xml:space="preserve">The Montreal Protocol on Substances that Deplete the Ozone Layer. UNEP, 2000. ISBN 92-807-1888-6
</t>
        </r>
      </text>
    </comment>
    <comment ref="F90" authorId="0" shapeId="0" xr:uid="{00000000-0006-0000-0900-000098000000}">
      <text>
        <r>
          <rPr>
            <sz val="9"/>
            <color indexed="81"/>
            <rFont val="Tahoma"/>
            <family val="2"/>
          </rPr>
          <t xml:space="preserve">Estimated from the interval given in the montreal protocol (0.02–0.06), and the value (0.026) given in https://csl.noaa.gov/groups/csl5/datasets/data/hcfcs/Summary%20C2%20Compounds.pdf
</t>
        </r>
      </text>
    </comment>
    <comment ref="G90" authorId="0" shapeId="0" xr:uid="{00000000-0006-0000-0900-000099000000}">
      <text>
        <r>
          <rPr>
            <sz val="9"/>
            <color indexed="81"/>
            <rFont val="Tahoma"/>
            <family val="2"/>
          </rPr>
          <t xml:space="preserve">See note on CFC-11
</t>
        </r>
      </text>
    </comment>
    <comment ref="I90" authorId="0" shapeId="0" xr:uid="{00000000-0006-0000-0900-00009A000000}">
      <text>
        <r>
          <rPr>
            <sz val="9"/>
            <color indexed="81"/>
            <rFont val="Tahoma"/>
            <family val="2"/>
          </rPr>
          <t xml:space="preserve">See notes on CFC11
</t>
        </r>
      </text>
    </comment>
    <comment ref="J90" authorId="0" shapeId="0" xr:uid="{00000000-0006-0000-0900-00009B000000}">
      <text>
        <r>
          <rPr>
            <sz val="9"/>
            <color indexed="81"/>
            <rFont val="Tahoma"/>
            <family val="2"/>
          </rPr>
          <t xml:space="preserve">See notes on CFC11
</t>
        </r>
      </text>
    </comment>
    <comment ref="A91" authorId="0" shapeId="0" xr:uid="{B2430F7D-9718-4D3F-8529-CF206F1FE24A}">
      <text>
        <r>
          <rPr>
            <sz val="9"/>
            <color indexed="81"/>
            <rFont val="Tahoma"/>
            <family val="2"/>
          </rPr>
          <t xml:space="preserve">CH2FCClF2
1-Chloro-1,1,2-trifluoroethane
</t>
        </r>
      </text>
    </comment>
    <comment ref="D91" authorId="0" shapeId="0" xr:uid="{269D0A7C-5A55-4B10-B287-F0ADD1D5C1FB}">
      <text>
        <r>
          <rPr>
            <sz val="9"/>
            <color indexed="81"/>
            <rFont val="Tahoma"/>
            <family val="2"/>
          </rPr>
          <t>Uncertainty estimated from difference to and between well-mixed (810) and life time adjusted (762) GWP in https://csl.noaa.gov/groups/csl5/datasets/data/hcfcs/Summary%20C2%20Compounds.pdf</t>
        </r>
      </text>
    </comment>
    <comment ref="F91" authorId="0" shapeId="0" xr:uid="{2910E5E3-D7E1-4D99-9848-47DFE5E5E604}">
      <text>
        <r>
          <rPr>
            <sz val="9"/>
            <color indexed="81"/>
            <rFont val="Tahoma"/>
            <family val="2"/>
          </rPr>
          <t xml:space="preserve">Assumed to be subject to the same kind of uncertainties as the GWP estimate
</t>
        </r>
      </text>
    </comment>
    <comment ref="G91" authorId="0" shapeId="0" xr:uid="{5C43422C-39C3-451D-86DF-CCFA9FDEBC4C}">
      <text>
        <r>
          <rPr>
            <sz val="9"/>
            <color indexed="81"/>
            <rFont val="Tahoma"/>
            <family val="2"/>
          </rPr>
          <t xml:space="preserve">See note on CFC-11
</t>
        </r>
      </text>
    </comment>
    <comment ref="I91" authorId="0" shapeId="0" xr:uid="{D1BBAB01-8598-49FE-B74E-77999DDE6C4C}">
      <text>
        <r>
          <rPr>
            <sz val="9"/>
            <color indexed="81"/>
            <rFont val="Tahoma"/>
            <family val="2"/>
          </rPr>
          <t xml:space="preserve">See note on CFC-11
</t>
        </r>
      </text>
    </comment>
    <comment ref="J91" authorId="0" shapeId="0" xr:uid="{8B41504D-C909-4B12-A28D-FBCC92E18AB2}">
      <text>
        <r>
          <rPr>
            <sz val="9"/>
            <color indexed="81"/>
            <rFont val="Tahoma"/>
            <family val="2"/>
          </rPr>
          <t xml:space="preserve">See notes on CFC11
</t>
        </r>
      </text>
    </comment>
    <comment ref="A92" authorId="0" shapeId="0" xr:uid="{01138D9E-0658-4FA1-9CBF-13330AEECEA2}">
      <text>
        <r>
          <rPr>
            <sz val="9"/>
            <color indexed="81"/>
            <rFont val="Tahoma"/>
            <family val="2"/>
          </rPr>
          <t>CH2ClCHClF
1,2-Dichloro-1-fluoroethane</t>
        </r>
      </text>
    </comment>
    <comment ref="C92" authorId="0" shapeId="0" xr:uid="{8360AD43-CB93-449F-B137-868A1FBEB201}">
      <text>
        <r>
          <rPr>
            <sz val="8"/>
            <color indexed="81"/>
            <rFont val="Tahoma"/>
            <family val="2"/>
          </rPr>
          <t xml:space="preserve">(IPCC AR6 WGI Table 7.SM.7)
</t>
        </r>
      </text>
    </comment>
    <comment ref="D92" authorId="0" shapeId="0" xr:uid="{15B8FA11-78CB-4A91-B3D1-21C73EDE1C7B}">
      <text>
        <r>
          <rPr>
            <sz val="9"/>
            <color indexed="81"/>
            <rFont val="Tahoma"/>
            <family val="2"/>
          </rPr>
          <t>Uncertainty estimated from difference to and between well-mixed (60) and life time adjusted (46) GWP in https://csl.noaa.gov/groups/csl5/datasets/data/hcfcs/Summary%20C2%20Compounds.pdf</t>
        </r>
      </text>
    </comment>
    <comment ref="E92" authorId="0" shapeId="0" xr:uid="{2C86E2DF-245D-4AC8-B74C-2AC235BA582D}">
      <text>
        <r>
          <rPr>
            <sz val="9"/>
            <color indexed="81"/>
            <rFont val="Tahoma"/>
            <family val="2"/>
          </rPr>
          <t xml:space="preserve">The Montreal Protocol on Substances that Deplete the Ozone Layer. UNEP, 2000. ISBN 92-807-1888-6
</t>
        </r>
      </text>
    </comment>
    <comment ref="F92" authorId="0" shapeId="0" xr:uid="{00000000-0006-0000-0900-00009E000000}">
      <text>
        <r>
          <rPr>
            <sz val="9"/>
            <color indexed="81"/>
            <rFont val="Tahoma"/>
            <family val="2"/>
          </rPr>
          <t xml:space="preserve">Estimated from the interval given in the montreal protocol, 0.005–0.07, and the difference to the value (0.022) given in https://csl.noaa.gov/groups/csl5/datasets/data/hcfcs/Summary%20C2%20Compounds.pdf
</t>
        </r>
      </text>
    </comment>
    <comment ref="G92" authorId="0" shapeId="0" xr:uid="{00000000-0006-0000-0900-00009F000000}">
      <text>
        <r>
          <rPr>
            <sz val="9"/>
            <color indexed="81"/>
            <rFont val="Tahoma"/>
            <family val="2"/>
          </rPr>
          <t xml:space="preserve">See note on CFC-11
</t>
        </r>
      </text>
    </comment>
    <comment ref="I92" authorId="0" shapeId="0" xr:uid="{00000000-0006-0000-0900-0000A0000000}">
      <text>
        <r>
          <rPr>
            <sz val="9"/>
            <color indexed="81"/>
            <rFont val="Tahoma"/>
            <family val="2"/>
          </rPr>
          <t xml:space="preserve">See notes on CFC11
</t>
        </r>
      </text>
    </comment>
    <comment ref="J92" authorId="0" shapeId="0" xr:uid="{00000000-0006-0000-0900-0000A1000000}">
      <text>
        <r>
          <rPr>
            <sz val="9"/>
            <color indexed="81"/>
            <rFont val="Tahoma"/>
            <family val="2"/>
          </rPr>
          <t xml:space="preserve">See notes on CFC11
</t>
        </r>
      </text>
    </comment>
    <comment ref="A93" authorId="0" shapeId="0" xr:uid="{7CA02729-E91D-4E8A-A3D5-CA066318B21B}">
      <text>
        <r>
          <rPr>
            <sz val="9"/>
            <color indexed="81"/>
            <rFont val="Tahoma"/>
            <family val="2"/>
          </rPr>
          <t>CH2FCHCl2
1,1-Dichloro-2-fluoroethane</t>
        </r>
      </text>
    </comment>
    <comment ref="C93" authorId="0" shapeId="0" xr:uid="{3EB14B6D-1FBD-41BD-BED7-1ADDF50957E7}">
      <text>
        <r>
          <rPr>
            <sz val="9"/>
            <color indexed="81"/>
            <rFont val="Tahoma"/>
            <family val="2"/>
          </rPr>
          <t xml:space="preserve">https://csl.noaa.gov/groups/csl5/datasets/data/hcfcs/Summary%20C2%20Compounds.pdf
</t>
        </r>
      </text>
    </comment>
    <comment ref="D93" authorId="0" shapeId="0" xr:uid="{FB00D0BF-1ADE-4528-9CB8-292CE5753B89}">
      <text>
        <r>
          <rPr>
            <sz val="9"/>
            <color indexed="81"/>
            <rFont val="Tahoma"/>
            <family val="2"/>
          </rPr>
          <t>Uncertainty estimated from difference to and between well-mixed (25) and life time adjusted (15) GWP in https://csl.noaa.gov/groups/csl5/datasets/data/hcfcs/Summary%20C2%20Compounds.pdf</t>
        </r>
      </text>
    </comment>
    <comment ref="E93" authorId="0" shapeId="0" xr:uid="{DB09BC2A-F882-42CD-8F23-FC33957C6750}">
      <text>
        <r>
          <rPr>
            <sz val="9"/>
            <color indexed="81"/>
            <rFont val="Tahoma"/>
            <family val="2"/>
          </rPr>
          <t xml:space="preserve">https://csl.noaa.gov/groups/csl5/datasets/data/hcfcs/Summary%20C2%20Compounds.pdf
</t>
        </r>
      </text>
    </comment>
    <comment ref="F93" authorId="0" shapeId="0" xr:uid="{8482417B-1556-436C-B415-CD0ABC07CF92}">
      <text>
        <r>
          <rPr>
            <sz val="9"/>
            <color indexed="81"/>
            <rFont val="Tahoma"/>
            <family val="2"/>
          </rPr>
          <t xml:space="preserve">Assumed to be subject to the same kind of uncertainties as the GWP estimate
</t>
        </r>
      </text>
    </comment>
    <comment ref="G93" authorId="0" shapeId="0" xr:uid="{29D39E23-EF31-48C6-86CB-EAF2851F2E65}">
      <text>
        <r>
          <rPr>
            <sz val="9"/>
            <color indexed="81"/>
            <rFont val="Tahoma"/>
            <family val="2"/>
          </rPr>
          <t xml:space="preserve">See note on CFC-11
</t>
        </r>
      </text>
    </comment>
    <comment ref="I93" authorId="0" shapeId="0" xr:uid="{52CD725D-D22F-4BD6-910E-96681AAB8546}">
      <text>
        <r>
          <rPr>
            <sz val="9"/>
            <color indexed="81"/>
            <rFont val="Tahoma"/>
            <family val="2"/>
          </rPr>
          <t xml:space="preserve">See note on CFC-11
</t>
        </r>
      </text>
    </comment>
    <comment ref="J93" authorId="0" shapeId="0" xr:uid="{CE7C306D-16A8-4ED3-9900-001991887C30}">
      <text>
        <r>
          <rPr>
            <sz val="9"/>
            <color indexed="81"/>
            <rFont val="Tahoma"/>
            <family val="2"/>
          </rPr>
          <t xml:space="preserve">See notes on CFC11
</t>
        </r>
      </text>
    </comment>
    <comment ref="A94" authorId="0" shapeId="0" xr:uid="{15BFA021-069B-485A-A75E-A3F06D88CFBF}">
      <text>
        <r>
          <rPr>
            <sz val="9"/>
            <color indexed="81"/>
            <rFont val="Tahoma"/>
            <family val="2"/>
          </rPr>
          <t>CH3CCl2F
1,1-Dichloro-1-fluoroethane</t>
        </r>
      </text>
    </comment>
    <comment ref="C94" authorId="0" shapeId="0" xr:uid="{C56C5BD9-0A1A-4D4A-B09E-CCEB685694DB}">
      <text>
        <r>
          <rPr>
            <sz val="8"/>
            <color indexed="81"/>
            <rFont val="Tahoma"/>
            <family val="2"/>
          </rPr>
          <t xml:space="preserve">(IPCC AR6 WGI Table 7.SM.7)
</t>
        </r>
      </text>
    </comment>
    <comment ref="D94" authorId="0" shapeId="0" xr:uid="{3DA63774-0925-4BD2-8E30-78D83F0E56CB}">
      <text>
        <r>
          <rPr>
            <sz val="9"/>
            <color indexed="81"/>
            <rFont val="Tahoma"/>
            <family val="2"/>
          </rPr>
          <t>Uncertainty estimated from difference to and between well-mixed (713) and life time adjusted (676) GWP in https://csl.noaa.gov/groups/csl5/datasets/data/hcfcs/Summary%20C2%20Compounds.pdf</t>
        </r>
      </text>
    </comment>
    <comment ref="E94" authorId="0" shapeId="0" xr:uid="{54E6112F-B0DF-4C84-A489-3A36A1DCB511}">
      <text>
        <r>
          <rPr>
            <sz val="9"/>
            <color indexed="81"/>
            <rFont val="Tahoma"/>
            <family val="2"/>
          </rPr>
          <t xml:space="preserve">The Montreal Protocol on Substances that Deplete the Ozone Layer. UNEP, 2000. ISBN 92-807-1888-6
</t>
        </r>
      </text>
    </comment>
    <comment ref="F94" authorId="0" shapeId="0" xr:uid="{D8EDBD4F-8402-49CB-9FA4-D03DE2A10E9D}">
      <text>
        <r>
          <rPr>
            <sz val="9"/>
            <color indexed="81"/>
            <rFont val="Tahoma"/>
            <family val="2"/>
          </rPr>
          <t xml:space="preserve">Assumed to be subject to the same kind of uncertainties as the GWP estimate. ODP is 0.122 according to https://csl.noaa.gov/groups/csl5/datasets/data/hcfcs/Summary%20C2%20Compounds.pdf
</t>
        </r>
      </text>
    </comment>
    <comment ref="G94" authorId="0" shapeId="0" xr:uid="{00000000-0006-0000-0900-0000A4000000}">
      <text>
        <r>
          <rPr>
            <sz val="9"/>
            <color indexed="81"/>
            <rFont val="Tahoma"/>
            <family val="2"/>
          </rPr>
          <t xml:space="preserve">See note on CFC-11
</t>
        </r>
      </text>
    </comment>
    <comment ref="I94" authorId="0" shapeId="0" xr:uid="{00000000-0006-0000-0900-0000A5000000}">
      <text>
        <r>
          <rPr>
            <sz val="9"/>
            <color indexed="81"/>
            <rFont val="Tahoma"/>
            <family val="2"/>
          </rPr>
          <t xml:space="preserve">See notes on CFC11
</t>
        </r>
      </text>
    </comment>
    <comment ref="J94" authorId="0" shapeId="0" xr:uid="{00000000-0006-0000-0900-0000A6000000}">
      <text>
        <r>
          <rPr>
            <sz val="9"/>
            <color indexed="81"/>
            <rFont val="Tahoma"/>
            <family val="2"/>
          </rPr>
          <t xml:space="preserve">See notes on CFC11
</t>
        </r>
      </text>
    </comment>
    <comment ref="A95" authorId="0" shapeId="0" xr:uid="{C8161ECD-817C-4275-846C-18C7CC25D5D9}">
      <text>
        <r>
          <rPr>
            <sz val="9"/>
            <color indexed="81"/>
            <rFont val="Tahoma"/>
            <family val="2"/>
          </rPr>
          <t xml:space="preserve">CH2ClCHF2
2-Chloro-1,1-difluoroethane
</t>
        </r>
      </text>
    </comment>
    <comment ref="C95" authorId="0" shapeId="0" xr:uid="{B5B2EDD5-012C-450D-B02A-520F7EAE9533}">
      <text>
        <r>
          <rPr>
            <sz val="9"/>
            <color indexed="81"/>
            <rFont val="Tahoma"/>
            <family val="2"/>
          </rPr>
          <t xml:space="preserve">https://csl.noaa.gov/groups/csl5/datasets/data/hcfcs/Summary%20C2%20Compounds.pdf
</t>
        </r>
      </text>
    </comment>
    <comment ref="D95" authorId="0" shapeId="0" xr:uid="{0CEAB1AD-13B3-4998-965C-91FB688664AD}">
      <text>
        <r>
          <rPr>
            <sz val="9"/>
            <color indexed="81"/>
            <rFont val="Tahoma"/>
            <family val="2"/>
          </rPr>
          <t>Uncertainty estimated from difference to and between well-mixed (200) and life time adjusted (174) GWP in https://csl.noaa.gov/groups/csl5/datasets/data/hcfcs/Summary%20C2%20Compounds.pdf</t>
        </r>
      </text>
    </comment>
    <comment ref="E95" authorId="0" shapeId="0" xr:uid="{CA60746D-084E-4135-8478-4D63CF4632B7}">
      <text>
        <r>
          <rPr>
            <sz val="9"/>
            <color indexed="81"/>
            <rFont val="Tahoma"/>
            <family val="2"/>
          </rPr>
          <t xml:space="preserve">https://csl.noaa.gov/groups/csl5/datasets/data/hcfcs/Summary%20C2%20Compounds.pdf
</t>
        </r>
      </text>
    </comment>
    <comment ref="F95" authorId="0" shapeId="0" xr:uid="{52200BEA-9877-4629-A59E-BD5EAB027569}">
      <text>
        <r>
          <rPr>
            <sz val="9"/>
            <color indexed="81"/>
            <rFont val="Tahoma"/>
            <family val="2"/>
          </rPr>
          <t xml:space="preserve">Assumed to be subject to the same kind of uncertainties as the GWP estimate
</t>
        </r>
      </text>
    </comment>
    <comment ref="G95" authorId="0" shapeId="0" xr:uid="{9BD6BF52-B2D7-4C8F-BFEC-F58A15BC0231}">
      <text>
        <r>
          <rPr>
            <sz val="9"/>
            <color indexed="81"/>
            <rFont val="Tahoma"/>
            <family val="2"/>
          </rPr>
          <t xml:space="preserve">See note on CFC-11
</t>
        </r>
      </text>
    </comment>
    <comment ref="I95" authorId="0" shapeId="0" xr:uid="{EA42FAC2-3CBA-4527-A882-77A45754465C}">
      <text>
        <r>
          <rPr>
            <sz val="9"/>
            <color indexed="81"/>
            <rFont val="Tahoma"/>
            <family val="2"/>
          </rPr>
          <t xml:space="preserve">See note on CFC-11
</t>
        </r>
      </text>
    </comment>
    <comment ref="J95" authorId="0" shapeId="0" xr:uid="{C28A9DFC-9881-44EC-B95B-176459561E9C}">
      <text>
        <r>
          <rPr>
            <sz val="9"/>
            <color indexed="81"/>
            <rFont val="Tahoma"/>
            <family val="2"/>
          </rPr>
          <t xml:space="preserve">See notes on CFC11
</t>
        </r>
      </text>
    </comment>
    <comment ref="A96" authorId="0" shapeId="0" xr:uid="{DC980DA1-EE24-4195-B186-F19C0986B33E}">
      <text>
        <r>
          <rPr>
            <sz val="9"/>
            <color indexed="81"/>
            <rFont val="Tahoma"/>
            <family val="2"/>
          </rPr>
          <t>CH2FCHClF
1-Chloro-1,2-difluoroethane</t>
        </r>
      </text>
    </comment>
    <comment ref="C96" authorId="0" shapeId="0" xr:uid="{674637DC-5828-468A-96F6-40F92E7A92D5}">
      <text>
        <r>
          <rPr>
            <sz val="9"/>
            <color indexed="81"/>
            <rFont val="Tahoma"/>
            <family val="2"/>
          </rPr>
          <t xml:space="preserve">https://csl.noaa.gov/groups/csl5/datasets/data/hcfcs/Summary%20C2%20Compounds.pdf
</t>
        </r>
      </text>
    </comment>
    <comment ref="D96" authorId="0" shapeId="0" xr:uid="{3D62911B-ED6E-42F1-B4B0-FE19D05008D4}">
      <text>
        <r>
          <rPr>
            <sz val="9"/>
            <color indexed="81"/>
            <rFont val="Tahoma"/>
            <family val="2"/>
          </rPr>
          <t>Uncertainty estimated from difference  between well-mixed (133) and life time adjusted (108) GWP in https://csl.noaa.gov/groups/csl5/datasets/data/hcfcs/Summary%20C2%20Compounds.pdf</t>
        </r>
      </text>
    </comment>
    <comment ref="E96" authorId="0" shapeId="0" xr:uid="{2D77FF39-3A1F-43AA-A1E2-D35D98FEEB36}">
      <text>
        <r>
          <rPr>
            <sz val="9"/>
            <color indexed="81"/>
            <rFont val="Tahoma"/>
            <family val="2"/>
          </rPr>
          <t xml:space="preserve">https://csl.noaa.gov/groups/csl5/datasets/data/hcfcs/Summary%20C2%20Compounds.pdf
</t>
        </r>
      </text>
    </comment>
    <comment ref="F96" authorId="0" shapeId="0" xr:uid="{0B758B6B-73E4-4AC0-B91D-6EAD43E3BD28}">
      <text>
        <r>
          <rPr>
            <sz val="9"/>
            <color indexed="81"/>
            <rFont val="Tahoma"/>
            <family val="2"/>
          </rPr>
          <t xml:space="preserve">Assumed to be subject to the same kind of uncertainties as the GWP estimate
</t>
        </r>
      </text>
    </comment>
    <comment ref="G96" authorId="0" shapeId="0" xr:uid="{2B090094-FCE4-4C52-8391-8E70581FCBED}">
      <text>
        <r>
          <rPr>
            <sz val="9"/>
            <color indexed="81"/>
            <rFont val="Tahoma"/>
            <family val="2"/>
          </rPr>
          <t xml:space="preserve">See note on CFC-11
</t>
        </r>
      </text>
    </comment>
    <comment ref="I96" authorId="0" shapeId="0" xr:uid="{B3CEF2B3-C1CA-481B-866F-DFD980A959C8}">
      <text>
        <r>
          <rPr>
            <sz val="9"/>
            <color indexed="81"/>
            <rFont val="Tahoma"/>
            <family val="2"/>
          </rPr>
          <t xml:space="preserve">See note on CFC-11
</t>
        </r>
      </text>
    </comment>
    <comment ref="J96" authorId="0" shapeId="0" xr:uid="{E8B63F15-7D44-4587-A8C1-92BE1BC698F0}">
      <text>
        <r>
          <rPr>
            <sz val="9"/>
            <color indexed="81"/>
            <rFont val="Tahoma"/>
            <family val="2"/>
          </rPr>
          <t xml:space="preserve">See notes on CFC11
</t>
        </r>
      </text>
    </comment>
    <comment ref="A97" authorId="0" shapeId="0" xr:uid="{F02EA243-A8A9-401E-AD8C-7B2DC476F144}">
      <text>
        <r>
          <rPr>
            <sz val="9"/>
            <color indexed="81"/>
            <rFont val="Tahoma"/>
            <family val="2"/>
          </rPr>
          <t xml:space="preserve">CH3CClF2
</t>
        </r>
      </text>
    </comment>
    <comment ref="C97" authorId="0" shapeId="0" xr:uid="{0D552912-65B3-4756-9D45-638505B5213B}">
      <text>
        <r>
          <rPr>
            <sz val="8"/>
            <color indexed="81"/>
            <rFont val="Tahoma"/>
            <family val="2"/>
          </rPr>
          <t xml:space="preserve">(IPCC AR6 WGI Table 7.SM.7)
</t>
        </r>
      </text>
    </comment>
    <comment ref="D97" authorId="0" shapeId="0" xr:uid="{6B6E70FB-98B4-424F-B5A8-0524001428D9}">
      <text>
        <r>
          <rPr>
            <sz val="9"/>
            <color indexed="81"/>
            <rFont val="Tahoma"/>
            <family val="2"/>
          </rPr>
          <t>Uncertainty estimated from difference to and between well-mixed (1978) and life time adjusted (1916) GWP in https://csl.noaa.gov/groups/csl5/datasets/data/hcfcs/Summary%20C2%20Compounds.pdf</t>
        </r>
      </text>
    </comment>
    <comment ref="E97" authorId="0" shapeId="0" xr:uid="{00000000-0006-0000-0900-0000AE000000}">
      <text>
        <r>
          <rPr>
            <sz val="9"/>
            <color indexed="81"/>
            <rFont val="Tahoma"/>
            <family val="2"/>
          </rPr>
          <t xml:space="preserve">The Montreal Protocol on Substances that Deplete the Ozone Layer. UNEP, 2000. ISBN 92-807-1888-6
</t>
        </r>
      </text>
    </comment>
    <comment ref="F97" authorId="0" shapeId="0" xr:uid="{6EA9F0EA-0196-4416-BEB3-1CE2E0F65E77}">
      <text>
        <r>
          <rPr>
            <sz val="9"/>
            <color indexed="81"/>
            <rFont val="Tahoma"/>
            <family val="2"/>
          </rPr>
          <t xml:space="preserve">Assumed to be subject to the same kind of uncertainties as the GWP estimate. ODP is 0.041 according to https://csl.noaa.gov/groups/csl5/datasets/data/hcfcs/Summary%20C2%20Compounds.pdf
</t>
        </r>
      </text>
    </comment>
    <comment ref="G97" authorId="0" shapeId="0" xr:uid="{00000000-0006-0000-0900-0000AF000000}">
      <text>
        <r>
          <rPr>
            <sz val="9"/>
            <color indexed="81"/>
            <rFont val="Tahoma"/>
            <family val="2"/>
          </rPr>
          <t xml:space="preserve">See note on CFC-11
</t>
        </r>
      </text>
    </comment>
    <comment ref="I97" authorId="0" shapeId="0" xr:uid="{00000000-0006-0000-0900-0000B0000000}">
      <text>
        <r>
          <rPr>
            <sz val="9"/>
            <color indexed="81"/>
            <rFont val="Tahoma"/>
            <family val="2"/>
          </rPr>
          <t xml:space="preserve">See notes on CFC11
</t>
        </r>
      </text>
    </comment>
    <comment ref="J97" authorId="0" shapeId="0" xr:uid="{00000000-0006-0000-0900-0000B1000000}">
      <text>
        <r>
          <rPr>
            <sz val="9"/>
            <color indexed="81"/>
            <rFont val="Tahoma"/>
            <family val="2"/>
          </rPr>
          <t xml:space="preserve">See notes on CFC11
</t>
        </r>
      </text>
    </comment>
    <comment ref="A98" authorId="0" shapeId="0" xr:uid="{E77898F0-B56B-43A4-A92C-B2BDE52B04E9}">
      <text>
        <r>
          <rPr>
            <sz val="9"/>
            <color indexed="81"/>
            <rFont val="Tahoma"/>
            <family val="2"/>
          </rPr>
          <t xml:space="preserve">C2H4ClF
1-chloro-2-fluoroethane
</t>
        </r>
      </text>
    </comment>
    <comment ref="C98" authorId="0" shapeId="0" xr:uid="{BBC4B104-D91A-4F05-9E68-0E1EC1269635}">
      <text>
        <r>
          <rPr>
            <sz val="9"/>
            <color indexed="81"/>
            <rFont val="Tahoma"/>
            <family val="2"/>
          </rPr>
          <t xml:space="preserve">https://csl.noaa.gov/groups/csl5/datasets/data/hcfcs/Summary%20C2%20Compounds.pdf
</t>
        </r>
      </text>
    </comment>
    <comment ref="D98" authorId="0" shapeId="0" xr:uid="{5EBC2781-512B-42C7-9F54-39AC2BB1A795}">
      <text>
        <r>
          <rPr>
            <sz val="9"/>
            <color indexed="81"/>
            <rFont val="Tahoma"/>
            <family val="2"/>
          </rPr>
          <t>Uncertainty estimated from difference to and between well-mixed (18) and life time adjusted (11) GWP in https://csl.noaa.gov/groups/csl5/datasets/data/hcfcs/Summary%20C2%20Compounds.pdf</t>
        </r>
      </text>
    </comment>
    <comment ref="E98" authorId="0" shapeId="0" xr:uid="{DBB2DD7A-EDB7-4E7C-82DE-52A8E9C259BF}">
      <text>
        <r>
          <rPr>
            <sz val="9"/>
            <color indexed="81"/>
            <rFont val="Tahoma"/>
            <family val="2"/>
          </rPr>
          <t xml:space="preserve">https://csl.noaa.gov/groups/csl5/datasets/data/hcfcs/Summary%20C2%20Compounds.pdf
</t>
        </r>
      </text>
    </comment>
    <comment ref="F98" authorId="0" shapeId="0" xr:uid="{55493470-F774-48A3-9397-85E77C5794E2}">
      <text>
        <r>
          <rPr>
            <sz val="9"/>
            <color indexed="81"/>
            <rFont val="Tahoma"/>
            <family val="2"/>
          </rPr>
          <t xml:space="preserve">Assumed to be subject to the same kind of uncertainties as the GWP estimate
</t>
        </r>
      </text>
    </comment>
    <comment ref="G98" authorId="0" shapeId="0" xr:uid="{00000000-0006-0000-0900-0000B5000000}">
      <text>
        <r>
          <rPr>
            <sz val="9"/>
            <color indexed="81"/>
            <rFont val="Tahoma"/>
            <family val="2"/>
          </rPr>
          <t xml:space="preserve">See note on CFC-11
</t>
        </r>
      </text>
    </comment>
    <comment ref="I98" authorId="0" shapeId="0" xr:uid="{00000000-0006-0000-0900-0000B6000000}">
      <text>
        <r>
          <rPr>
            <sz val="9"/>
            <color indexed="81"/>
            <rFont val="Tahoma"/>
            <family val="2"/>
          </rPr>
          <t xml:space="preserve">See notes on CFC11
</t>
        </r>
      </text>
    </comment>
    <comment ref="J98" authorId="0" shapeId="0" xr:uid="{00000000-0006-0000-0900-0000B7000000}">
      <text>
        <r>
          <rPr>
            <sz val="9"/>
            <color indexed="81"/>
            <rFont val="Tahoma"/>
            <family val="2"/>
          </rPr>
          <t xml:space="preserve">See notes on CFC11
</t>
        </r>
      </text>
    </comment>
    <comment ref="A99" authorId="0" shapeId="0" xr:uid="{23F7D7BC-1B2F-4305-8388-76926248220A}">
      <text>
        <r>
          <rPr>
            <sz val="9"/>
            <color indexed="81"/>
            <rFont val="Tahoma"/>
            <family val="2"/>
          </rPr>
          <t xml:space="preserve">CH3CHClF
1-Chloro-1-fluoroethane
</t>
        </r>
      </text>
    </comment>
    <comment ref="D99" authorId="0" shapeId="0" xr:uid="{49727B44-5447-4B00-B6B7-0C90E9850FAA}">
      <text>
        <r>
          <rPr>
            <sz val="9"/>
            <color indexed="81"/>
            <rFont val="Tahoma"/>
            <family val="2"/>
          </rPr>
          <t>Uncertainty estimated from difference to and between well-mixed (70) and life time adjusted (54) GWP in https://csl.noaa.gov/groups/csl5/datasets/data/hcfcs/Summary%20C2%20Compounds.pdf</t>
        </r>
      </text>
    </comment>
    <comment ref="F99" authorId="0" shapeId="0" xr:uid="{12B5157E-A5FF-4403-9117-900B07E3DE89}">
      <text>
        <r>
          <rPr>
            <sz val="9"/>
            <color indexed="81"/>
            <rFont val="Tahoma"/>
            <family val="2"/>
          </rPr>
          <t xml:space="preserve">Assumed to be subject to the same kind of uncertainties as the GWP estimate
</t>
        </r>
      </text>
    </comment>
    <comment ref="G99" authorId="0" shapeId="0" xr:uid="{D781D812-0231-4113-9635-4B15F96A758B}">
      <text>
        <r>
          <rPr>
            <sz val="9"/>
            <color indexed="81"/>
            <rFont val="Tahoma"/>
            <family val="2"/>
          </rPr>
          <t xml:space="preserve">See note on CFC-11
</t>
        </r>
      </text>
    </comment>
    <comment ref="I99" authorId="0" shapeId="0" xr:uid="{1323D9A6-18D8-4E14-82D7-30306BEAC2EB}">
      <text>
        <r>
          <rPr>
            <sz val="9"/>
            <color indexed="81"/>
            <rFont val="Tahoma"/>
            <family val="2"/>
          </rPr>
          <t xml:space="preserve">See note on CFC-11
</t>
        </r>
      </text>
    </comment>
    <comment ref="J99" authorId="0" shapeId="0" xr:uid="{C6252366-863B-48CE-9065-F1FC7B86343E}">
      <text>
        <r>
          <rPr>
            <sz val="9"/>
            <color indexed="81"/>
            <rFont val="Tahoma"/>
            <family val="2"/>
          </rPr>
          <t xml:space="preserve">See notes on CFC11
</t>
        </r>
      </text>
    </comment>
    <comment ref="A100" authorId="0" shapeId="0" xr:uid="{F5DDCFAC-2ED8-4C8F-890C-BB70213D684F}">
      <text>
        <r>
          <rPr>
            <sz val="9"/>
            <color indexed="81"/>
            <rFont val="Tahoma"/>
            <family val="2"/>
          </rPr>
          <t xml:space="preserve">CHCl2CCl2CCl2F
1,1,2,2,3,3-Hexachloro-1-fluoropropane
</t>
        </r>
      </text>
    </comment>
    <comment ref="C100" authorId="0" shapeId="0" xr:uid="{2621396B-1D22-418D-BC47-2328EB372587}">
      <text>
        <r>
          <rPr>
            <sz val="9"/>
            <color indexed="81"/>
            <rFont val="Tahoma"/>
            <family val="2"/>
          </rPr>
          <t xml:space="preserve">https://csl.noaa.gov/groups/csl5/datasets/data/hcfcs/Summary%20HCFC-221.pdf
</t>
        </r>
      </text>
    </comment>
    <comment ref="D100" authorId="0" shapeId="0" xr:uid="{4D91CDE6-7C69-4D96-B5C1-70C759BCB02A}">
      <text>
        <r>
          <rPr>
            <sz val="9"/>
            <color indexed="81"/>
            <rFont val="Tahoma"/>
            <family val="2"/>
          </rPr>
          <t xml:space="preserve">Uncertainty estimated from difference between well-mixed (53) and lifetime adjusted (38) GWP </t>
        </r>
      </text>
    </comment>
    <comment ref="E100" authorId="0" shapeId="0" xr:uid="{62A7DA33-2C3C-441B-8CA3-A5D074D9BD7E}">
      <text>
        <r>
          <rPr>
            <sz val="9"/>
            <color indexed="81"/>
            <rFont val="Tahoma"/>
            <family val="2"/>
          </rPr>
          <t xml:space="preserve">https://csl.noaa.gov/groups/csl5/datasets/data/hcfcs/Summary%20HCFC-221.pdf
</t>
        </r>
      </text>
    </comment>
    <comment ref="F100" authorId="0" shapeId="0" xr:uid="{6C391990-A575-44D3-87B8-1984CD1BA930}">
      <text>
        <r>
          <rPr>
            <sz val="9"/>
            <color indexed="81"/>
            <rFont val="Tahoma"/>
            <family val="2"/>
          </rPr>
          <t xml:space="preserve">Assumed to be subject to the same kind of uncertainties as the GWP estimate
</t>
        </r>
      </text>
    </comment>
    <comment ref="G100" authorId="0" shapeId="0" xr:uid="{B40DFDCE-9EF8-4F0D-BAE4-7DD7E8EC3C36}">
      <text>
        <r>
          <rPr>
            <sz val="9"/>
            <color indexed="81"/>
            <rFont val="Tahoma"/>
            <family val="2"/>
          </rPr>
          <t xml:space="preserve">See note on CFC-11
</t>
        </r>
      </text>
    </comment>
    <comment ref="I100" authorId="0" shapeId="0" xr:uid="{E8CA8F00-E18C-4991-BFBD-E9B617F52940}">
      <text>
        <r>
          <rPr>
            <sz val="9"/>
            <color indexed="81"/>
            <rFont val="Tahoma"/>
            <family val="2"/>
          </rPr>
          <t xml:space="preserve">See note on CFC-11
</t>
        </r>
      </text>
    </comment>
    <comment ref="J100" authorId="0" shapeId="0" xr:uid="{3EAFE0A4-AC56-4E2B-BE3A-39A10AC33BC9}">
      <text>
        <r>
          <rPr>
            <sz val="9"/>
            <color indexed="81"/>
            <rFont val="Tahoma"/>
            <family val="2"/>
          </rPr>
          <t xml:space="preserve">See notes on CFC11
</t>
        </r>
      </text>
    </comment>
    <comment ref="A101" authorId="0" shapeId="0" xr:uid="{8F811BDF-1FFC-4F00-ACF7-481A23902706}">
      <text>
        <r>
          <rPr>
            <sz val="9"/>
            <color indexed="81"/>
            <rFont val="Tahoma"/>
            <family val="2"/>
          </rPr>
          <t>CHClFCCl2CCl3
1,1,1,2,2,3-Hexachloro-3-fluoropropane</t>
        </r>
      </text>
    </comment>
    <comment ref="C101" authorId="0" shapeId="0" xr:uid="{66BEF707-0F5A-4B25-B359-1C8E41909565}">
      <text>
        <r>
          <rPr>
            <sz val="9"/>
            <color indexed="81"/>
            <rFont val="Tahoma"/>
            <family val="2"/>
          </rPr>
          <t xml:space="preserve">https://csl.noaa.gov/groups/csl5/datasets/data/hcfcs/Summary%20HCFC-221.pdf
</t>
        </r>
      </text>
    </comment>
    <comment ref="D101" authorId="0" shapeId="0" xr:uid="{CE3BF53D-32E9-46B4-BE9E-4845A6035802}">
      <text>
        <r>
          <rPr>
            <sz val="9"/>
            <color indexed="81"/>
            <rFont val="Tahoma"/>
            <family val="2"/>
          </rPr>
          <t xml:space="preserve">Uncertainty estimated from difference between well-mixed (125) and lifetime adjusted (109) GWP </t>
        </r>
      </text>
    </comment>
    <comment ref="E101" authorId="0" shapeId="0" xr:uid="{57C0FBCD-EB03-4E77-B07A-0BC533C38E69}">
      <text>
        <r>
          <rPr>
            <sz val="9"/>
            <color indexed="81"/>
            <rFont val="Tahoma"/>
            <family val="2"/>
          </rPr>
          <t xml:space="preserve">https://csl.noaa.gov/groups/csl5/datasets/data/hcfcs/Summary%20HCFC-221.pdf
</t>
        </r>
      </text>
    </comment>
    <comment ref="F101" authorId="0" shapeId="0" xr:uid="{9DD6B1B9-25D3-4A29-A5E3-9DBF64EB8B2F}">
      <text>
        <r>
          <rPr>
            <sz val="9"/>
            <color indexed="81"/>
            <rFont val="Tahoma"/>
            <family val="2"/>
          </rPr>
          <t xml:space="preserve">Assumed to be subject to the same kind of uncertainties as the GWP estimate
</t>
        </r>
      </text>
    </comment>
    <comment ref="G101" authorId="0" shapeId="0" xr:uid="{CB185A89-F51C-4A16-A400-72125DA41C29}">
      <text>
        <r>
          <rPr>
            <sz val="9"/>
            <color indexed="81"/>
            <rFont val="Tahoma"/>
            <family val="2"/>
          </rPr>
          <t xml:space="preserve">See note on CFC-11
</t>
        </r>
      </text>
    </comment>
    <comment ref="I101" authorId="0" shapeId="0" xr:uid="{6EF8E04B-9899-473F-BEAA-61209FE835B1}">
      <text>
        <r>
          <rPr>
            <sz val="9"/>
            <color indexed="81"/>
            <rFont val="Tahoma"/>
            <family val="2"/>
          </rPr>
          <t xml:space="preserve">See note on CFC-11
</t>
        </r>
      </text>
    </comment>
    <comment ref="J101" authorId="0" shapeId="0" xr:uid="{EF18F249-ABF8-4821-93F3-034AC82DD394}">
      <text>
        <r>
          <rPr>
            <sz val="9"/>
            <color indexed="81"/>
            <rFont val="Tahoma"/>
            <family val="2"/>
          </rPr>
          <t xml:space="preserve">See notes on CFC11
</t>
        </r>
      </text>
    </comment>
    <comment ref="A102" authorId="0" shapeId="0" xr:uid="{8D9229D2-6E75-4A8E-8362-FE0BB7E3BA10}">
      <text>
        <r>
          <rPr>
            <sz val="9"/>
            <color indexed="81"/>
            <rFont val="Tahoma"/>
            <family val="2"/>
          </rPr>
          <t xml:space="preserve">CHCl2CClFCCl3
1,1,1,2,3,3-Hexachloro-2-fluoropropane
</t>
        </r>
      </text>
    </comment>
    <comment ref="C102" authorId="0" shapeId="0" xr:uid="{67FA0056-3B05-4BAE-A3D0-9F8165D5FE64}">
      <text>
        <r>
          <rPr>
            <sz val="9"/>
            <color indexed="81"/>
            <rFont val="Tahoma"/>
            <family val="2"/>
          </rPr>
          <t xml:space="preserve">https://csl.noaa.gov/groups/csl5/datasets/data/hcfcs/Summary%20HCFC-221.pdf
</t>
        </r>
      </text>
    </comment>
    <comment ref="D102" authorId="0" shapeId="0" xr:uid="{5023B16B-4D44-470A-8DB3-63821B46C4C0}">
      <text>
        <r>
          <rPr>
            <sz val="9"/>
            <color indexed="81"/>
            <rFont val="Tahoma"/>
            <family val="2"/>
          </rPr>
          <t xml:space="preserve">Uncertainty estimated from difference between well-mixed (58) and lifetime adjusted (44) GWP </t>
        </r>
      </text>
    </comment>
    <comment ref="E102" authorId="0" shapeId="0" xr:uid="{BEA27529-FF93-41DF-BDF7-C91A945B0F0B}">
      <text>
        <r>
          <rPr>
            <sz val="9"/>
            <color indexed="81"/>
            <rFont val="Tahoma"/>
            <family val="2"/>
          </rPr>
          <t xml:space="preserve">https://csl.noaa.gov/groups/csl5/datasets/data/hcfcs/Summary%20HCFC-221.pdf
</t>
        </r>
      </text>
    </comment>
    <comment ref="F102" authorId="0" shapeId="0" xr:uid="{56C323E9-0351-4E69-8BA6-974B9EBFA836}">
      <text>
        <r>
          <rPr>
            <sz val="9"/>
            <color indexed="81"/>
            <rFont val="Tahoma"/>
            <family val="2"/>
          </rPr>
          <t xml:space="preserve">Assumed to be subject to the same kind of uncertainties as the GWP estimate
</t>
        </r>
      </text>
    </comment>
    <comment ref="G102" authorId="0" shapeId="0" xr:uid="{B9B75655-F28B-4399-9345-F4BDFD91C3A7}">
      <text>
        <r>
          <rPr>
            <sz val="9"/>
            <color indexed="81"/>
            <rFont val="Tahoma"/>
            <family val="2"/>
          </rPr>
          <t xml:space="preserve">See note on CFC-11
</t>
        </r>
      </text>
    </comment>
    <comment ref="I102" authorId="0" shapeId="0" xr:uid="{B1F3F514-AC4D-4EC2-816F-DD154EDCBFA2}">
      <text>
        <r>
          <rPr>
            <sz val="9"/>
            <color indexed="81"/>
            <rFont val="Tahoma"/>
            <family val="2"/>
          </rPr>
          <t xml:space="preserve">See note on CFC-11
</t>
        </r>
      </text>
    </comment>
    <comment ref="J102" authorId="0" shapeId="0" xr:uid="{6B208BE3-F87F-4079-AE6B-E7AAF2C40891}">
      <text>
        <r>
          <rPr>
            <sz val="9"/>
            <color indexed="81"/>
            <rFont val="Tahoma"/>
            <family val="2"/>
          </rPr>
          <t xml:space="preserve">See notes on CFC11
</t>
        </r>
      </text>
    </comment>
    <comment ref="A103" authorId="0" shapeId="0" xr:uid="{33FEB7F8-D4E6-4290-A78B-0B2E9264604A}">
      <text>
        <r>
          <rPr>
            <sz val="9"/>
            <color indexed="81"/>
            <rFont val="Tahoma"/>
            <family val="2"/>
          </rPr>
          <t xml:space="preserve">CCl3CHClCCl2F
1,1,1,2,3,3-Hexachloro-3-fluoropropane
</t>
        </r>
      </text>
    </comment>
    <comment ref="C103" authorId="0" shapeId="0" xr:uid="{A89A3A77-3B90-4195-9952-56C0F79CE5A8}">
      <text>
        <r>
          <rPr>
            <sz val="9"/>
            <color indexed="81"/>
            <rFont val="Tahoma"/>
            <family val="2"/>
          </rPr>
          <t xml:space="preserve">https://csl.noaa.gov/groups/csl5/datasets/data/hcfcs/Summary%20HCFC-221.pdf
</t>
        </r>
      </text>
    </comment>
    <comment ref="D103" authorId="0" shapeId="0" xr:uid="{F1A7CC21-6B53-40BC-8F4C-F75923B2763D}">
      <text>
        <r>
          <rPr>
            <sz val="9"/>
            <color indexed="81"/>
            <rFont val="Tahoma"/>
            <family val="2"/>
          </rPr>
          <t xml:space="preserve">Uncertainty estimated from difference between well-mixed (203) and lifetime adjusted (181) GWP </t>
        </r>
      </text>
    </comment>
    <comment ref="E103" authorId="0" shapeId="0" xr:uid="{760B6EDC-8FEC-46F4-B24B-8A3E16B9FDA2}">
      <text>
        <r>
          <rPr>
            <sz val="9"/>
            <color indexed="81"/>
            <rFont val="Tahoma"/>
            <family val="2"/>
          </rPr>
          <t xml:space="preserve">https://csl.noaa.gov/groups/csl5/datasets/data/hcfcs/Summary%20HCFC-221.pdf
</t>
        </r>
      </text>
    </comment>
    <comment ref="F103" authorId="0" shapeId="0" xr:uid="{A58040EC-B81C-4418-8257-C9D8421750AC}">
      <text>
        <r>
          <rPr>
            <sz val="9"/>
            <color indexed="81"/>
            <rFont val="Tahoma"/>
            <family val="2"/>
          </rPr>
          <t xml:space="preserve">Assumed to be subject to the same kind of uncertainties as the GWP estimate
</t>
        </r>
      </text>
    </comment>
    <comment ref="G103" authorId="0" shapeId="0" xr:uid="{30845F0D-64DE-44B8-BDA8-1AE85B9FE844}">
      <text>
        <r>
          <rPr>
            <sz val="9"/>
            <color indexed="81"/>
            <rFont val="Tahoma"/>
            <family val="2"/>
          </rPr>
          <t xml:space="preserve">See note on CFC-11
</t>
        </r>
      </text>
    </comment>
    <comment ref="I103" authorId="0" shapeId="0" xr:uid="{325067E9-024D-4375-8A3A-09FB5080024E}">
      <text>
        <r>
          <rPr>
            <sz val="9"/>
            <color indexed="81"/>
            <rFont val="Tahoma"/>
            <family val="2"/>
          </rPr>
          <t xml:space="preserve">See note on CFC-11
</t>
        </r>
      </text>
    </comment>
    <comment ref="J103" authorId="0" shapeId="0" xr:uid="{B2DEC85B-40D1-4D2B-91D6-EB92B4841756}">
      <text>
        <r>
          <rPr>
            <sz val="9"/>
            <color indexed="81"/>
            <rFont val="Tahoma"/>
            <family val="2"/>
          </rPr>
          <t xml:space="preserve">See notes on CFC11
</t>
        </r>
      </text>
    </comment>
    <comment ref="A104" authorId="0" shapeId="0" xr:uid="{2A637A5B-24DD-442A-A177-DED984133E4B}">
      <text>
        <r>
          <rPr>
            <sz val="9"/>
            <color indexed="81"/>
            <rFont val="Tahoma"/>
            <family val="2"/>
          </rPr>
          <t xml:space="preserve">CCl3CHFCCl3
1,1,1,3,3,3-Hexachloro-2-fluoropropane
</t>
        </r>
      </text>
    </comment>
    <comment ref="C104" authorId="0" shapeId="0" xr:uid="{A05949EA-E60F-4DAF-967C-350D618FC0DF}">
      <text>
        <r>
          <rPr>
            <sz val="9"/>
            <color indexed="81"/>
            <rFont val="Tahoma"/>
            <family val="2"/>
          </rPr>
          <t xml:space="preserve">https://csl.noaa.gov/groups/csl5/datasets/data/hcfcs/Summary%20HCFC-221.pdf
</t>
        </r>
      </text>
    </comment>
    <comment ref="D104" authorId="0" shapeId="0" xr:uid="{927BFFE0-19DC-40C7-96B7-5B704AC063F6}">
      <text>
        <r>
          <rPr>
            <sz val="9"/>
            <color indexed="81"/>
            <rFont val="Tahoma"/>
            <family val="2"/>
          </rPr>
          <t xml:space="preserve">Uncertainty estimated from difference between well-mixed (195) and lifetime adjusted (175) GWP </t>
        </r>
      </text>
    </comment>
    <comment ref="E104" authorId="0" shapeId="0" xr:uid="{365DA92F-B750-4F15-A90E-9FF849FA9736}">
      <text>
        <r>
          <rPr>
            <sz val="9"/>
            <color indexed="81"/>
            <rFont val="Tahoma"/>
            <family val="2"/>
          </rPr>
          <t xml:space="preserve">https://csl.noaa.gov/groups/csl5/datasets/data/hcfcs/Summary%20HCFC-221.pdf
</t>
        </r>
      </text>
    </comment>
    <comment ref="F104" authorId="0" shapeId="0" xr:uid="{A648BE30-47BD-42F6-8A94-9ED9EB5BAA88}">
      <text>
        <r>
          <rPr>
            <sz val="9"/>
            <color indexed="81"/>
            <rFont val="Tahoma"/>
            <family val="2"/>
          </rPr>
          <t xml:space="preserve">Assumed to be subject to the same kind of uncertainties as the GWP estimate
</t>
        </r>
      </text>
    </comment>
    <comment ref="G104" authorId="0" shapeId="0" xr:uid="{6867BC39-0B31-4D8A-8CA2-1896D0E97662}">
      <text>
        <r>
          <rPr>
            <sz val="9"/>
            <color indexed="81"/>
            <rFont val="Tahoma"/>
            <family val="2"/>
          </rPr>
          <t xml:space="preserve">See note on CFC-11
</t>
        </r>
      </text>
    </comment>
    <comment ref="I104" authorId="0" shapeId="0" xr:uid="{1B54A64F-91F0-4331-8868-8F1AC6D11BA0}">
      <text>
        <r>
          <rPr>
            <sz val="9"/>
            <color indexed="81"/>
            <rFont val="Tahoma"/>
            <family val="2"/>
          </rPr>
          <t xml:space="preserve">See note on CFC-11
</t>
        </r>
      </text>
    </comment>
    <comment ref="J104" authorId="0" shapeId="0" xr:uid="{FC2E7AFE-BEE3-4B57-9D3A-CFA8989DE2BA}">
      <text>
        <r>
          <rPr>
            <sz val="9"/>
            <color indexed="81"/>
            <rFont val="Tahoma"/>
            <family val="2"/>
          </rPr>
          <t xml:space="preserve">See notes on CFC11
</t>
        </r>
      </text>
    </comment>
    <comment ref="A105" authorId="0" shapeId="0" xr:uid="{81B5B57C-2C99-483E-9023-D2129D642C1A}">
      <text>
        <r>
          <rPr>
            <sz val="9"/>
            <color indexed="81"/>
            <rFont val="Tahoma"/>
            <family val="2"/>
          </rPr>
          <t xml:space="preserve">CHCl2CCl2CClF2
1,2,2,3,3-Pentachloro-1,1-difluoropropane
</t>
        </r>
      </text>
    </comment>
    <comment ref="C105" authorId="0" shapeId="0" xr:uid="{A96EAA66-3072-4E8E-927F-0013399165F3}">
      <text>
        <r>
          <rPr>
            <sz val="9"/>
            <color indexed="81"/>
            <rFont val="Tahoma"/>
            <family val="2"/>
          </rPr>
          <t>https://csl.noaa.gov/groups/csl5/datasets/data/hcfcs/Summary%20HCFC-222.pdf
Life time adjusted value</t>
        </r>
      </text>
    </comment>
    <comment ref="D105" authorId="0" shapeId="0" xr:uid="{29CE5493-9FED-487E-8476-B288399FC8AB}">
      <text>
        <r>
          <rPr>
            <sz val="9"/>
            <color indexed="81"/>
            <rFont val="Tahoma"/>
            <family val="2"/>
          </rPr>
          <t xml:space="preserve">Uncertainty estimated from difference between well-mixed (79) and lifetime adjusted (60) GWP </t>
        </r>
      </text>
    </comment>
    <comment ref="E105" authorId="0" shapeId="0" xr:uid="{483AB096-F114-4D0F-991B-7624F67F8A1A}">
      <text>
        <r>
          <rPr>
            <sz val="9"/>
            <color indexed="81"/>
            <rFont val="Tahoma"/>
            <family val="2"/>
          </rPr>
          <t>https://csl.noaa.gov/groups/csl5/datasets/data/hcfcs/Summary%20HCFC-222.pdf</t>
        </r>
      </text>
    </comment>
    <comment ref="F105" authorId="0" shapeId="0" xr:uid="{D340499D-94EE-49BD-B950-2D9BD0314F1E}">
      <text>
        <r>
          <rPr>
            <sz val="9"/>
            <color indexed="81"/>
            <rFont val="Tahoma"/>
            <family val="2"/>
          </rPr>
          <t xml:space="preserve">Assumed to be subject to the same kind of uncertainties as the GWP estimate
</t>
        </r>
      </text>
    </comment>
    <comment ref="G105" authorId="0" shapeId="0" xr:uid="{00000000-0006-0000-0900-0000BF000000}">
      <text>
        <r>
          <rPr>
            <sz val="9"/>
            <color indexed="81"/>
            <rFont val="Tahoma"/>
            <family val="2"/>
          </rPr>
          <t xml:space="preserve">See note on CFC-11
</t>
        </r>
      </text>
    </comment>
    <comment ref="I105" authorId="0" shapeId="0" xr:uid="{00000000-0006-0000-0900-0000C0000000}">
      <text>
        <r>
          <rPr>
            <sz val="9"/>
            <color indexed="81"/>
            <rFont val="Tahoma"/>
            <family val="2"/>
          </rPr>
          <t xml:space="preserve">See notes on CFC11
</t>
        </r>
      </text>
    </comment>
    <comment ref="J105" authorId="0" shapeId="0" xr:uid="{00000000-0006-0000-0900-0000C1000000}">
      <text>
        <r>
          <rPr>
            <sz val="9"/>
            <color indexed="81"/>
            <rFont val="Tahoma"/>
            <family val="2"/>
          </rPr>
          <t xml:space="preserve">See notes on CFC11
</t>
        </r>
      </text>
    </comment>
    <comment ref="A106" authorId="0" shapeId="0" xr:uid="{05AA9DDB-F2C2-4B10-94FB-E58E08855072}">
      <text>
        <r>
          <rPr>
            <sz val="9"/>
            <color indexed="81"/>
            <rFont val="Tahoma"/>
            <family val="2"/>
          </rPr>
          <t xml:space="preserve">CHClFCCl2CCl2F
1,1,2,2,3-Pentachloro-1,3-difluoropropane
</t>
        </r>
      </text>
    </comment>
    <comment ref="C106" authorId="0" shapeId="0" xr:uid="{938E1CC5-4B5C-4E58-BAA8-8A31BF439038}">
      <text>
        <r>
          <rPr>
            <sz val="9"/>
            <color indexed="81"/>
            <rFont val="Tahoma"/>
            <family val="2"/>
          </rPr>
          <t>https://csl.noaa.gov/groups/csl5/datasets/data/hcfcs/Summary%20HCFC-222.pdf
Life time adjusted value</t>
        </r>
      </text>
    </comment>
    <comment ref="D106" authorId="0" shapeId="0" xr:uid="{B6AE06B4-B0FB-4E74-BFD9-C72E220F92DA}">
      <text>
        <r>
          <rPr>
            <sz val="9"/>
            <color indexed="81"/>
            <rFont val="Tahoma"/>
            <family val="2"/>
          </rPr>
          <t xml:space="preserve">Uncertainty estimated from difference between well-mixed (173) and lifetime adjusted (151) GWP </t>
        </r>
      </text>
    </comment>
    <comment ref="E106" authorId="0" shapeId="0" xr:uid="{3E3BD9BE-2F97-40D6-ACD8-9A3CC1EABC21}">
      <text>
        <r>
          <rPr>
            <sz val="9"/>
            <color indexed="81"/>
            <rFont val="Tahoma"/>
            <family val="2"/>
          </rPr>
          <t>https://csl.noaa.gov/groups/csl5/datasets/data/hcfcs/Summary%20HCFC-222.pdf</t>
        </r>
      </text>
    </comment>
    <comment ref="F106" authorId="0" shapeId="0" xr:uid="{21B6F437-2FD0-48E5-960E-02166DF5A174}">
      <text>
        <r>
          <rPr>
            <sz val="9"/>
            <color indexed="81"/>
            <rFont val="Tahoma"/>
            <family val="2"/>
          </rPr>
          <t xml:space="preserve">Assumed to be subject to the same kind of uncertainties as the GWP estimate
</t>
        </r>
      </text>
    </comment>
    <comment ref="G106" authorId="0" shapeId="0" xr:uid="{146C432A-F2B7-4DC5-BACA-565240147DEF}">
      <text>
        <r>
          <rPr>
            <sz val="9"/>
            <color indexed="81"/>
            <rFont val="Tahoma"/>
            <family val="2"/>
          </rPr>
          <t xml:space="preserve">See note on CFC-11
</t>
        </r>
      </text>
    </comment>
    <comment ref="I106" authorId="0" shapeId="0" xr:uid="{6674D138-9B4F-45C6-8526-B62AE4974C2A}">
      <text>
        <r>
          <rPr>
            <sz val="9"/>
            <color indexed="81"/>
            <rFont val="Tahoma"/>
            <family val="2"/>
          </rPr>
          <t xml:space="preserve">See note on CFC-11
</t>
        </r>
      </text>
    </comment>
    <comment ref="J106" authorId="0" shapeId="0" xr:uid="{071898D1-63F7-427A-B14D-6971E70BF6E0}">
      <text>
        <r>
          <rPr>
            <sz val="9"/>
            <color indexed="81"/>
            <rFont val="Tahoma"/>
            <family val="2"/>
          </rPr>
          <t xml:space="preserve">See notes on CFC11
</t>
        </r>
      </text>
    </comment>
    <comment ref="A107" authorId="0" shapeId="0" xr:uid="{D0C72A96-2D22-4D04-942F-72A24D94F1CE}">
      <text>
        <r>
          <rPr>
            <sz val="9"/>
            <color indexed="81"/>
            <rFont val="Tahoma"/>
            <family val="2"/>
          </rPr>
          <t xml:space="preserve">CHF2CCl2CCl3
1,1,1,2,2-Pentachloro-3,3-difluoropropane
</t>
        </r>
      </text>
    </comment>
    <comment ref="C107" authorId="0" shapeId="0" xr:uid="{3A5E236E-E712-4AB8-91A2-DD96E156E279}">
      <text>
        <r>
          <rPr>
            <sz val="9"/>
            <color indexed="81"/>
            <rFont val="Tahoma"/>
            <family val="2"/>
          </rPr>
          <t>https://csl.noaa.gov/groups/csl5/datasets/data/hcfcs/Summary%20HCFC-222.pdf
Life time adjusted value</t>
        </r>
      </text>
    </comment>
    <comment ref="D107" authorId="0" shapeId="0" xr:uid="{0D373E71-8816-48C6-9B81-A063201BD606}">
      <text>
        <r>
          <rPr>
            <sz val="9"/>
            <color indexed="81"/>
            <rFont val="Tahoma"/>
            <family val="2"/>
          </rPr>
          <t xml:space="preserve">Uncertainty estimated from difference between well-mixed (520) and lifetime adjusted (495) GWP </t>
        </r>
      </text>
    </comment>
    <comment ref="E107" authorId="0" shapeId="0" xr:uid="{326B6924-6B9D-474B-BF35-3BCBB35EEC7E}">
      <text>
        <r>
          <rPr>
            <sz val="9"/>
            <color indexed="81"/>
            <rFont val="Tahoma"/>
            <family val="2"/>
          </rPr>
          <t>https://csl.noaa.gov/groups/csl5/datasets/data/hcfcs/Summary%20HCFC-222.pdf</t>
        </r>
      </text>
    </comment>
    <comment ref="F107" authorId="0" shapeId="0" xr:uid="{80E0D3A4-3E87-46C2-A89F-2C08FB396B4A}">
      <text>
        <r>
          <rPr>
            <sz val="9"/>
            <color indexed="81"/>
            <rFont val="Tahoma"/>
            <family val="2"/>
          </rPr>
          <t xml:space="preserve">Assumed to be subject to the same kind of uncertainties as the GWP estimate
</t>
        </r>
      </text>
    </comment>
    <comment ref="G107" authorId="0" shapeId="0" xr:uid="{1DEBBFFC-689C-40B5-90BD-28613B085738}">
      <text>
        <r>
          <rPr>
            <sz val="9"/>
            <color indexed="81"/>
            <rFont val="Tahoma"/>
            <family val="2"/>
          </rPr>
          <t xml:space="preserve">See note on CFC-11
</t>
        </r>
      </text>
    </comment>
    <comment ref="I107" authorId="0" shapeId="0" xr:uid="{FA2AD12B-76FD-4A7F-B2D2-B704E508EFB6}">
      <text>
        <r>
          <rPr>
            <sz val="9"/>
            <color indexed="81"/>
            <rFont val="Tahoma"/>
            <family val="2"/>
          </rPr>
          <t xml:space="preserve">See note on CFC-11
</t>
        </r>
      </text>
    </comment>
    <comment ref="J107" authorId="0" shapeId="0" xr:uid="{544270AD-EFA8-4F62-952D-7E918E67235B}">
      <text>
        <r>
          <rPr>
            <sz val="9"/>
            <color indexed="81"/>
            <rFont val="Tahoma"/>
            <family val="2"/>
          </rPr>
          <t xml:space="preserve">See notes on CFC11
</t>
        </r>
      </text>
    </comment>
    <comment ref="A108" authorId="0" shapeId="0" xr:uid="{F2CA7AA1-4F51-49F7-B97C-5D3FB44EA812}">
      <text>
        <r>
          <rPr>
            <sz val="9"/>
            <color indexed="81"/>
            <rFont val="Tahoma"/>
            <family val="2"/>
          </rPr>
          <t xml:space="preserve">CHCl2CClFCCl2F
1,1,2,3,3-Pentachloro-1,2-difluoropropane
</t>
        </r>
      </text>
    </comment>
    <comment ref="C108" authorId="0" shapeId="0" xr:uid="{B61E4681-3061-49E1-B51A-B490772AA97B}">
      <text>
        <r>
          <rPr>
            <sz val="9"/>
            <color indexed="81"/>
            <rFont val="Tahoma"/>
            <family val="2"/>
          </rPr>
          <t>https://csl.noaa.gov/groups/csl5/datasets/data/hcfcs/Summary%20HCFC-222.pdf
Life time adjusted value</t>
        </r>
      </text>
    </comment>
    <comment ref="D108" authorId="0" shapeId="0" xr:uid="{FB6DAE1D-C411-488F-8739-667C2FC051B3}">
      <text>
        <r>
          <rPr>
            <sz val="9"/>
            <color indexed="81"/>
            <rFont val="Tahoma"/>
            <family val="2"/>
          </rPr>
          <t xml:space="preserve">Uncertainty estimated from difference between well-mixed (74) and lifetime adjusted (56) GWP </t>
        </r>
      </text>
    </comment>
    <comment ref="E108" authorId="0" shapeId="0" xr:uid="{45A3B497-DB29-44EF-8978-F7372FEFDA22}">
      <text>
        <r>
          <rPr>
            <sz val="9"/>
            <color indexed="81"/>
            <rFont val="Tahoma"/>
            <family val="2"/>
          </rPr>
          <t>https://csl.noaa.gov/groups/csl5/datasets/data/hcfcs/Summary%20HCFC-222.pdf</t>
        </r>
      </text>
    </comment>
    <comment ref="F108" authorId="0" shapeId="0" xr:uid="{F3EB4AAC-E6D7-4CC1-B6F7-74C41A2FCD16}">
      <text>
        <r>
          <rPr>
            <sz val="9"/>
            <color indexed="81"/>
            <rFont val="Tahoma"/>
            <family val="2"/>
          </rPr>
          <t xml:space="preserve">Assumed to be subject to the same kind of uncertainties as the GWP estimate
</t>
        </r>
      </text>
    </comment>
    <comment ref="G108" authorId="0" shapeId="0" xr:uid="{9E0D37BE-A7AE-414A-AFEE-36CDBD777EF9}">
      <text>
        <r>
          <rPr>
            <sz val="9"/>
            <color indexed="81"/>
            <rFont val="Tahoma"/>
            <family val="2"/>
          </rPr>
          <t xml:space="preserve">See note on CFC-11
</t>
        </r>
      </text>
    </comment>
    <comment ref="I108" authorId="0" shapeId="0" xr:uid="{7EF4E65A-2CE1-4310-95DA-FA1DA6514D76}">
      <text>
        <r>
          <rPr>
            <sz val="9"/>
            <color indexed="81"/>
            <rFont val="Tahoma"/>
            <family val="2"/>
          </rPr>
          <t xml:space="preserve">See note on CFC-11
</t>
        </r>
      </text>
    </comment>
    <comment ref="J108" authorId="0" shapeId="0" xr:uid="{5BAC321E-FE7A-4135-BDC0-6D8655A6A657}">
      <text>
        <r>
          <rPr>
            <sz val="9"/>
            <color indexed="81"/>
            <rFont val="Tahoma"/>
            <family val="2"/>
          </rPr>
          <t xml:space="preserve">See notes on CFC11
</t>
        </r>
      </text>
    </comment>
    <comment ref="A109" authorId="0" shapeId="0" xr:uid="{F3943650-47C3-492D-AD80-E671EB7FA528}">
      <text>
        <r>
          <rPr>
            <sz val="9"/>
            <color indexed="81"/>
            <rFont val="Tahoma"/>
            <family val="2"/>
          </rPr>
          <t>CHClFCClFCCl3
1,1,1,2,3-Pentachloro-2,3-difluoropropane</t>
        </r>
      </text>
    </comment>
    <comment ref="C109" authorId="0" shapeId="0" xr:uid="{58623509-0E1E-47C4-846B-F2FD6CC14550}">
      <text>
        <r>
          <rPr>
            <sz val="9"/>
            <color indexed="81"/>
            <rFont val="Tahoma"/>
            <family val="2"/>
          </rPr>
          <t>https://csl.noaa.gov/groups/csl5/datasets/data/hcfcs/Summary%20HCFC-222.pdf
Life time adjusted value</t>
        </r>
      </text>
    </comment>
    <comment ref="D109" authorId="0" shapeId="0" xr:uid="{D307D1C2-3602-4F68-BD57-5988A8917CF1}">
      <text>
        <r>
          <rPr>
            <sz val="9"/>
            <color indexed="81"/>
            <rFont val="Tahoma"/>
            <family val="2"/>
          </rPr>
          <t xml:space="preserve">Uncertainty estimated from difference between well-mixed (170) and lifetime adjusted (151) GWP </t>
        </r>
      </text>
    </comment>
    <comment ref="E109" authorId="0" shapeId="0" xr:uid="{51C0839D-FC17-4399-BD13-1684D4E7347A}">
      <text>
        <r>
          <rPr>
            <sz val="9"/>
            <color indexed="81"/>
            <rFont val="Tahoma"/>
            <family val="2"/>
          </rPr>
          <t>https://csl.noaa.gov/groups/csl5/datasets/data/hcfcs/Summary%20HCFC-222.pdf</t>
        </r>
      </text>
    </comment>
    <comment ref="F109" authorId="0" shapeId="0" xr:uid="{E4DFE893-B297-43BA-9434-37695099E7A3}">
      <text>
        <r>
          <rPr>
            <sz val="9"/>
            <color indexed="81"/>
            <rFont val="Tahoma"/>
            <family val="2"/>
          </rPr>
          <t xml:space="preserve">Assumed to be subject to the same kind of uncertainties as the GWP estimate
</t>
        </r>
      </text>
    </comment>
    <comment ref="G109" authorId="0" shapeId="0" xr:uid="{20E68AA9-77E8-40BF-9872-94CA519FC07A}">
      <text>
        <r>
          <rPr>
            <sz val="9"/>
            <color indexed="81"/>
            <rFont val="Tahoma"/>
            <family val="2"/>
          </rPr>
          <t xml:space="preserve">See note on CFC-11
</t>
        </r>
      </text>
    </comment>
    <comment ref="I109" authorId="0" shapeId="0" xr:uid="{572EB2C7-85A6-484E-8009-DE8F73788502}">
      <text>
        <r>
          <rPr>
            <sz val="9"/>
            <color indexed="81"/>
            <rFont val="Tahoma"/>
            <family val="2"/>
          </rPr>
          <t xml:space="preserve">See note on CFC-11
</t>
        </r>
      </text>
    </comment>
    <comment ref="J109" authorId="0" shapeId="0" xr:uid="{325F52D4-42FE-494E-A7E7-C1252C57778F}">
      <text>
        <r>
          <rPr>
            <sz val="9"/>
            <color indexed="81"/>
            <rFont val="Tahoma"/>
            <family val="2"/>
          </rPr>
          <t xml:space="preserve">See notes on CFC11
</t>
        </r>
      </text>
    </comment>
    <comment ref="A110" authorId="0" shapeId="0" xr:uid="{56DD1118-9B75-4063-84E0-85CFEE6963D6}">
      <text>
        <r>
          <rPr>
            <sz val="9"/>
            <color indexed="81"/>
            <rFont val="Tahoma"/>
            <family val="2"/>
          </rPr>
          <t xml:space="preserve">CHCl2CF2CCl3
1,1,1,3,3-Pentachloro-2,2-difluoropropane
</t>
        </r>
      </text>
    </comment>
    <comment ref="C110" authorId="0" shapeId="0" xr:uid="{5D46ECFD-9548-4AC0-B0F9-C88E5C466090}">
      <text>
        <r>
          <rPr>
            <sz val="9"/>
            <color indexed="81"/>
            <rFont val="Tahoma"/>
            <family val="2"/>
          </rPr>
          <t>https://csl.noaa.gov/groups/csl5/datasets/data/hcfcs/Summary%20HCFC-222.pdf
Life time adjusted value</t>
        </r>
      </text>
    </comment>
    <comment ref="D110" authorId="0" shapeId="0" xr:uid="{7347817F-CB2C-4A49-9BD1-C717C6C1C71F}">
      <text>
        <r>
          <rPr>
            <sz val="9"/>
            <color indexed="81"/>
            <rFont val="Tahoma"/>
            <family val="2"/>
          </rPr>
          <t xml:space="preserve">Uncertainty estimated from difference between well-mixed (86) and lifetime adjusted (68) GWP </t>
        </r>
      </text>
    </comment>
    <comment ref="E110" authorId="0" shapeId="0" xr:uid="{096A28F9-8CBC-45D4-91FD-ED96AD835477}">
      <text>
        <r>
          <rPr>
            <sz val="9"/>
            <color indexed="81"/>
            <rFont val="Tahoma"/>
            <family val="2"/>
          </rPr>
          <t>https://csl.noaa.gov/groups/csl5/datasets/data/hcfcs/Summary%20HCFC-222.pdf</t>
        </r>
      </text>
    </comment>
    <comment ref="F110" authorId="0" shapeId="0" xr:uid="{014CAA04-8A10-4DE5-A3E4-34EFBC3EB4F1}">
      <text>
        <r>
          <rPr>
            <sz val="9"/>
            <color indexed="81"/>
            <rFont val="Tahoma"/>
            <family val="2"/>
          </rPr>
          <t xml:space="preserve">Assumed to be subject to the same kind of uncertainties as the GWP estimate
</t>
        </r>
      </text>
    </comment>
    <comment ref="G110" authorId="0" shapeId="0" xr:uid="{EE3CBDA4-E3F2-4667-B9C7-F97A7FDC8C1C}">
      <text>
        <r>
          <rPr>
            <sz val="9"/>
            <color indexed="81"/>
            <rFont val="Tahoma"/>
            <family val="2"/>
          </rPr>
          <t xml:space="preserve">See note on CFC-11
</t>
        </r>
      </text>
    </comment>
    <comment ref="I110" authorId="0" shapeId="0" xr:uid="{FC18CF4F-6A1E-46A4-AF54-21FD75732B62}">
      <text>
        <r>
          <rPr>
            <sz val="9"/>
            <color indexed="81"/>
            <rFont val="Tahoma"/>
            <family val="2"/>
          </rPr>
          <t xml:space="preserve">See note on CFC-11
</t>
        </r>
      </text>
    </comment>
    <comment ref="J110" authorId="0" shapeId="0" xr:uid="{53D07013-81AD-427D-9CDF-74EDCABE2EFA}">
      <text>
        <r>
          <rPr>
            <sz val="9"/>
            <color indexed="81"/>
            <rFont val="Tahoma"/>
            <family val="2"/>
          </rPr>
          <t xml:space="preserve">See notes on CFC11
</t>
        </r>
      </text>
    </comment>
    <comment ref="A111" authorId="0" shapeId="0" xr:uid="{D45DB287-F850-4066-9C0C-D55F5422237B}">
      <text>
        <r>
          <rPr>
            <sz val="9"/>
            <color indexed="81"/>
            <rFont val="Tahoma"/>
            <family val="2"/>
          </rPr>
          <t xml:space="preserve">CCl2FCHClCCl2F
1,1,2,3,3-Pentachloro-1,3-difluoropropane
</t>
        </r>
      </text>
    </comment>
    <comment ref="C111" authorId="0" shapeId="0" xr:uid="{45BBD591-CB18-43E8-9351-A0A02936726C}">
      <text>
        <r>
          <rPr>
            <sz val="9"/>
            <color indexed="81"/>
            <rFont val="Tahoma"/>
            <family val="2"/>
          </rPr>
          <t>https://csl.noaa.gov/groups/csl5/datasets/data/hcfcs/Summary%20HCFC-222.pdf
Life time adjusted value</t>
        </r>
      </text>
    </comment>
    <comment ref="D111" authorId="0" shapeId="0" xr:uid="{C019B3A7-3DAE-4C6C-AC83-0AE394FD918B}">
      <text>
        <r>
          <rPr>
            <sz val="9"/>
            <color indexed="81"/>
            <rFont val="Tahoma"/>
            <family val="2"/>
          </rPr>
          <t xml:space="preserve">Uncertainty estimated from difference between well-mixed (335) and lifetime adjusted (306) GWP </t>
        </r>
      </text>
    </comment>
    <comment ref="E111" authorId="0" shapeId="0" xr:uid="{F632BB7C-6C32-4CAD-9F8A-EACF5E4CB4BD}">
      <text>
        <r>
          <rPr>
            <sz val="9"/>
            <color indexed="81"/>
            <rFont val="Tahoma"/>
            <family val="2"/>
          </rPr>
          <t>https://csl.noaa.gov/groups/csl5/datasets/data/hcfcs/Summary%20HCFC-222.pdf</t>
        </r>
      </text>
    </comment>
    <comment ref="F111" authorId="0" shapeId="0" xr:uid="{C170C1D1-14CF-4FAA-A7B0-85C7429C1C97}">
      <text>
        <r>
          <rPr>
            <sz val="9"/>
            <color indexed="81"/>
            <rFont val="Tahoma"/>
            <family val="2"/>
          </rPr>
          <t xml:space="preserve">Assumed to be subject to the same kind of uncertainties as the GWP estimate
</t>
        </r>
      </text>
    </comment>
    <comment ref="G111" authorId="0" shapeId="0" xr:uid="{6213707A-62D6-47EA-A70D-CF0B6A0395F8}">
      <text>
        <r>
          <rPr>
            <sz val="9"/>
            <color indexed="81"/>
            <rFont val="Tahoma"/>
            <family val="2"/>
          </rPr>
          <t xml:space="preserve">See note on CFC-11
</t>
        </r>
      </text>
    </comment>
    <comment ref="I111" authorId="0" shapeId="0" xr:uid="{3A8B105C-7505-4AAF-9E9F-9628AE891F9F}">
      <text>
        <r>
          <rPr>
            <sz val="9"/>
            <color indexed="81"/>
            <rFont val="Tahoma"/>
            <family val="2"/>
          </rPr>
          <t xml:space="preserve">See note on CFC-11
</t>
        </r>
      </text>
    </comment>
    <comment ref="J111" authorId="0" shapeId="0" xr:uid="{26FF3A42-0991-4FD6-AD81-93314BC98C0B}">
      <text>
        <r>
          <rPr>
            <sz val="9"/>
            <color indexed="81"/>
            <rFont val="Tahoma"/>
            <family val="2"/>
          </rPr>
          <t xml:space="preserve">See notes on CFC11
</t>
        </r>
      </text>
    </comment>
    <comment ref="A112" authorId="0" shapeId="0" xr:uid="{E63EB716-D009-4837-89D6-15E087D6DB1D}">
      <text>
        <r>
          <rPr>
            <sz val="9"/>
            <color indexed="81"/>
            <rFont val="Tahoma"/>
            <family val="2"/>
          </rPr>
          <t xml:space="preserve">CCl3CHClCClF2
1,1,1,2,3-Pentachloro-3,3-difluoropropane
</t>
        </r>
      </text>
    </comment>
    <comment ref="C112" authorId="0" shapeId="0" xr:uid="{73F661DE-5D48-4430-86C4-C25D1606ACEC}">
      <text>
        <r>
          <rPr>
            <sz val="9"/>
            <color indexed="81"/>
            <rFont val="Tahoma"/>
            <family val="2"/>
          </rPr>
          <t>https://csl.noaa.gov/groups/csl5/datasets/data/hcfcs/Summary%20HCFC-222.pdf
Life time adjusted value</t>
        </r>
      </text>
    </comment>
    <comment ref="D112" authorId="0" shapeId="0" xr:uid="{EC8089D9-124E-49E7-87F5-2B308CFF52CA}">
      <text>
        <r>
          <rPr>
            <sz val="9"/>
            <color indexed="81"/>
            <rFont val="Tahoma"/>
            <family val="2"/>
          </rPr>
          <t xml:space="preserve">Uncertainty estimated from difference between well-mixed (322) and lifetime adjusted (296) GWP </t>
        </r>
      </text>
    </comment>
    <comment ref="E112" authorId="0" shapeId="0" xr:uid="{54E9D52A-95F7-47A7-99C6-8476C90FE1D9}">
      <text>
        <r>
          <rPr>
            <sz val="9"/>
            <color indexed="81"/>
            <rFont val="Tahoma"/>
            <family val="2"/>
          </rPr>
          <t>https://csl.noaa.gov/groups/csl5/datasets/data/hcfcs/Summary%20HCFC-222.pdf</t>
        </r>
      </text>
    </comment>
    <comment ref="F112" authorId="0" shapeId="0" xr:uid="{E00F5C93-BD75-41B6-B958-55146840A5D5}">
      <text>
        <r>
          <rPr>
            <sz val="9"/>
            <color indexed="81"/>
            <rFont val="Tahoma"/>
            <family val="2"/>
          </rPr>
          <t xml:space="preserve">Assumed to be subject to the same kind of uncertainties as the GWP estimate
</t>
        </r>
      </text>
    </comment>
    <comment ref="G112" authorId="0" shapeId="0" xr:uid="{E1D03292-FF80-4FB9-87E1-8B8B9CB87230}">
      <text>
        <r>
          <rPr>
            <sz val="9"/>
            <color indexed="81"/>
            <rFont val="Tahoma"/>
            <family val="2"/>
          </rPr>
          <t xml:space="preserve">See note on CFC-11
</t>
        </r>
      </text>
    </comment>
    <comment ref="I112" authorId="0" shapeId="0" xr:uid="{69097B57-78A9-4729-BBF0-9459923F02BD}">
      <text>
        <r>
          <rPr>
            <sz val="9"/>
            <color indexed="81"/>
            <rFont val="Tahoma"/>
            <family val="2"/>
          </rPr>
          <t xml:space="preserve">See note on CFC-11
</t>
        </r>
      </text>
    </comment>
    <comment ref="J112" authorId="0" shapeId="0" xr:uid="{04A91A9A-F042-42EF-AF0D-85D8F6BABF3F}">
      <text>
        <r>
          <rPr>
            <sz val="9"/>
            <color indexed="81"/>
            <rFont val="Tahoma"/>
            <family val="2"/>
          </rPr>
          <t xml:space="preserve">See notes on CFC11
</t>
        </r>
      </text>
    </comment>
    <comment ref="A113" authorId="0" shapeId="0" xr:uid="{56C35BA6-B9DA-47D6-B07C-332CC5F27F1D}">
      <text>
        <r>
          <rPr>
            <sz val="9"/>
            <color indexed="81"/>
            <rFont val="Tahoma"/>
            <family val="2"/>
          </rPr>
          <t xml:space="preserve">CCl3CHFCCl2F
1,1,1,3,3-Pentachloro-2,3-difluoropropane
</t>
        </r>
      </text>
    </comment>
    <comment ref="C113" authorId="0" shapeId="0" xr:uid="{EEE188ED-10A7-4B14-9704-9E08D497936E}">
      <text>
        <r>
          <rPr>
            <sz val="9"/>
            <color indexed="81"/>
            <rFont val="Tahoma"/>
            <family val="2"/>
          </rPr>
          <t>https://csl.noaa.gov/groups/csl5/datasets/data/hcfcs/Summary%20HCFC-222.pdf
Life time adjusted value</t>
        </r>
      </text>
    </comment>
    <comment ref="D113" authorId="0" shapeId="0" xr:uid="{F3622B9F-8B7E-4CDE-B19A-0F2B9A4756D8}">
      <text>
        <r>
          <rPr>
            <sz val="9"/>
            <color indexed="81"/>
            <rFont val="Tahoma"/>
            <family val="2"/>
          </rPr>
          <t xml:space="preserve">Uncertainty estimated from difference between well-mixed (301) and lifetime adjusted (276) GWP </t>
        </r>
      </text>
    </comment>
    <comment ref="E113" authorId="0" shapeId="0" xr:uid="{0B6F2461-05A0-4ECA-8CAC-8D50B108911C}">
      <text>
        <r>
          <rPr>
            <sz val="9"/>
            <color indexed="81"/>
            <rFont val="Tahoma"/>
            <family val="2"/>
          </rPr>
          <t>https://csl.noaa.gov/groups/csl5/datasets/data/hcfcs/Summary%20HCFC-222.pdf</t>
        </r>
      </text>
    </comment>
    <comment ref="F113" authorId="0" shapeId="0" xr:uid="{9F7F52F6-9BE5-43DA-B863-03CC84506D4E}">
      <text>
        <r>
          <rPr>
            <sz val="9"/>
            <color indexed="81"/>
            <rFont val="Tahoma"/>
            <family val="2"/>
          </rPr>
          <t xml:space="preserve">Assumed to be subject to the same kind of uncertainties as the GWP estimate
</t>
        </r>
      </text>
    </comment>
    <comment ref="G113" authorId="0" shapeId="0" xr:uid="{51881AD5-AE19-4F6B-9F31-A1F86F1669D7}">
      <text>
        <r>
          <rPr>
            <sz val="9"/>
            <color indexed="81"/>
            <rFont val="Tahoma"/>
            <family val="2"/>
          </rPr>
          <t xml:space="preserve">See note on CFC-11
</t>
        </r>
      </text>
    </comment>
    <comment ref="I113" authorId="0" shapeId="0" xr:uid="{910A8A39-8001-42BA-A736-F96A4AFE5C80}">
      <text>
        <r>
          <rPr>
            <sz val="9"/>
            <color indexed="81"/>
            <rFont val="Tahoma"/>
            <family val="2"/>
          </rPr>
          <t xml:space="preserve">See note on CFC-11
</t>
        </r>
      </text>
    </comment>
    <comment ref="J113" authorId="0" shapeId="0" xr:uid="{51ADFF79-8E9F-4376-8171-600BB5083463}">
      <text>
        <r>
          <rPr>
            <sz val="9"/>
            <color indexed="81"/>
            <rFont val="Tahoma"/>
            <family val="2"/>
          </rPr>
          <t xml:space="preserve">See notes on CFC11
</t>
        </r>
      </text>
    </comment>
    <comment ref="A114" authorId="0" shapeId="0" xr:uid="{BBFCF525-8B69-4D7D-94AE-7E3B83F59E8F}">
      <text>
        <r>
          <rPr>
            <sz val="9"/>
            <color indexed="81"/>
            <rFont val="Tahoma"/>
            <family val="2"/>
          </rPr>
          <t xml:space="preserve">CHCl2CCl2CF3
2,2,3,3-Tetrachloro-1,1,1-trifluoropropane
</t>
        </r>
      </text>
    </comment>
    <comment ref="C114" authorId="0" shapeId="0" xr:uid="{F32BC3E4-B4E4-4211-A4F3-AC5118AB5924}">
      <text>
        <r>
          <rPr>
            <sz val="9"/>
            <color indexed="81"/>
            <rFont val="Tahoma"/>
            <family val="2"/>
          </rPr>
          <t xml:space="preserve">https://csl.noaa.gov/groups/csl5/datasets/data/hcfcs/Summary%20HCFC-223.pdf
</t>
        </r>
      </text>
    </comment>
    <comment ref="D114" authorId="0" shapeId="0" xr:uid="{166C06C4-45E1-4D70-8DBE-B5A547714886}">
      <text>
        <r>
          <rPr>
            <sz val="9"/>
            <color indexed="81"/>
            <rFont val="Tahoma"/>
            <family val="2"/>
          </rPr>
          <t xml:space="preserve">Uncertainty estimated from difference between well-mixed (73) and lifetime adjusted (56) GWP </t>
        </r>
      </text>
    </comment>
    <comment ref="E114" authorId="0" shapeId="0" xr:uid="{3E9133C8-DB19-4E1A-87EA-CF34E4B23CE1}">
      <text>
        <r>
          <rPr>
            <sz val="9"/>
            <color indexed="81"/>
            <rFont val="Tahoma"/>
            <family val="2"/>
          </rPr>
          <t>https://csl.noaa.gov/groups/csl5/datasets/data/hcfcs/Summary%20HCFC-223.pdf</t>
        </r>
      </text>
    </comment>
    <comment ref="F114" authorId="0" shapeId="0" xr:uid="{523150A7-8080-46AF-AC7C-2A3472D3F424}">
      <text>
        <r>
          <rPr>
            <sz val="9"/>
            <color indexed="81"/>
            <rFont val="Tahoma"/>
            <family val="2"/>
          </rPr>
          <t xml:space="preserve">Assumed to be subject to the same kind of uncertainties as the GWP estimate
</t>
        </r>
      </text>
    </comment>
    <comment ref="G114" authorId="0" shapeId="0" xr:uid="{F8E44424-AA3C-41F6-88CA-31E1D6050795}">
      <text>
        <r>
          <rPr>
            <sz val="9"/>
            <color indexed="81"/>
            <rFont val="Tahoma"/>
            <family val="2"/>
          </rPr>
          <t xml:space="preserve">See note on CFC-11
</t>
        </r>
      </text>
    </comment>
    <comment ref="I114" authorId="0" shapeId="0" xr:uid="{F559A587-C22E-4617-8C7B-DBF7EF48AA38}">
      <text>
        <r>
          <rPr>
            <sz val="9"/>
            <color indexed="81"/>
            <rFont val="Tahoma"/>
            <family val="2"/>
          </rPr>
          <t xml:space="preserve">See note on CFC-11
</t>
        </r>
      </text>
    </comment>
    <comment ref="J114" authorId="0" shapeId="0" xr:uid="{47BD50A5-4909-4D47-965B-80AD35813937}">
      <text>
        <r>
          <rPr>
            <sz val="9"/>
            <color indexed="81"/>
            <rFont val="Tahoma"/>
            <family val="2"/>
          </rPr>
          <t xml:space="preserve">See notes on CFC11
</t>
        </r>
      </text>
    </comment>
    <comment ref="A115" authorId="0" shapeId="0" xr:uid="{10DC8A59-F96B-45BD-80EB-D6D7E23374BF}">
      <text>
        <r>
          <rPr>
            <sz val="9"/>
            <color indexed="81"/>
            <rFont val="Tahoma"/>
            <family val="2"/>
          </rPr>
          <t xml:space="preserve">CHClFCCl2CClF2
1,2,2,3-Tetrachloro-1,1,3-trifluoropropane
</t>
        </r>
      </text>
    </comment>
    <comment ref="C115" authorId="0" shapeId="0" xr:uid="{2F188AEA-3D85-4547-B49A-730287E9F6AA}">
      <text>
        <r>
          <rPr>
            <sz val="9"/>
            <color indexed="81"/>
            <rFont val="Tahoma"/>
            <family val="2"/>
          </rPr>
          <t>https://csl.noaa.gov/groups/csl5/datasets/data/hcfcs/Summary%20HCFC-223.pdf</t>
        </r>
      </text>
    </comment>
    <comment ref="D115" authorId="0" shapeId="0" xr:uid="{B4D67475-A751-4B2C-A943-04FAD83B16D1}">
      <text>
        <r>
          <rPr>
            <sz val="9"/>
            <color indexed="81"/>
            <rFont val="Tahoma"/>
            <family val="2"/>
          </rPr>
          <t xml:space="preserve">Uncertainty estimated from difference between well-mixed (260) and lifetime adjusted (232) GWP </t>
        </r>
      </text>
    </comment>
    <comment ref="E115" authorId="0" shapeId="0" xr:uid="{7B819CDF-3927-4E92-86CF-93DB55838F18}">
      <text>
        <r>
          <rPr>
            <sz val="9"/>
            <color indexed="81"/>
            <rFont val="Tahoma"/>
            <family val="2"/>
          </rPr>
          <t xml:space="preserve">https://csl.noaa.gov/groups/csl5/datasets/data/hcfcs/Summary%20HCFC-223.pdf
</t>
        </r>
      </text>
    </comment>
    <comment ref="F115" authorId="0" shapeId="0" xr:uid="{4E474D6B-C242-4D74-95F6-F53A6E45D083}">
      <text>
        <r>
          <rPr>
            <sz val="9"/>
            <color indexed="81"/>
            <rFont val="Tahoma"/>
            <family val="2"/>
          </rPr>
          <t xml:space="preserve">Assumed to be subject to the same kind of uncertainties as the GWP estimate
</t>
        </r>
      </text>
    </comment>
    <comment ref="G115" authorId="0" shapeId="0" xr:uid="{A7B22DD0-3771-44F1-8496-56D3ADB8F092}">
      <text>
        <r>
          <rPr>
            <sz val="9"/>
            <color indexed="81"/>
            <rFont val="Tahoma"/>
            <family val="2"/>
          </rPr>
          <t xml:space="preserve">See note on CFC-11
</t>
        </r>
      </text>
    </comment>
    <comment ref="I115" authorId="0" shapeId="0" xr:uid="{A6277679-D1B7-46C8-B79A-E511AE9145EF}">
      <text>
        <r>
          <rPr>
            <sz val="9"/>
            <color indexed="81"/>
            <rFont val="Tahoma"/>
            <family val="2"/>
          </rPr>
          <t xml:space="preserve">See note on CFC-11
</t>
        </r>
      </text>
    </comment>
    <comment ref="J115" authorId="0" shapeId="0" xr:uid="{0D9AA065-0306-4358-8819-75AE0DC9EB4E}">
      <text>
        <r>
          <rPr>
            <sz val="9"/>
            <color indexed="81"/>
            <rFont val="Tahoma"/>
            <family val="2"/>
          </rPr>
          <t xml:space="preserve">See notes on CFC11
</t>
        </r>
      </text>
    </comment>
    <comment ref="A116" authorId="0" shapeId="0" xr:uid="{AFC255BB-E1AC-49FF-B63C-C91D2B39EB1D}">
      <text>
        <r>
          <rPr>
            <sz val="9"/>
            <color indexed="81"/>
            <rFont val="Tahoma"/>
            <family val="2"/>
          </rPr>
          <t xml:space="preserve">CHF2CCl2CCl2F
1,1,2,2-Tetrachloro-1,3,3-trifluoropropane
</t>
        </r>
      </text>
    </comment>
    <comment ref="C116" authorId="0" shapeId="0" xr:uid="{0B55FFA9-E611-4028-8642-A7512CFF8E46}">
      <text>
        <r>
          <rPr>
            <sz val="9"/>
            <color indexed="81"/>
            <rFont val="Tahoma"/>
            <family val="2"/>
          </rPr>
          <t>https://csl.noaa.gov/groups/csl5/datasets/data/hcfcs/Summary%20HCFC-223.pdf</t>
        </r>
      </text>
    </comment>
    <comment ref="D116" authorId="0" shapeId="0" xr:uid="{B98C8096-6351-4CCE-A7B9-599394D83194}">
      <text>
        <r>
          <rPr>
            <sz val="9"/>
            <color indexed="81"/>
            <rFont val="Tahoma"/>
            <family val="2"/>
          </rPr>
          <t xml:space="preserve">Uncertainty estimated from difference between well-mixed (728) and lifetime adjusted (693) GWP </t>
        </r>
      </text>
    </comment>
    <comment ref="E116" authorId="0" shapeId="0" xr:uid="{7A493250-A48F-4889-BA8C-5D7CF02B26D9}">
      <text>
        <r>
          <rPr>
            <sz val="9"/>
            <color indexed="81"/>
            <rFont val="Tahoma"/>
            <family val="2"/>
          </rPr>
          <t>https://csl.noaa.gov/groups/csl5/datasets/data/hcfcs/Summary%20HCFC-223.pdf</t>
        </r>
      </text>
    </comment>
    <comment ref="F116" authorId="0" shapeId="0" xr:uid="{E5453A8B-96F8-4121-944F-1D29D3FFBDFB}">
      <text>
        <r>
          <rPr>
            <sz val="9"/>
            <color indexed="81"/>
            <rFont val="Tahoma"/>
            <family val="2"/>
          </rPr>
          <t>Assumed to be subject to the same kind of uncertainties as the GWP estimate</t>
        </r>
        <r>
          <rPr>
            <sz val="9"/>
            <color indexed="81"/>
            <rFont val="Tahoma"/>
            <family val="2"/>
          </rPr>
          <t xml:space="preserve">
</t>
        </r>
      </text>
    </comment>
    <comment ref="G116" authorId="0" shapeId="0" xr:uid="{C9F8AFB2-8ACB-4762-BB1C-FB79E29A5B62}">
      <text>
        <r>
          <rPr>
            <sz val="9"/>
            <color indexed="81"/>
            <rFont val="Tahoma"/>
            <family val="2"/>
          </rPr>
          <t xml:space="preserve">See note on CFC-11
</t>
        </r>
      </text>
    </comment>
    <comment ref="I116" authorId="0" shapeId="0" xr:uid="{39531CED-0EA8-42BE-A344-A9FF25F8598E}">
      <text>
        <r>
          <rPr>
            <sz val="9"/>
            <color indexed="81"/>
            <rFont val="Tahoma"/>
            <family val="2"/>
          </rPr>
          <t xml:space="preserve">See note on CFC-11
</t>
        </r>
      </text>
    </comment>
    <comment ref="J116" authorId="0" shapeId="0" xr:uid="{62F827C8-881F-41AA-A1B6-EECDDD5FF9D2}">
      <text>
        <r>
          <rPr>
            <sz val="9"/>
            <color indexed="81"/>
            <rFont val="Tahoma"/>
            <family val="2"/>
          </rPr>
          <t xml:space="preserve">See notes on CFC11
</t>
        </r>
      </text>
    </comment>
    <comment ref="A117" authorId="0" shapeId="0" xr:uid="{E9290A54-09CF-40AE-B175-67F3E650A8B3}">
      <text>
        <r>
          <rPr>
            <sz val="9"/>
            <color indexed="81"/>
            <rFont val="Tahoma"/>
            <family val="2"/>
          </rPr>
          <t xml:space="preserve">CHCl2CClFCClF2
1,2,3,3-Tetrachloro-1,1,2-trifluoropropane
</t>
        </r>
      </text>
    </comment>
    <comment ref="C117" authorId="0" shapeId="0" xr:uid="{62566A7E-5045-4073-A3A0-C870DAC0D740}">
      <text>
        <r>
          <rPr>
            <sz val="9"/>
            <color indexed="81"/>
            <rFont val="Tahoma"/>
            <family val="2"/>
          </rPr>
          <t>https://csl.noaa.gov/groups/csl5/datasets/data/hcfcs/Summary%20HCFC-223.pdf</t>
        </r>
      </text>
    </comment>
    <comment ref="D117" authorId="0" shapeId="0" xr:uid="{C418D36D-D2D3-40D2-B273-4BBA1524C6BD}">
      <text>
        <r>
          <rPr>
            <sz val="9"/>
            <color indexed="81"/>
            <rFont val="Tahoma"/>
            <family val="2"/>
          </rPr>
          <t xml:space="preserve">Uncertainty estimated from difference between well-mixed (116) and lifetime adjusted (92) GWP </t>
        </r>
      </text>
    </comment>
    <comment ref="E117" authorId="0" shapeId="0" xr:uid="{C6A02FDA-4D18-41FE-A706-BE847FB85F3A}">
      <text>
        <r>
          <rPr>
            <sz val="9"/>
            <color indexed="81"/>
            <rFont val="Tahoma"/>
            <family val="2"/>
          </rPr>
          <t>https://csl.noaa.gov/groups/csl5/datasets/data/hcfcs/Summary%20HCFC-223.pdf</t>
        </r>
      </text>
    </comment>
    <comment ref="F117" authorId="0" shapeId="0" xr:uid="{75211E7C-E469-4682-AE81-EB871F916A96}">
      <text>
        <r>
          <rPr>
            <sz val="9"/>
            <color indexed="81"/>
            <rFont val="Tahoma"/>
            <family val="2"/>
          </rPr>
          <t>Assumed to be subject to the same kind of uncertainties as the GWP estimate</t>
        </r>
        <r>
          <rPr>
            <sz val="9"/>
            <color indexed="81"/>
            <rFont val="Tahoma"/>
            <family val="2"/>
          </rPr>
          <t xml:space="preserve">
</t>
        </r>
      </text>
    </comment>
    <comment ref="G117" authorId="0" shapeId="0" xr:uid="{A055E940-0D51-41A0-AEB7-5EBEE079C385}">
      <text>
        <r>
          <rPr>
            <sz val="9"/>
            <color indexed="81"/>
            <rFont val="Tahoma"/>
            <family val="2"/>
          </rPr>
          <t xml:space="preserve">See note on CFC-11
</t>
        </r>
      </text>
    </comment>
    <comment ref="I117" authorId="0" shapeId="0" xr:uid="{5F5176C6-1B70-40EF-AE1D-14DB8E26B4A9}">
      <text>
        <r>
          <rPr>
            <sz val="9"/>
            <color indexed="81"/>
            <rFont val="Tahoma"/>
            <family val="2"/>
          </rPr>
          <t xml:space="preserve">See note on CFC-11
</t>
        </r>
      </text>
    </comment>
    <comment ref="J117" authorId="0" shapeId="0" xr:uid="{9C33E494-E923-43AC-B648-0A432D63FD95}">
      <text>
        <r>
          <rPr>
            <sz val="9"/>
            <color indexed="81"/>
            <rFont val="Tahoma"/>
            <family val="2"/>
          </rPr>
          <t xml:space="preserve">See notes on CFC11
</t>
        </r>
      </text>
    </comment>
    <comment ref="A118" authorId="0" shapeId="0" xr:uid="{1D61AC7D-9B2A-4172-BD52-EB20B5B4CD5D}">
      <text>
        <r>
          <rPr>
            <sz val="9"/>
            <color indexed="81"/>
            <rFont val="Tahoma"/>
            <family val="2"/>
          </rPr>
          <t xml:space="preserve">CHClFCClFCCl2F
1,1,2,3-Tetrachloro-1,2,3-trifluoropropane
</t>
        </r>
      </text>
    </comment>
    <comment ref="C118" authorId="0" shapeId="0" xr:uid="{75415E18-71A1-412A-91EF-2CC3C307B6BA}">
      <text>
        <r>
          <rPr>
            <sz val="9"/>
            <color indexed="81"/>
            <rFont val="Tahoma"/>
            <family val="2"/>
          </rPr>
          <t>https://csl.noaa.gov/groups/csl5/datasets/data/hcfcs/Summary%20HCFC-223.pdf</t>
        </r>
      </text>
    </comment>
    <comment ref="D118" authorId="0" shapeId="0" xr:uid="{1408D677-CCFA-4CA4-9D57-783CB5EF8734}">
      <text>
        <r>
          <rPr>
            <sz val="9"/>
            <color indexed="81"/>
            <rFont val="Tahoma"/>
            <family val="2"/>
          </rPr>
          <t xml:space="preserve">Uncertainty estimated from difference between well-mixed (218) and lifetime adjusted (193) GWP </t>
        </r>
      </text>
    </comment>
    <comment ref="E118" authorId="0" shapeId="0" xr:uid="{4FF2AAC1-E187-4EBC-A218-AA76159BFF75}">
      <text>
        <r>
          <rPr>
            <sz val="9"/>
            <color indexed="81"/>
            <rFont val="Tahoma"/>
            <family val="2"/>
          </rPr>
          <t>https://csl.noaa.gov/groups/csl5/datasets/data/hcfcs/Summary%20HCFC-223.pdf</t>
        </r>
      </text>
    </comment>
    <comment ref="F118" authorId="0" shapeId="0" xr:uid="{CD5B33E1-A901-4F66-8475-A24AF0CAF01D}">
      <text>
        <r>
          <rPr>
            <sz val="9"/>
            <color indexed="81"/>
            <rFont val="Tahoma"/>
            <family val="2"/>
          </rPr>
          <t>Assumed to be subject to the same kind of uncertainties as the GWP estimate</t>
        </r>
        <r>
          <rPr>
            <sz val="9"/>
            <color indexed="81"/>
            <rFont val="Tahoma"/>
            <family val="2"/>
          </rPr>
          <t xml:space="preserve">
</t>
        </r>
      </text>
    </comment>
    <comment ref="G118" authorId="0" shapeId="0" xr:uid="{5AEBDBCB-B8C0-412A-B555-E4B41AC500F6}">
      <text>
        <r>
          <rPr>
            <sz val="9"/>
            <color indexed="81"/>
            <rFont val="Tahoma"/>
            <family val="2"/>
          </rPr>
          <t xml:space="preserve">See note on CFC-11
</t>
        </r>
      </text>
    </comment>
    <comment ref="I118" authorId="0" shapeId="0" xr:uid="{63843169-2A97-464D-9437-1F39D91002A3}">
      <text>
        <r>
          <rPr>
            <sz val="9"/>
            <color indexed="81"/>
            <rFont val="Tahoma"/>
            <family val="2"/>
          </rPr>
          <t xml:space="preserve">See note on CFC-11
</t>
        </r>
      </text>
    </comment>
    <comment ref="J118" authorId="0" shapeId="0" xr:uid="{9656D1F7-9976-45A2-9040-EE02797F9F68}">
      <text>
        <r>
          <rPr>
            <sz val="9"/>
            <color indexed="81"/>
            <rFont val="Tahoma"/>
            <family val="2"/>
          </rPr>
          <t xml:space="preserve">See notes on CFC11
</t>
        </r>
      </text>
    </comment>
    <comment ref="A119" authorId="0" shapeId="0" xr:uid="{BC7E47C0-43C7-4C26-BB9B-F7ACD29B1A32}">
      <text>
        <r>
          <rPr>
            <sz val="9"/>
            <color indexed="81"/>
            <rFont val="Tahoma"/>
            <family val="2"/>
          </rPr>
          <t xml:space="preserve">CHF2CClFCCl3
1,1,1,2-Tetrachloro-2,3,3-trifluoropropane
</t>
        </r>
      </text>
    </comment>
    <comment ref="C119" authorId="0" shapeId="0" xr:uid="{2EFDE592-D082-4FBA-9303-682AB0F6E553}">
      <text>
        <r>
          <rPr>
            <sz val="9"/>
            <color indexed="81"/>
            <rFont val="Tahoma"/>
            <family val="2"/>
          </rPr>
          <t>https://csl.noaa.gov/groups/csl5/datasets/data/hcfcs/Summary%20HCFC-223.pdf</t>
        </r>
      </text>
    </comment>
    <comment ref="D119" authorId="0" shapeId="0" xr:uid="{0218F7F5-ED42-427E-AEB4-C14B7F674961}">
      <text>
        <r>
          <rPr>
            <sz val="9"/>
            <color indexed="81"/>
            <rFont val="Tahoma"/>
            <family val="2"/>
          </rPr>
          <t xml:space="preserve">Uncertainty estimated from difference between well-mixed (713) and lifetime adjusted (682) GWP </t>
        </r>
      </text>
    </comment>
    <comment ref="E119" authorId="0" shapeId="0" xr:uid="{99236D16-ACFB-41BD-B9E9-1F4063546C82}">
      <text>
        <r>
          <rPr>
            <sz val="9"/>
            <color indexed="81"/>
            <rFont val="Tahoma"/>
            <family val="2"/>
          </rPr>
          <t>https://csl.noaa.gov/groups/csl5/datasets/data/hcfcs/Summary%20HCFC-223.pdf</t>
        </r>
      </text>
    </comment>
    <comment ref="F119" authorId="0" shapeId="0" xr:uid="{8854DBC3-FFD5-4918-ADD1-3FD99DCEDDD0}">
      <text>
        <r>
          <rPr>
            <sz val="9"/>
            <color indexed="81"/>
            <rFont val="Tahoma"/>
            <family val="2"/>
          </rPr>
          <t>Assumed to be subject to the same kind of uncertainties as the GWP estimate</t>
        </r>
        <r>
          <rPr>
            <sz val="9"/>
            <color indexed="81"/>
            <rFont val="Tahoma"/>
            <family val="2"/>
          </rPr>
          <t xml:space="preserve">
</t>
        </r>
      </text>
    </comment>
    <comment ref="G119" authorId="0" shapeId="0" xr:uid="{9E5476B4-560B-4276-9D99-2E9FCC9234BE}">
      <text>
        <r>
          <rPr>
            <sz val="9"/>
            <color indexed="81"/>
            <rFont val="Tahoma"/>
            <family val="2"/>
          </rPr>
          <t xml:space="preserve">See note on CFC-11
</t>
        </r>
      </text>
    </comment>
    <comment ref="I119" authorId="0" shapeId="0" xr:uid="{38E97CBE-3475-406F-B533-B03ECAF7DFE6}">
      <text>
        <r>
          <rPr>
            <sz val="9"/>
            <color indexed="81"/>
            <rFont val="Tahoma"/>
            <family val="2"/>
          </rPr>
          <t xml:space="preserve">See note on CFC-11
</t>
        </r>
      </text>
    </comment>
    <comment ref="J119" authorId="0" shapeId="0" xr:uid="{2B203C41-8CB4-46FF-BE05-608F8132E9AA}">
      <text>
        <r>
          <rPr>
            <sz val="9"/>
            <color indexed="81"/>
            <rFont val="Tahoma"/>
            <family val="2"/>
          </rPr>
          <t xml:space="preserve">See notes on CFC11
</t>
        </r>
      </text>
    </comment>
    <comment ref="A120" authorId="0" shapeId="0" xr:uid="{E5219CB3-F67D-4388-82F7-BB9910C802EA}">
      <text>
        <r>
          <rPr>
            <sz val="9"/>
            <color indexed="81"/>
            <rFont val="Tahoma"/>
            <family val="2"/>
          </rPr>
          <t xml:space="preserve">CHCl2CF2CCl2F
1,1,3,3-Tetrachloro-1,2,2-trifluoropropane
</t>
        </r>
      </text>
    </comment>
    <comment ref="C120" authorId="0" shapeId="0" xr:uid="{DFE6BED3-5BBD-4F35-AA34-8E13951AEF42}">
      <text>
        <r>
          <rPr>
            <sz val="9"/>
            <color indexed="81"/>
            <rFont val="Tahoma"/>
            <family val="2"/>
          </rPr>
          <t>https://csl.noaa.gov/groups/csl5/datasets/data/hcfcs/Summary%20HCFC-223.pdf</t>
        </r>
      </text>
    </comment>
    <comment ref="D120" authorId="0" shapeId="0" xr:uid="{60D4C2E8-A2A1-4EA4-A783-1084590DC875}">
      <text>
        <r>
          <rPr>
            <sz val="9"/>
            <color indexed="81"/>
            <rFont val="Tahoma"/>
            <family val="2"/>
          </rPr>
          <t xml:space="preserve">Uncertainty estimated from difference between well-mixed (105) and lifetime adjusted (83) GWP </t>
        </r>
      </text>
    </comment>
    <comment ref="E120" authorId="0" shapeId="0" xr:uid="{C9DF0964-D126-4BFD-B933-5674DCC5CCA5}">
      <text>
        <r>
          <rPr>
            <sz val="9"/>
            <color indexed="81"/>
            <rFont val="Tahoma"/>
            <family val="2"/>
          </rPr>
          <t>https://csl.noaa.gov/groups/csl5/datasets/data/hcfcs/Summary%20HCFC-223.pdf</t>
        </r>
      </text>
    </comment>
    <comment ref="F120" authorId="0" shapeId="0" xr:uid="{1543440E-CB33-49FB-B58C-D6DC16F0B993}">
      <text>
        <r>
          <rPr>
            <sz val="9"/>
            <color indexed="81"/>
            <rFont val="Tahoma"/>
            <family val="2"/>
          </rPr>
          <t>Assumed to be subject to the same kind of uncertainties as the GWP estimate</t>
        </r>
        <r>
          <rPr>
            <sz val="9"/>
            <color indexed="81"/>
            <rFont val="Tahoma"/>
            <family val="2"/>
          </rPr>
          <t xml:space="preserve">
</t>
        </r>
      </text>
    </comment>
    <comment ref="G120" authorId="0" shapeId="0" xr:uid="{884EA513-A93B-4363-8B2B-45C01537268F}">
      <text>
        <r>
          <rPr>
            <sz val="9"/>
            <color indexed="81"/>
            <rFont val="Tahoma"/>
            <family val="2"/>
          </rPr>
          <t xml:space="preserve">See note on CFC-11
</t>
        </r>
      </text>
    </comment>
    <comment ref="I120" authorId="0" shapeId="0" xr:uid="{DBBDBFA8-62F4-4D3F-A62B-B1ECEE2933B6}">
      <text>
        <r>
          <rPr>
            <sz val="9"/>
            <color indexed="81"/>
            <rFont val="Tahoma"/>
            <family val="2"/>
          </rPr>
          <t xml:space="preserve">See note on CFC-11
</t>
        </r>
      </text>
    </comment>
    <comment ref="J120" authorId="0" shapeId="0" xr:uid="{D5B9BD82-F3F2-434E-9E0B-834E6A1DA106}">
      <text>
        <r>
          <rPr>
            <sz val="9"/>
            <color indexed="81"/>
            <rFont val="Tahoma"/>
            <family val="2"/>
          </rPr>
          <t xml:space="preserve">See notes on CFC11
</t>
        </r>
      </text>
    </comment>
    <comment ref="A121" authorId="0" shapeId="0" xr:uid="{9E80FE47-13A4-45B0-AC98-FCAC1851048C}">
      <text>
        <r>
          <rPr>
            <sz val="9"/>
            <color indexed="81"/>
            <rFont val="Tahoma"/>
            <family val="2"/>
          </rPr>
          <t xml:space="preserve">CHClFCF2CCl3
1,1,1,3-Tetrachloro-2,2,3-trifluoropropane
</t>
        </r>
      </text>
    </comment>
    <comment ref="C121" authorId="0" shapeId="0" xr:uid="{8793726C-3515-4811-A373-118963670114}">
      <text>
        <r>
          <rPr>
            <sz val="9"/>
            <color indexed="81"/>
            <rFont val="Tahoma"/>
            <family val="2"/>
          </rPr>
          <t>https://csl.noaa.gov/groups/csl5/datasets/data/hcfcs/Summary%20HCFC-223.pdf</t>
        </r>
      </text>
    </comment>
    <comment ref="D121" authorId="0" shapeId="0" xr:uid="{2C78449A-2FE6-4A2F-8F5C-26AD5421A140}">
      <text>
        <r>
          <rPr>
            <sz val="9"/>
            <color indexed="81"/>
            <rFont val="Tahoma"/>
            <family val="2"/>
          </rPr>
          <t xml:space="preserve">Uncertainty estimated from difference between well-mixed (264) and lifetime adjusted (239) GWP </t>
        </r>
      </text>
    </comment>
    <comment ref="E121" authorId="0" shapeId="0" xr:uid="{2F5D27AD-790D-4585-B692-B06C0F27A69A}">
      <text>
        <r>
          <rPr>
            <sz val="9"/>
            <color indexed="81"/>
            <rFont val="Tahoma"/>
            <family val="2"/>
          </rPr>
          <t>https://csl.noaa.gov/groups/csl5/datasets/data/hcfcs/Summary%20HCFC-223.pdf</t>
        </r>
      </text>
    </comment>
    <comment ref="F121" authorId="0" shapeId="0" xr:uid="{01297BFD-91B4-422B-88D7-2161130EF402}">
      <text>
        <r>
          <rPr>
            <sz val="9"/>
            <color indexed="81"/>
            <rFont val="Tahoma"/>
            <family val="2"/>
          </rPr>
          <t>Assumed to be subject to the same kind of uncertainties as the GWP estimate</t>
        </r>
        <r>
          <rPr>
            <sz val="9"/>
            <color indexed="81"/>
            <rFont val="Tahoma"/>
            <family val="2"/>
          </rPr>
          <t xml:space="preserve">
</t>
        </r>
      </text>
    </comment>
    <comment ref="G121" authorId="0" shapeId="0" xr:uid="{27BA35ED-0364-4DF0-B60A-C0D4512D2347}">
      <text>
        <r>
          <rPr>
            <sz val="9"/>
            <color indexed="81"/>
            <rFont val="Tahoma"/>
            <family val="2"/>
          </rPr>
          <t xml:space="preserve">See note on CFC-11
</t>
        </r>
      </text>
    </comment>
    <comment ref="I121" authorId="0" shapeId="0" xr:uid="{6A650CA6-303E-4416-9113-490D80815A5C}">
      <text>
        <r>
          <rPr>
            <sz val="9"/>
            <color indexed="81"/>
            <rFont val="Tahoma"/>
            <family val="2"/>
          </rPr>
          <t xml:space="preserve">See note on CFC-11
</t>
        </r>
      </text>
    </comment>
    <comment ref="J121" authorId="0" shapeId="0" xr:uid="{0F5B450B-485A-4E39-82E6-7B26E9451C84}">
      <text>
        <r>
          <rPr>
            <sz val="9"/>
            <color indexed="81"/>
            <rFont val="Tahoma"/>
            <family val="2"/>
          </rPr>
          <t xml:space="preserve">See notes on CFC11
</t>
        </r>
      </text>
    </comment>
    <comment ref="A122" authorId="0" shapeId="0" xr:uid="{B5277CB5-D27E-4B4C-A3B8-DD2736A43487}">
      <text>
        <r>
          <rPr>
            <sz val="9"/>
            <color indexed="81"/>
            <rFont val="Tahoma"/>
            <family val="2"/>
          </rPr>
          <t xml:space="preserve">CCl2FCHClCClF2
1,1,2,3-Tetrachloro-1,3,3-trifluoropropane
</t>
        </r>
      </text>
    </comment>
    <comment ref="C122" authorId="0" shapeId="0" xr:uid="{93BEB2B4-6150-4332-BA82-E3B472EEDDCA}">
      <text>
        <r>
          <rPr>
            <sz val="9"/>
            <color indexed="81"/>
            <rFont val="Tahoma"/>
            <family val="2"/>
          </rPr>
          <t>https://csl.noaa.gov/groups/csl5/datasets/data/hcfcs/Summary%20HCFC-223.pdf</t>
        </r>
      </text>
    </comment>
    <comment ref="D122" authorId="0" shapeId="0" xr:uid="{3C3870E2-DBE6-44E2-92E4-14F8A847735D}">
      <text>
        <r>
          <rPr>
            <sz val="9"/>
            <color indexed="81"/>
            <rFont val="Tahoma"/>
            <family val="2"/>
          </rPr>
          <t xml:space="preserve">Uncertainty estimated from difference between well-mixed (561) and lifetime adjusted (525) GWP </t>
        </r>
      </text>
    </comment>
    <comment ref="E122" authorId="0" shapeId="0" xr:uid="{DA939998-8BD2-4D9D-AF93-E0BC9C0961C5}">
      <text>
        <r>
          <rPr>
            <sz val="9"/>
            <color indexed="81"/>
            <rFont val="Tahoma"/>
            <family val="2"/>
          </rPr>
          <t>https://csl.noaa.gov/groups/csl5/datasets/data/hcfcs/Summary%20HCFC-223.pdf</t>
        </r>
      </text>
    </comment>
    <comment ref="F122" authorId="0" shapeId="0" xr:uid="{AC899D18-9642-451D-8438-E2DF3AF35ED0}">
      <text>
        <r>
          <rPr>
            <sz val="9"/>
            <color indexed="81"/>
            <rFont val="Tahoma"/>
            <family val="2"/>
          </rPr>
          <t>Assumed to be subject to the same kind of uncertainties as the GWP estimate</t>
        </r>
        <r>
          <rPr>
            <sz val="9"/>
            <color indexed="81"/>
            <rFont val="Tahoma"/>
            <family val="2"/>
          </rPr>
          <t xml:space="preserve">
</t>
        </r>
      </text>
    </comment>
    <comment ref="G122" authorId="0" shapeId="0" xr:uid="{F542464C-20F7-449C-BBBD-5108A8771CB2}">
      <text>
        <r>
          <rPr>
            <sz val="9"/>
            <color indexed="81"/>
            <rFont val="Tahoma"/>
            <family val="2"/>
          </rPr>
          <t xml:space="preserve">See note on CFC-11
</t>
        </r>
      </text>
    </comment>
    <comment ref="I122" authorId="0" shapeId="0" xr:uid="{62266618-4088-4F52-9D03-EFECEE58370B}">
      <text>
        <r>
          <rPr>
            <sz val="9"/>
            <color indexed="81"/>
            <rFont val="Tahoma"/>
            <family val="2"/>
          </rPr>
          <t xml:space="preserve">See note on CFC-11
</t>
        </r>
      </text>
    </comment>
    <comment ref="J122" authorId="0" shapeId="0" xr:uid="{479CC036-A135-420D-9F44-4861F5DFA59D}">
      <text>
        <r>
          <rPr>
            <sz val="9"/>
            <color indexed="81"/>
            <rFont val="Tahoma"/>
            <family val="2"/>
          </rPr>
          <t xml:space="preserve">See notes on CFC11
</t>
        </r>
      </text>
    </comment>
    <comment ref="A123" authorId="0" shapeId="0" xr:uid="{B2B71551-BBC1-453E-B522-9CDD30139D2A}">
      <text>
        <r>
          <rPr>
            <sz val="9"/>
            <color indexed="81"/>
            <rFont val="Tahoma"/>
            <family val="2"/>
          </rPr>
          <t xml:space="preserve">CCl3CHClCF3
1,1,1,2-Tetrachloro-3,3,3-trifluoropropane
</t>
        </r>
      </text>
    </comment>
    <comment ref="C123" authorId="0" shapeId="0" xr:uid="{476FE686-2A1E-4093-B1A8-BB13605B67F2}">
      <text>
        <r>
          <rPr>
            <sz val="9"/>
            <color indexed="81"/>
            <rFont val="Tahoma"/>
            <family val="2"/>
          </rPr>
          <t>https://csl.noaa.gov/groups/csl5/datasets/data/hcfcs/Summary%20HCFC-223.pdf</t>
        </r>
      </text>
    </comment>
    <comment ref="D123" authorId="0" shapeId="0" xr:uid="{8F26B371-CCA4-426A-92E9-46C601747746}">
      <text>
        <r>
          <rPr>
            <sz val="9"/>
            <color indexed="81"/>
            <rFont val="Tahoma"/>
            <family val="2"/>
          </rPr>
          <t xml:space="preserve">Uncertainty estimated from difference between well-mixed (409) and lifetime adjusted (383) GWP </t>
        </r>
      </text>
    </comment>
    <comment ref="E123" authorId="0" shapeId="0" xr:uid="{C8672699-6336-4F33-A718-CCC7290FAE34}">
      <text>
        <r>
          <rPr>
            <sz val="9"/>
            <color indexed="81"/>
            <rFont val="Tahoma"/>
            <family val="2"/>
          </rPr>
          <t>https://csl.noaa.gov/groups/csl5/datasets/data/hcfcs/Summary%20HCFC-223.pdf</t>
        </r>
      </text>
    </comment>
    <comment ref="F123" authorId="0" shapeId="0" xr:uid="{C4341B50-A05D-4E6C-BADE-E8E2632601F9}">
      <text>
        <r>
          <rPr>
            <sz val="9"/>
            <color indexed="81"/>
            <rFont val="Tahoma"/>
            <family val="2"/>
          </rPr>
          <t>Assumed to be subject to the same kind of uncertainties as the GWP estimate</t>
        </r>
        <r>
          <rPr>
            <sz val="9"/>
            <color indexed="81"/>
            <rFont val="Tahoma"/>
            <family val="2"/>
          </rPr>
          <t xml:space="preserve">
</t>
        </r>
      </text>
    </comment>
    <comment ref="G123" authorId="0" shapeId="0" xr:uid="{C48B5D11-529B-4655-AABB-E691B5B722A1}">
      <text>
        <r>
          <rPr>
            <sz val="9"/>
            <color indexed="81"/>
            <rFont val="Tahoma"/>
            <family val="2"/>
          </rPr>
          <t xml:space="preserve">See note on CFC-11
</t>
        </r>
      </text>
    </comment>
    <comment ref="I123" authorId="0" shapeId="0" xr:uid="{4402DB91-CB75-4F9D-933E-6A8729D4A685}">
      <text>
        <r>
          <rPr>
            <sz val="9"/>
            <color indexed="81"/>
            <rFont val="Tahoma"/>
            <family val="2"/>
          </rPr>
          <t xml:space="preserve">See note on CFC-11
</t>
        </r>
      </text>
    </comment>
    <comment ref="J123" authorId="0" shapeId="0" xr:uid="{158DF808-C8F9-41B6-BECF-5662CCEFF3A7}">
      <text>
        <r>
          <rPr>
            <sz val="9"/>
            <color indexed="81"/>
            <rFont val="Tahoma"/>
            <family val="2"/>
          </rPr>
          <t xml:space="preserve">See notes on CFC11
</t>
        </r>
      </text>
    </comment>
    <comment ref="A124" authorId="0" shapeId="0" xr:uid="{C5EB12D0-C384-4641-8FA7-2F7259C5A6B1}">
      <text>
        <r>
          <rPr>
            <sz val="9"/>
            <color indexed="81"/>
            <rFont val="Tahoma"/>
            <family val="2"/>
          </rPr>
          <t xml:space="preserve">CCl2FCHFCCl2F
1,1,3,3-Tetrachloro-1,2,3-trifluoropropane
</t>
        </r>
      </text>
    </comment>
    <comment ref="C124" authorId="0" shapeId="0" xr:uid="{C242E014-F0B7-4CFB-8D86-37CD8ED01FC1}">
      <text>
        <r>
          <rPr>
            <sz val="9"/>
            <color indexed="81"/>
            <rFont val="Tahoma"/>
            <family val="2"/>
          </rPr>
          <t>https://csl.noaa.gov/groups/csl5/datasets/data/hcfcs/Summary%20HCFC-223.pdf</t>
        </r>
      </text>
    </comment>
    <comment ref="D124" authorId="0" shapeId="0" xr:uid="{4B6D29BB-6764-4206-B8B4-3B1EA2B93F80}">
      <text>
        <r>
          <rPr>
            <sz val="9"/>
            <color indexed="81"/>
            <rFont val="Tahoma"/>
            <family val="2"/>
          </rPr>
          <t xml:space="preserve">Uncertainty estimated from difference between well-mixed (489) and lifetime adjusted (457) GWP </t>
        </r>
      </text>
    </comment>
    <comment ref="E124" authorId="0" shapeId="0" xr:uid="{3B56E128-51F9-4519-9318-6CE6CF521249}">
      <text>
        <r>
          <rPr>
            <sz val="9"/>
            <color indexed="81"/>
            <rFont val="Tahoma"/>
            <family val="2"/>
          </rPr>
          <t>https://csl.noaa.gov/groups/csl5/datasets/data/hcfcs/Summary%20HCFC-223.pdf</t>
        </r>
      </text>
    </comment>
    <comment ref="F124" authorId="0" shapeId="0" xr:uid="{2F3EBBFF-74B5-4A7F-9733-487B50AEB87C}">
      <text>
        <r>
          <rPr>
            <sz val="9"/>
            <color indexed="81"/>
            <rFont val="Tahoma"/>
            <family val="2"/>
          </rPr>
          <t>Assumed to be subject to the same kind of uncertainties as the GWP estimate</t>
        </r>
        <r>
          <rPr>
            <sz val="9"/>
            <color indexed="81"/>
            <rFont val="Tahoma"/>
            <family val="2"/>
          </rPr>
          <t xml:space="preserve">
</t>
        </r>
      </text>
    </comment>
    <comment ref="G124" authorId="0" shapeId="0" xr:uid="{5F8A5BBB-2712-446C-A0C2-ADFF3513391F}">
      <text>
        <r>
          <rPr>
            <sz val="9"/>
            <color indexed="81"/>
            <rFont val="Tahoma"/>
            <family val="2"/>
          </rPr>
          <t xml:space="preserve">See note on CFC-11
</t>
        </r>
      </text>
    </comment>
    <comment ref="I124" authorId="0" shapeId="0" xr:uid="{16F6F801-5035-4188-BD7B-C5EAE2907C5A}">
      <text>
        <r>
          <rPr>
            <sz val="9"/>
            <color indexed="81"/>
            <rFont val="Tahoma"/>
            <family val="2"/>
          </rPr>
          <t xml:space="preserve">See note on CFC-11
</t>
        </r>
      </text>
    </comment>
    <comment ref="J124" authorId="0" shapeId="0" xr:uid="{E749918A-4FBF-4493-BF15-75465A4C9A1E}">
      <text>
        <r>
          <rPr>
            <sz val="9"/>
            <color indexed="81"/>
            <rFont val="Tahoma"/>
            <family val="2"/>
          </rPr>
          <t xml:space="preserve">See notes on CFC11
</t>
        </r>
      </text>
    </comment>
    <comment ref="A125" authorId="0" shapeId="0" xr:uid="{2158386F-04FE-4560-8CFD-7854B9589E68}">
      <text>
        <r>
          <rPr>
            <sz val="9"/>
            <color indexed="81"/>
            <rFont val="Tahoma"/>
            <family val="2"/>
          </rPr>
          <t xml:space="preserve">CCl3CHFCClF2
1,1,1,3-Tetrachloro-2,3,3-trifluoropropane
</t>
        </r>
      </text>
    </comment>
    <comment ref="C125" authorId="0" shapeId="0" xr:uid="{BEF0C86F-0057-4EE8-8D8F-264C6FA294DC}">
      <text>
        <r>
          <rPr>
            <sz val="9"/>
            <color indexed="81"/>
            <rFont val="Tahoma"/>
            <family val="2"/>
          </rPr>
          <t>https://csl.noaa.gov/groups/csl5/datasets/data/hcfcs/Summary%20HCFC-223.pdf</t>
        </r>
      </text>
    </comment>
    <comment ref="D125" authorId="0" shapeId="0" xr:uid="{92090A79-8B74-42E9-9309-B4AA3C997F41}">
      <text>
        <r>
          <rPr>
            <sz val="9"/>
            <color indexed="81"/>
            <rFont val="Tahoma"/>
            <family val="2"/>
          </rPr>
          <t xml:space="preserve">Uncertainty estimated from difference between well-mixed (468) and lifetime adjusted (438) GWP </t>
        </r>
      </text>
    </comment>
    <comment ref="E125" authorId="0" shapeId="0" xr:uid="{A1BC5977-9F48-48C1-BEAD-5B9A27D3188C}">
      <text>
        <r>
          <rPr>
            <sz val="9"/>
            <color indexed="81"/>
            <rFont val="Tahoma"/>
            <family val="2"/>
          </rPr>
          <t>https://csl.noaa.gov/groups/csl5/datasets/data/hcfcs/Summary%20HCFC-223.pdf</t>
        </r>
      </text>
    </comment>
    <comment ref="F125" authorId="0" shapeId="0" xr:uid="{4C6BE208-F651-44AE-B2FD-B259252EF69B}">
      <text>
        <r>
          <rPr>
            <sz val="9"/>
            <color indexed="81"/>
            <rFont val="Tahoma"/>
            <family val="2"/>
          </rPr>
          <t>Assumed to be subject to the same kind of uncertainties as the GWP estimate</t>
        </r>
        <r>
          <rPr>
            <sz val="9"/>
            <color indexed="81"/>
            <rFont val="Tahoma"/>
            <family val="2"/>
          </rPr>
          <t xml:space="preserve">
</t>
        </r>
      </text>
    </comment>
    <comment ref="G125" authorId="0" shapeId="0" xr:uid="{63530339-56DE-45C1-8BC0-DAABCD17B181}">
      <text>
        <r>
          <rPr>
            <sz val="9"/>
            <color indexed="81"/>
            <rFont val="Tahoma"/>
            <family val="2"/>
          </rPr>
          <t xml:space="preserve">See note on CFC-11
</t>
        </r>
      </text>
    </comment>
    <comment ref="I125" authorId="0" shapeId="0" xr:uid="{BFD56600-8E8D-48B2-A5A9-CEDF74C3311F}">
      <text>
        <r>
          <rPr>
            <sz val="9"/>
            <color indexed="81"/>
            <rFont val="Tahoma"/>
            <family val="2"/>
          </rPr>
          <t xml:space="preserve">See note on CFC-11
</t>
        </r>
      </text>
    </comment>
    <comment ref="J125" authorId="0" shapeId="0" xr:uid="{19AB04BB-C1B0-441F-AE6B-2901A90E301E}">
      <text>
        <r>
          <rPr>
            <sz val="9"/>
            <color indexed="81"/>
            <rFont val="Tahoma"/>
            <family val="2"/>
          </rPr>
          <t xml:space="preserve">See notes on CFC11
</t>
        </r>
      </text>
    </comment>
    <comment ref="A126" authorId="0" shapeId="0" xr:uid="{62C8D346-9E82-4D4D-8C31-2C54141C6F39}">
      <text>
        <r>
          <rPr>
            <sz val="9"/>
            <color indexed="81"/>
            <rFont val="Tahoma"/>
            <family val="2"/>
          </rPr>
          <t xml:space="preserve">CHClFCCl2CF3
2,2,3-Trichloro-1,1,1,3-tetrafluoropropane
</t>
        </r>
      </text>
    </comment>
    <comment ref="C126" authorId="0" shapeId="0" xr:uid="{05CCC25B-046A-4D64-8AFF-B0AE180401BD}">
      <text>
        <r>
          <rPr>
            <sz val="9"/>
            <color indexed="81"/>
            <rFont val="Tahoma"/>
            <family val="2"/>
          </rPr>
          <t>https://csl.noaa.gov/groups/csl5/datasets/data/hcfcs/Summary%20HCFC-224.pdf</t>
        </r>
      </text>
    </comment>
    <comment ref="D126" authorId="0" shapeId="0" xr:uid="{FCFD81C4-D95F-436E-AA33-258FE3F14F5D}">
      <text>
        <r>
          <rPr>
            <sz val="9"/>
            <color indexed="81"/>
            <rFont val="Tahoma"/>
            <family val="2"/>
          </rPr>
          <t xml:space="preserve">Uncertainty estimated from difference between well-mixed (243) and lifetime adjusted (216) GWP </t>
        </r>
      </text>
    </comment>
    <comment ref="E126" authorId="0" shapeId="0" xr:uid="{F747F3F0-AA1D-43AD-88B4-B455FB7707AA}">
      <text>
        <r>
          <rPr>
            <sz val="9"/>
            <color indexed="81"/>
            <rFont val="Tahoma"/>
            <family val="2"/>
          </rPr>
          <t>https://csl.noaa.gov/groups/csl5/datasets/data/hcfcs/Summary%20HCFC-224.pdf</t>
        </r>
      </text>
    </comment>
    <comment ref="F126" authorId="0" shapeId="0" xr:uid="{BEC3A822-4A39-404B-B60E-E9D0DED05D63}">
      <text>
        <r>
          <rPr>
            <sz val="9"/>
            <color indexed="81"/>
            <rFont val="Tahoma"/>
            <family val="2"/>
          </rPr>
          <t>Assumed to be subject to the same kind of uncertainties as the GWP estimate</t>
        </r>
        <r>
          <rPr>
            <sz val="9"/>
            <color indexed="81"/>
            <rFont val="Tahoma"/>
            <family val="2"/>
          </rPr>
          <t xml:space="preserve">
</t>
        </r>
      </text>
    </comment>
    <comment ref="G126" authorId="0" shapeId="0" xr:uid="{4ADD1C59-2A4D-4F81-B7CF-4FD0C3C7B9AA}">
      <text>
        <r>
          <rPr>
            <sz val="9"/>
            <color indexed="81"/>
            <rFont val="Tahoma"/>
            <family val="2"/>
          </rPr>
          <t xml:space="preserve">See note on CFC-11
</t>
        </r>
      </text>
    </comment>
    <comment ref="I126" authorId="0" shapeId="0" xr:uid="{1A9C3C13-431B-421D-B343-B95E5AC07AA7}">
      <text>
        <r>
          <rPr>
            <sz val="9"/>
            <color indexed="81"/>
            <rFont val="Tahoma"/>
            <family val="2"/>
          </rPr>
          <t xml:space="preserve">See note on CFC-11
</t>
        </r>
      </text>
    </comment>
    <comment ref="J126" authorId="0" shapeId="0" xr:uid="{A3F187F6-4C3C-42C0-8B73-7DFB250550B7}">
      <text>
        <r>
          <rPr>
            <sz val="9"/>
            <color indexed="81"/>
            <rFont val="Tahoma"/>
            <family val="2"/>
          </rPr>
          <t xml:space="preserve">See notes on CFC11
</t>
        </r>
      </text>
    </comment>
    <comment ref="A127" authorId="0" shapeId="0" xr:uid="{1A36C997-A41F-479C-A38C-E075DB173445}">
      <text>
        <r>
          <rPr>
            <sz val="9"/>
            <color indexed="81"/>
            <rFont val="Tahoma"/>
            <family val="2"/>
          </rPr>
          <t>CHF2CCl2CClF2
1,2,2-Trichloro-1,1,3,3-tetrafluoropropane</t>
        </r>
      </text>
    </comment>
    <comment ref="C127" authorId="0" shapeId="0" xr:uid="{54525CAC-24EC-4E17-B976-840A1F1E9B4A}">
      <text>
        <r>
          <rPr>
            <sz val="9"/>
            <color indexed="81"/>
            <rFont val="Tahoma"/>
            <family val="2"/>
          </rPr>
          <t>https://csl.noaa.gov/groups/csl5/datasets/data/hcfcs/Summary%20HCFC-224.pdf</t>
        </r>
      </text>
    </comment>
    <comment ref="D127" authorId="0" shapeId="0" xr:uid="{E8E8A687-A88B-4C9B-9D19-64245585ACC3}">
      <text>
        <r>
          <rPr>
            <sz val="9"/>
            <color indexed="81"/>
            <rFont val="Tahoma"/>
            <family val="2"/>
          </rPr>
          <t xml:space="preserve">Uncertainty estimated from difference between well-mixed (999) and lifetime adjusted (957) GWP </t>
        </r>
      </text>
    </comment>
    <comment ref="E127" authorId="0" shapeId="0" xr:uid="{F964AF81-C202-4DBA-896D-431386CFC146}">
      <text>
        <r>
          <rPr>
            <sz val="9"/>
            <color indexed="81"/>
            <rFont val="Tahoma"/>
            <family val="2"/>
          </rPr>
          <t>https://csl.noaa.gov/groups/csl5/datasets/data/hcfcs/Summary%20HCFC-224.pdf</t>
        </r>
      </text>
    </comment>
    <comment ref="F127" authorId="0" shapeId="0" xr:uid="{6BAF970F-ABB8-43D9-8247-1872D6C5C086}">
      <text>
        <r>
          <rPr>
            <sz val="9"/>
            <color indexed="81"/>
            <rFont val="Tahoma"/>
            <family val="2"/>
          </rPr>
          <t>Assumed to be subject to the same kind of uncertainties as the GWP estimate</t>
        </r>
        <r>
          <rPr>
            <sz val="9"/>
            <color indexed="81"/>
            <rFont val="Tahoma"/>
            <family val="2"/>
          </rPr>
          <t xml:space="preserve">
</t>
        </r>
      </text>
    </comment>
    <comment ref="G127" authorId="0" shapeId="0" xr:uid="{81F1A3FF-FEAE-4B0E-B003-1B12ABA0A878}">
      <text>
        <r>
          <rPr>
            <sz val="9"/>
            <color indexed="81"/>
            <rFont val="Tahoma"/>
            <family val="2"/>
          </rPr>
          <t xml:space="preserve">See note on CFC-11
</t>
        </r>
      </text>
    </comment>
    <comment ref="I127" authorId="0" shapeId="0" xr:uid="{CE00FBD0-811B-4E2F-A857-CD8E066883DB}">
      <text>
        <r>
          <rPr>
            <sz val="9"/>
            <color indexed="81"/>
            <rFont val="Tahoma"/>
            <family val="2"/>
          </rPr>
          <t xml:space="preserve">See note on CFC-11
</t>
        </r>
      </text>
    </comment>
    <comment ref="J127" authorId="0" shapeId="0" xr:uid="{BF32D5D3-ADDF-44C9-B6FF-4E206D372B77}">
      <text>
        <r>
          <rPr>
            <sz val="9"/>
            <color indexed="81"/>
            <rFont val="Tahoma"/>
            <family val="2"/>
          </rPr>
          <t xml:space="preserve">See notes on CFC11
</t>
        </r>
      </text>
    </comment>
    <comment ref="A128" authorId="0" shapeId="0" xr:uid="{64CE5CFA-234F-40E0-9A05-85D363D20CCA}">
      <text>
        <r>
          <rPr>
            <sz val="9"/>
            <color indexed="81"/>
            <rFont val="Tahoma"/>
            <family val="2"/>
          </rPr>
          <t xml:space="preserve">CHCl2CClFCF3
2,3,3-Trichloro-1,1,1,2-tetrafluoropropane
</t>
        </r>
      </text>
    </comment>
    <comment ref="C128" authorId="0" shapeId="0" xr:uid="{7C7AA84F-FB28-400C-A5D5-5A774D54349B}">
      <text>
        <r>
          <rPr>
            <sz val="9"/>
            <color indexed="81"/>
            <rFont val="Tahoma"/>
            <family val="2"/>
          </rPr>
          <t>https://csl.noaa.gov/groups/csl5/datasets/data/hcfcs/Summary%20HCFC-224.pdf</t>
        </r>
      </text>
    </comment>
    <comment ref="D128" authorId="0" shapeId="0" xr:uid="{FDE337CF-0C7A-41E5-A694-F2F1650A5D02}">
      <text>
        <r>
          <rPr>
            <sz val="9"/>
            <color indexed="81"/>
            <rFont val="Tahoma"/>
            <family val="2"/>
          </rPr>
          <t xml:space="preserve">Uncertainty estimated from difference between well-mixed (105) and lifetime adjusted (83) GWP </t>
        </r>
      </text>
    </comment>
    <comment ref="E128" authorId="0" shapeId="0" xr:uid="{B2D2A58D-E96A-45C8-842B-34F0A0A48F20}">
      <text>
        <r>
          <rPr>
            <sz val="9"/>
            <color indexed="81"/>
            <rFont val="Tahoma"/>
            <family val="2"/>
          </rPr>
          <t>https://csl.noaa.gov/groups/csl5/datasets/data/hcfcs/Summary%20HCFC-224.pdf</t>
        </r>
      </text>
    </comment>
    <comment ref="F128" authorId="0" shapeId="0" xr:uid="{D70A0335-D440-435C-A4BF-87D058F83BD3}">
      <text>
        <r>
          <rPr>
            <sz val="9"/>
            <color indexed="81"/>
            <rFont val="Tahoma"/>
            <family val="2"/>
          </rPr>
          <t>Assumed to be subject to the same kind of uncertainties as the GWP estimate</t>
        </r>
        <r>
          <rPr>
            <sz val="9"/>
            <color indexed="81"/>
            <rFont val="Tahoma"/>
            <family val="2"/>
          </rPr>
          <t xml:space="preserve">
</t>
        </r>
      </text>
    </comment>
    <comment ref="G128" authorId="0" shapeId="0" xr:uid="{151D2918-EC77-49E5-9E63-4F71010841B1}">
      <text>
        <r>
          <rPr>
            <sz val="9"/>
            <color indexed="81"/>
            <rFont val="Tahoma"/>
            <family val="2"/>
          </rPr>
          <t xml:space="preserve">See note on CFC-11
</t>
        </r>
      </text>
    </comment>
    <comment ref="I128" authorId="0" shapeId="0" xr:uid="{10CCC14A-5409-4A51-BBF6-B3B0C2DF0B7E}">
      <text>
        <r>
          <rPr>
            <sz val="9"/>
            <color indexed="81"/>
            <rFont val="Tahoma"/>
            <family val="2"/>
          </rPr>
          <t xml:space="preserve">See note on CFC-11
</t>
        </r>
      </text>
    </comment>
    <comment ref="J128" authorId="0" shapeId="0" xr:uid="{636D67BD-1556-4550-9F0E-F54D118BCCAF}">
      <text>
        <r>
          <rPr>
            <sz val="9"/>
            <color indexed="81"/>
            <rFont val="Tahoma"/>
            <family val="2"/>
          </rPr>
          <t xml:space="preserve">See notes on CFC11
</t>
        </r>
      </text>
    </comment>
    <comment ref="A129" authorId="0" shapeId="0" xr:uid="{F5941230-D838-4E36-A810-11F07568CD3E}">
      <text>
        <r>
          <rPr>
            <sz val="9"/>
            <color indexed="81"/>
            <rFont val="Tahoma"/>
            <family val="2"/>
          </rPr>
          <t xml:space="preserve">CHClFCClFCClF2
1,2,3-Trichloro-1,1,2,3-tetrafluoropropane
</t>
        </r>
      </text>
    </comment>
    <comment ref="C129" authorId="0" shapeId="0" xr:uid="{324FD15E-2152-4F8A-86BE-85BD92A9BB2E}">
      <text>
        <r>
          <rPr>
            <sz val="9"/>
            <color indexed="81"/>
            <rFont val="Tahoma"/>
            <family val="2"/>
          </rPr>
          <t>https://csl.noaa.gov/groups/csl5/datasets/data/hcfcs/Summary%20HCFC-224.pdf</t>
        </r>
      </text>
    </comment>
    <comment ref="D129" authorId="0" shapeId="0" xr:uid="{15126B23-E9CF-4DE5-BBEB-BDEBEAFC9D6D}">
      <text>
        <r>
          <rPr>
            <sz val="9"/>
            <color indexed="81"/>
            <rFont val="Tahoma"/>
            <family val="2"/>
          </rPr>
          <t xml:space="preserve">Uncertainty estimated from difference between well-mixed (355) and lifetime adjusted (322) GWP </t>
        </r>
      </text>
    </comment>
    <comment ref="E129" authorId="0" shapeId="0" xr:uid="{DD363879-ADC4-4BA9-BC1D-E3BC0F37A0C0}">
      <text>
        <r>
          <rPr>
            <sz val="9"/>
            <color indexed="81"/>
            <rFont val="Tahoma"/>
            <family val="2"/>
          </rPr>
          <t>https://csl.noaa.gov/groups/csl5/datasets/data/hcfcs/Summary%20HCFC-224.pdf</t>
        </r>
      </text>
    </comment>
    <comment ref="F129" authorId="0" shapeId="0" xr:uid="{576E0B39-1C0B-4F1F-91C6-B35EE4BD3509}">
      <text>
        <r>
          <rPr>
            <sz val="9"/>
            <color indexed="81"/>
            <rFont val="Tahoma"/>
            <family val="2"/>
          </rPr>
          <t>Assumed to be subject to the same kind of uncertainties as the GWP estimate</t>
        </r>
        <r>
          <rPr>
            <sz val="9"/>
            <color indexed="81"/>
            <rFont val="Tahoma"/>
            <family val="2"/>
          </rPr>
          <t xml:space="preserve">
</t>
        </r>
      </text>
    </comment>
    <comment ref="G129" authorId="0" shapeId="0" xr:uid="{BD9C3421-7F3F-4185-84DC-CD57563DE1FF}">
      <text>
        <r>
          <rPr>
            <sz val="9"/>
            <color indexed="81"/>
            <rFont val="Tahoma"/>
            <family val="2"/>
          </rPr>
          <t xml:space="preserve">See note on CFC-11
</t>
        </r>
      </text>
    </comment>
    <comment ref="I129" authorId="0" shapeId="0" xr:uid="{894ECFA2-4BAB-4909-9783-72174DB7B198}">
      <text>
        <r>
          <rPr>
            <sz val="9"/>
            <color indexed="81"/>
            <rFont val="Tahoma"/>
            <family val="2"/>
          </rPr>
          <t xml:space="preserve">See note on CFC-11
</t>
        </r>
      </text>
    </comment>
    <comment ref="J129" authorId="0" shapeId="0" xr:uid="{E361D826-F843-4DA0-BD8F-92D4CB966779}">
      <text>
        <r>
          <rPr>
            <sz val="9"/>
            <color indexed="81"/>
            <rFont val="Tahoma"/>
            <family val="2"/>
          </rPr>
          <t xml:space="preserve">See notes on CFC11
</t>
        </r>
      </text>
    </comment>
    <comment ref="A130" authorId="0" shapeId="0" xr:uid="{0DC70C63-E675-490F-A7BA-0CFF4B6D6D85}">
      <text>
        <r>
          <rPr>
            <sz val="9"/>
            <color indexed="81"/>
            <rFont val="Tahoma"/>
            <family val="2"/>
          </rPr>
          <t xml:space="preserve">CHF2CClFCCl2F
1,1,2-Trichloro-1,2,3,3-tetrafluoropropane
</t>
        </r>
      </text>
    </comment>
    <comment ref="C130" authorId="0" shapeId="0" xr:uid="{E75F65C3-BF10-4FCE-9E10-DD15D0DBF8F8}">
      <text>
        <r>
          <rPr>
            <sz val="9"/>
            <color indexed="81"/>
            <rFont val="Tahoma"/>
            <family val="2"/>
          </rPr>
          <t>https://csl.noaa.gov/groups/csl5/datasets/data/hcfcs/Summary%20HCFC-224.pdf</t>
        </r>
      </text>
    </comment>
    <comment ref="D130" authorId="0" shapeId="0" xr:uid="{008BC65A-9BD2-4127-AEA6-B0A7771092DB}">
      <text>
        <r>
          <rPr>
            <sz val="9"/>
            <color indexed="81"/>
            <rFont val="Tahoma"/>
            <family val="2"/>
          </rPr>
          <t xml:space="preserve">Uncertainty estimated from difference between well-mixed (1008) and lifetime adjusted (966) GWP </t>
        </r>
      </text>
    </comment>
    <comment ref="E130" authorId="0" shapeId="0" xr:uid="{DA07A4C4-39C1-47AB-B551-D1AFFD0912BB}">
      <text>
        <r>
          <rPr>
            <sz val="9"/>
            <color indexed="81"/>
            <rFont val="Tahoma"/>
            <family val="2"/>
          </rPr>
          <t>https://csl.noaa.gov/groups/csl5/datasets/data/hcfcs/Summary%20HCFC-224.pdf</t>
        </r>
      </text>
    </comment>
    <comment ref="F130" authorId="0" shapeId="0" xr:uid="{2DC5C32E-F814-4800-ADF4-B9AA0A28960B}">
      <text>
        <r>
          <rPr>
            <sz val="9"/>
            <color indexed="81"/>
            <rFont val="Tahoma"/>
            <family val="2"/>
          </rPr>
          <t>Assumed to be subject to the same kind of uncertainties as the GWP estimate</t>
        </r>
        <r>
          <rPr>
            <sz val="9"/>
            <color indexed="81"/>
            <rFont val="Tahoma"/>
            <family val="2"/>
          </rPr>
          <t xml:space="preserve">
</t>
        </r>
      </text>
    </comment>
    <comment ref="G130" authorId="0" shapeId="0" xr:uid="{C226EB10-E4D7-469D-8A9A-71CD8336CE00}">
      <text>
        <r>
          <rPr>
            <sz val="9"/>
            <color indexed="81"/>
            <rFont val="Tahoma"/>
            <family val="2"/>
          </rPr>
          <t xml:space="preserve">See note on CFC-11
</t>
        </r>
      </text>
    </comment>
    <comment ref="I130" authorId="0" shapeId="0" xr:uid="{C0479696-7ACF-409A-876A-5DF0A2233922}">
      <text>
        <r>
          <rPr>
            <sz val="9"/>
            <color indexed="81"/>
            <rFont val="Tahoma"/>
            <family val="2"/>
          </rPr>
          <t xml:space="preserve">See note on CFC-11
</t>
        </r>
      </text>
    </comment>
    <comment ref="J130" authorId="0" shapeId="0" xr:uid="{E8EC75F6-631B-4A94-BBE7-19050424251E}">
      <text>
        <r>
          <rPr>
            <sz val="9"/>
            <color indexed="81"/>
            <rFont val="Tahoma"/>
            <family val="2"/>
          </rPr>
          <t xml:space="preserve">See notes on CFC11
</t>
        </r>
      </text>
    </comment>
    <comment ref="A131" authorId="0" shapeId="0" xr:uid="{ABA98598-CDE7-4670-870E-99AF431CA71B}">
      <text>
        <r>
          <rPr>
            <sz val="9"/>
            <color indexed="81"/>
            <rFont val="Tahoma"/>
            <family val="2"/>
          </rPr>
          <t>CHCl2CF2CClF2
1,3,3-Trichloro-1,1,2,2-
tetrafluoropropane</t>
        </r>
      </text>
    </comment>
    <comment ref="C131" authorId="0" shapeId="0" xr:uid="{F20554E2-831E-4418-B8DC-E4168824D59E}">
      <text>
        <r>
          <rPr>
            <sz val="9"/>
            <color indexed="81"/>
            <rFont val="Tahoma"/>
            <family val="2"/>
          </rPr>
          <t>https://csl.noaa.gov/groups/csl5/datasets/data/hcfcs/Summary%20HCFC-224.pdf</t>
        </r>
      </text>
    </comment>
    <comment ref="D131" authorId="0" shapeId="0" xr:uid="{31FAC993-E684-4210-A875-A170100EF161}">
      <text>
        <r>
          <rPr>
            <sz val="9"/>
            <color indexed="81"/>
            <rFont val="Tahoma"/>
            <family val="2"/>
          </rPr>
          <t xml:space="preserve">Uncertainty estimated from difference between well-mixed (158) and lifetime adjusted (131) GWP </t>
        </r>
      </text>
    </comment>
    <comment ref="E131" authorId="0" shapeId="0" xr:uid="{A4C3C867-2634-44D8-B0C3-500CC47768C4}">
      <text>
        <r>
          <rPr>
            <sz val="9"/>
            <color indexed="81"/>
            <rFont val="Tahoma"/>
            <family val="2"/>
          </rPr>
          <t>https://csl.noaa.gov/groups/csl5/datasets/data/hcfcs/Summary%20HCFC-224.pdf</t>
        </r>
      </text>
    </comment>
    <comment ref="F131" authorId="0" shapeId="0" xr:uid="{0558BAE9-163B-4CDB-9F3F-722A23920F88}">
      <text>
        <r>
          <rPr>
            <sz val="9"/>
            <color indexed="81"/>
            <rFont val="Tahoma"/>
            <family val="2"/>
          </rPr>
          <t>Assumed to be subject to the same kind of uncertainties as the GWP estimate</t>
        </r>
        <r>
          <rPr>
            <sz val="9"/>
            <color indexed="81"/>
            <rFont val="Tahoma"/>
            <family val="2"/>
          </rPr>
          <t xml:space="preserve">
</t>
        </r>
      </text>
    </comment>
    <comment ref="G131" authorId="0" shapeId="0" xr:uid="{FA11AC2C-9EFC-407A-B209-C137979ABAD0}">
      <text>
        <r>
          <rPr>
            <sz val="9"/>
            <color indexed="81"/>
            <rFont val="Tahoma"/>
            <family val="2"/>
          </rPr>
          <t xml:space="preserve">See note on CFC-11
</t>
        </r>
      </text>
    </comment>
    <comment ref="I131" authorId="0" shapeId="0" xr:uid="{3D8EB108-99A8-46CE-88C8-96A4C9CD7F28}">
      <text>
        <r>
          <rPr>
            <sz val="9"/>
            <color indexed="81"/>
            <rFont val="Tahoma"/>
            <family val="2"/>
          </rPr>
          <t xml:space="preserve">See note on CFC-11
</t>
        </r>
      </text>
    </comment>
    <comment ref="J131" authorId="0" shapeId="0" xr:uid="{576BB1E5-62EE-4DC8-AFFF-BFEEE4368B43}">
      <text>
        <r>
          <rPr>
            <sz val="9"/>
            <color indexed="81"/>
            <rFont val="Tahoma"/>
            <family val="2"/>
          </rPr>
          <t xml:space="preserve">See notes on CFC11
</t>
        </r>
      </text>
    </comment>
    <comment ref="A132" authorId="0" shapeId="0" xr:uid="{FCA98651-0782-4816-BCF7-204F8545C183}">
      <text>
        <r>
          <rPr>
            <sz val="9"/>
            <color indexed="81"/>
            <rFont val="Tahoma"/>
            <family val="2"/>
          </rPr>
          <t xml:space="preserve">CHClFCF2CCl2F
1,1,3-Trichloro-1,2,2,3-tetrafluoropropane
</t>
        </r>
      </text>
    </comment>
    <comment ref="C132" authorId="0" shapeId="0" xr:uid="{2F96FA80-4954-43C6-9CB2-0A9E6B2482D6}">
      <text>
        <r>
          <rPr>
            <sz val="9"/>
            <color indexed="81"/>
            <rFont val="Tahoma"/>
            <family val="2"/>
          </rPr>
          <t>https://csl.noaa.gov/groups/csl5/datasets/data/hcfcs/Summary%20HCFC-224.pdf</t>
        </r>
      </text>
    </comment>
    <comment ref="D132" authorId="0" shapeId="0" xr:uid="{56C47B66-8033-4501-9C83-CA710885EF6C}">
      <text>
        <r>
          <rPr>
            <sz val="9"/>
            <color indexed="81"/>
            <rFont val="Tahoma"/>
            <family val="2"/>
          </rPr>
          <t xml:space="preserve">Uncertainty estimated from difference between well-mixed (134) and lifetime adjusted (108) GWP </t>
        </r>
      </text>
    </comment>
    <comment ref="E132" authorId="0" shapeId="0" xr:uid="{722603F1-7A8E-4670-A188-EB9BD634D344}">
      <text>
        <r>
          <rPr>
            <sz val="9"/>
            <color indexed="81"/>
            <rFont val="Tahoma"/>
            <family val="2"/>
          </rPr>
          <t>https://csl.noaa.gov/groups/csl5/datasets/data/hcfcs/Summary%20HCFC-224.pdf</t>
        </r>
      </text>
    </comment>
    <comment ref="F132" authorId="0" shapeId="0" xr:uid="{0BFD51E9-CB26-423F-8DA1-70CBE04B24C6}">
      <text>
        <r>
          <rPr>
            <sz val="9"/>
            <color indexed="81"/>
            <rFont val="Tahoma"/>
            <family val="2"/>
          </rPr>
          <t>Assumed to be subject to the same kind of uncertainties as the GWP estimate</t>
        </r>
        <r>
          <rPr>
            <sz val="9"/>
            <color indexed="81"/>
            <rFont val="Tahoma"/>
            <family val="2"/>
          </rPr>
          <t xml:space="preserve">
</t>
        </r>
      </text>
    </comment>
    <comment ref="G132" authorId="0" shapeId="0" xr:uid="{FCB4321E-CC63-450D-8F12-E204CFF86F6A}">
      <text>
        <r>
          <rPr>
            <sz val="9"/>
            <color indexed="81"/>
            <rFont val="Tahoma"/>
            <family val="2"/>
          </rPr>
          <t xml:space="preserve">See note on CFC-11
</t>
        </r>
      </text>
    </comment>
    <comment ref="I132" authorId="0" shapeId="0" xr:uid="{3DEF36E0-16A4-49F4-B27B-814015DC16B7}">
      <text>
        <r>
          <rPr>
            <sz val="9"/>
            <color indexed="81"/>
            <rFont val="Tahoma"/>
            <family val="2"/>
          </rPr>
          <t xml:space="preserve">See note on CFC-11
</t>
        </r>
      </text>
    </comment>
    <comment ref="J132" authorId="0" shapeId="0" xr:uid="{77B71A5C-780E-48DE-ADB0-2FC315642E4D}">
      <text>
        <r>
          <rPr>
            <sz val="9"/>
            <color indexed="81"/>
            <rFont val="Tahoma"/>
            <family val="2"/>
          </rPr>
          <t xml:space="preserve">See notes on CFC11
</t>
        </r>
      </text>
    </comment>
    <comment ref="A133" authorId="0" shapeId="0" xr:uid="{43497143-0CA8-4747-81B9-977D69131FB6}">
      <text>
        <r>
          <rPr>
            <sz val="9"/>
            <color indexed="81"/>
            <rFont val="Tahoma"/>
            <family val="2"/>
          </rPr>
          <t xml:space="preserve">CHF2CF2CCl3
1,1,1-Trichloro-2,2,3,3-tetrafluoropropane
</t>
        </r>
      </text>
    </comment>
    <comment ref="C133" authorId="0" shapeId="0" xr:uid="{C3EE86FE-F95A-4C0D-B244-88B329166CBE}">
      <text>
        <r>
          <rPr>
            <sz val="9"/>
            <color indexed="81"/>
            <rFont val="Tahoma"/>
            <family val="2"/>
          </rPr>
          <t>https://csl.noaa.gov/groups/csl5/datasets/data/hcfcs/Summary%20HCFC-224.pdf</t>
        </r>
      </text>
    </comment>
    <comment ref="D133" authorId="0" shapeId="0" xr:uid="{7DBBC706-F164-4AA3-BEDB-6A521C7A25A8}">
      <text>
        <r>
          <rPr>
            <sz val="9"/>
            <color indexed="81"/>
            <rFont val="Tahoma"/>
            <family val="2"/>
          </rPr>
          <t xml:space="preserve">Uncertainty estimated from difference between well-mixed (1134) and lifetime adjusted (1090) GWP </t>
        </r>
      </text>
    </comment>
    <comment ref="E133" authorId="0" shapeId="0" xr:uid="{F57C8100-01B3-482B-A34E-CFDA99A2404B}">
      <text>
        <r>
          <rPr>
            <sz val="9"/>
            <color indexed="81"/>
            <rFont val="Tahoma"/>
            <family val="2"/>
          </rPr>
          <t>https://csl.noaa.gov/groups/csl5/datasets/data/hcfcs/Summary%20HCFC-224.pdf</t>
        </r>
      </text>
    </comment>
    <comment ref="F133" authorId="0" shapeId="0" xr:uid="{47224B30-F7F1-4072-A8C2-B1693D9A596D}">
      <text>
        <r>
          <rPr>
            <sz val="9"/>
            <color indexed="81"/>
            <rFont val="Tahoma"/>
            <family val="2"/>
          </rPr>
          <t>Assumed to be subject to the same kind of uncertainties as the GWP estimate</t>
        </r>
        <r>
          <rPr>
            <sz val="9"/>
            <color indexed="81"/>
            <rFont val="Tahoma"/>
            <family val="2"/>
          </rPr>
          <t xml:space="preserve">
</t>
        </r>
      </text>
    </comment>
    <comment ref="G133" authorId="0" shapeId="0" xr:uid="{96C0F5BF-0815-4D2D-80B1-BEDAA41EFCF7}">
      <text>
        <r>
          <rPr>
            <sz val="9"/>
            <color indexed="81"/>
            <rFont val="Tahoma"/>
            <family val="2"/>
          </rPr>
          <t xml:space="preserve">See note on CFC-11
</t>
        </r>
      </text>
    </comment>
    <comment ref="I133" authorId="0" shapeId="0" xr:uid="{A8CAAAE7-904C-44DF-8744-5B1C77BE1C19}">
      <text>
        <r>
          <rPr>
            <sz val="9"/>
            <color indexed="81"/>
            <rFont val="Tahoma"/>
            <family val="2"/>
          </rPr>
          <t xml:space="preserve">See note on CFC-11
</t>
        </r>
      </text>
    </comment>
    <comment ref="J133" authorId="0" shapeId="0" xr:uid="{C28ECD5D-D8CD-4938-B869-3E1D080EE319}">
      <text>
        <r>
          <rPr>
            <sz val="9"/>
            <color indexed="81"/>
            <rFont val="Tahoma"/>
            <family val="2"/>
          </rPr>
          <t xml:space="preserve">See notes on CFC11
</t>
        </r>
      </text>
    </comment>
    <comment ref="A134" authorId="0" shapeId="0" xr:uid="{101F1E3B-6589-4521-8B44-D9FCF9D4B67E}">
      <text>
        <r>
          <rPr>
            <sz val="9"/>
            <color indexed="81"/>
            <rFont val="Tahoma"/>
            <family val="2"/>
          </rPr>
          <t xml:space="preserve">CClF2CHClCClF2
1,2,3-Trichloro-1,1,3,3-tetrafluoropropane
</t>
        </r>
      </text>
    </comment>
    <comment ref="C134" authorId="0" shapeId="0" xr:uid="{9A3DCFB3-2F0B-4C83-967D-66F69DBD7704}">
      <text>
        <r>
          <rPr>
            <sz val="9"/>
            <color indexed="81"/>
            <rFont val="Tahoma"/>
            <family val="2"/>
          </rPr>
          <t>https://csl.noaa.gov/groups/csl5/datasets/data/hcfcs/Summary%20HCFC-224.pdf</t>
        </r>
      </text>
    </comment>
    <comment ref="D134" authorId="0" shapeId="0" xr:uid="{471AC386-7B9C-4579-99F4-B1E27FC5800F}">
      <text>
        <r>
          <rPr>
            <sz val="9"/>
            <color indexed="81"/>
            <rFont val="Tahoma"/>
            <family val="2"/>
          </rPr>
          <t xml:space="preserve">Uncertainty estimated from difference between well-mixed (1053) and lifetime adjusted (1006) GWP </t>
        </r>
      </text>
    </comment>
    <comment ref="E134" authorId="0" shapeId="0" xr:uid="{C9220256-B624-4260-9546-3DE7BF748043}">
      <text>
        <r>
          <rPr>
            <sz val="9"/>
            <color indexed="81"/>
            <rFont val="Tahoma"/>
            <family val="2"/>
          </rPr>
          <t>https://csl.noaa.gov/groups/csl5/datasets/data/hcfcs/Summary%20HCFC-224.pdf</t>
        </r>
      </text>
    </comment>
    <comment ref="F134" authorId="0" shapeId="0" xr:uid="{A9EF7877-B886-4E14-A5CD-9B4CD0223E45}">
      <text>
        <r>
          <rPr>
            <sz val="9"/>
            <color indexed="81"/>
            <rFont val="Tahoma"/>
            <family val="2"/>
          </rPr>
          <t>Assumed to be subject to the same kind of uncertainties as the GWP estimate</t>
        </r>
        <r>
          <rPr>
            <sz val="9"/>
            <color indexed="81"/>
            <rFont val="Tahoma"/>
            <family val="2"/>
          </rPr>
          <t xml:space="preserve">
</t>
        </r>
      </text>
    </comment>
    <comment ref="G134" authorId="0" shapeId="0" xr:uid="{DE465322-632C-494D-B6BF-2AB2FA998E6D}">
      <text>
        <r>
          <rPr>
            <sz val="9"/>
            <color indexed="81"/>
            <rFont val="Tahoma"/>
            <family val="2"/>
          </rPr>
          <t xml:space="preserve">See note on CFC-11
</t>
        </r>
      </text>
    </comment>
    <comment ref="I134" authorId="0" shapeId="0" xr:uid="{7234D2E7-8AA0-462E-B253-E27308633443}">
      <text>
        <r>
          <rPr>
            <sz val="9"/>
            <color indexed="81"/>
            <rFont val="Tahoma"/>
            <family val="2"/>
          </rPr>
          <t xml:space="preserve">See note on CFC-11
</t>
        </r>
      </text>
    </comment>
    <comment ref="J134" authorId="0" shapeId="0" xr:uid="{8B391253-24F7-4EA4-B1FA-79D842612E47}">
      <text>
        <r>
          <rPr>
            <sz val="9"/>
            <color indexed="81"/>
            <rFont val="Tahoma"/>
            <family val="2"/>
          </rPr>
          <t xml:space="preserve">See notes on CFC11
</t>
        </r>
      </text>
    </comment>
    <comment ref="A135" authorId="0" shapeId="0" xr:uid="{99C60486-7D8D-4AE1-B097-BE2DA5B2A09A}">
      <text>
        <r>
          <rPr>
            <sz val="9"/>
            <color indexed="81"/>
            <rFont val="Tahoma"/>
            <family val="2"/>
          </rPr>
          <t xml:space="preserve">CCl2FCHClCF3
1,1,2-Trichloro-1,3,3,3-tetrafluoropropane
</t>
        </r>
      </text>
    </comment>
    <comment ref="C135" authorId="0" shapeId="0" xr:uid="{4E459224-A245-4FFD-9E4A-3E2220FB5BCF}">
      <text>
        <r>
          <rPr>
            <sz val="9"/>
            <color indexed="81"/>
            <rFont val="Tahoma"/>
            <family val="2"/>
          </rPr>
          <t>https://csl.noaa.gov/groups/csl5/datasets/data/hcfcs/Summary%20HCFC-224.pdf</t>
        </r>
      </text>
    </comment>
    <comment ref="D135" authorId="0" shapeId="0" xr:uid="{6C0D5D57-AFAA-40CA-9F30-1A6B67F50719}">
      <text>
        <r>
          <rPr>
            <sz val="9"/>
            <color indexed="81"/>
            <rFont val="Tahoma"/>
            <family val="2"/>
          </rPr>
          <t xml:space="preserve">Uncertainty estimated from difference between well-mixed (780) and lifetime adjusted (743) GWP </t>
        </r>
      </text>
    </comment>
    <comment ref="E135" authorId="0" shapeId="0" xr:uid="{DA8FFB7D-D69D-4AAB-A47D-4C68847EB863}">
      <text>
        <r>
          <rPr>
            <sz val="9"/>
            <color indexed="81"/>
            <rFont val="Tahoma"/>
            <family val="2"/>
          </rPr>
          <t>https://csl.noaa.gov/groups/csl5/datasets/data/hcfcs/Summary%20HCFC-224.pdf</t>
        </r>
      </text>
    </comment>
    <comment ref="F135" authorId="0" shapeId="0" xr:uid="{DFE3BFF7-1EDB-43CF-AF00-442A66930410}">
      <text>
        <r>
          <rPr>
            <sz val="9"/>
            <color indexed="81"/>
            <rFont val="Tahoma"/>
            <family val="2"/>
          </rPr>
          <t>Assumed to be subject to the same kind of uncertainties as the GWP estimate</t>
        </r>
        <r>
          <rPr>
            <sz val="9"/>
            <color indexed="81"/>
            <rFont val="Tahoma"/>
            <family val="2"/>
          </rPr>
          <t xml:space="preserve">
</t>
        </r>
      </text>
    </comment>
    <comment ref="G135" authorId="0" shapeId="0" xr:uid="{C6EF61CB-3FA3-4B39-850A-D8E8A0E09D26}">
      <text>
        <r>
          <rPr>
            <sz val="9"/>
            <color indexed="81"/>
            <rFont val="Tahoma"/>
            <family val="2"/>
          </rPr>
          <t xml:space="preserve">See note on CFC-11
</t>
        </r>
      </text>
    </comment>
    <comment ref="I135" authorId="0" shapeId="0" xr:uid="{5C18943C-F30E-4FAA-99AD-138550063166}">
      <text>
        <r>
          <rPr>
            <sz val="9"/>
            <color indexed="81"/>
            <rFont val="Tahoma"/>
            <family val="2"/>
          </rPr>
          <t xml:space="preserve">See note on CFC-11
</t>
        </r>
      </text>
    </comment>
    <comment ref="J135" authorId="0" shapeId="0" xr:uid="{9ED72525-A6B4-495A-A6B7-151D3000405E}">
      <text>
        <r>
          <rPr>
            <sz val="9"/>
            <color indexed="81"/>
            <rFont val="Tahoma"/>
            <family val="2"/>
          </rPr>
          <t xml:space="preserve">See notes on CFC11
</t>
        </r>
      </text>
    </comment>
    <comment ref="A136" authorId="0" shapeId="0" xr:uid="{8ACD12D7-C408-4F39-91BD-77AFB9EEE104}">
      <text>
        <r>
          <rPr>
            <sz val="9"/>
            <color indexed="81"/>
            <rFont val="Tahoma"/>
            <family val="2"/>
          </rPr>
          <t xml:space="preserve">CCl2FCHFCClF2
1,1,3-Trichloro-1,2,3,3-tetrafluoropropane
</t>
        </r>
      </text>
    </comment>
    <comment ref="C136" authorId="0" shapeId="0" xr:uid="{DCBB4078-E85E-4D11-B586-928819D2CCE1}">
      <text>
        <r>
          <rPr>
            <sz val="9"/>
            <color indexed="81"/>
            <rFont val="Tahoma"/>
            <family val="2"/>
          </rPr>
          <t>https://csl.noaa.gov/groups/csl5/datasets/data/hcfcs/Summary%20HCFC-224.pdf</t>
        </r>
      </text>
    </comment>
    <comment ref="D136" authorId="0" shapeId="0" xr:uid="{FE73BDF9-D156-406A-AD0E-0B2C4F2577FD}">
      <text>
        <r>
          <rPr>
            <sz val="9"/>
            <color indexed="81"/>
            <rFont val="Tahoma"/>
            <family val="2"/>
          </rPr>
          <t xml:space="preserve">Uncertainty estimated from difference between well-mixed (835) and lifetime adjusted (794) GWP </t>
        </r>
      </text>
    </comment>
    <comment ref="E136" authorId="0" shapeId="0" xr:uid="{574FFE97-838D-4CCA-AF9E-468B58AB9284}">
      <text>
        <r>
          <rPr>
            <sz val="9"/>
            <color indexed="81"/>
            <rFont val="Tahoma"/>
            <family val="2"/>
          </rPr>
          <t>https://csl.noaa.gov/groups/csl5/datasets/data/hcfcs/Summary%20HCFC-224.pdf</t>
        </r>
      </text>
    </comment>
    <comment ref="F136" authorId="0" shapeId="0" xr:uid="{7341F016-49D4-48A0-A670-858F7947CF5B}">
      <text>
        <r>
          <rPr>
            <sz val="9"/>
            <color indexed="81"/>
            <rFont val="Tahoma"/>
            <family val="2"/>
          </rPr>
          <t>Assumed to be subject to the same kind of uncertainties as the GWP estimate</t>
        </r>
        <r>
          <rPr>
            <sz val="9"/>
            <color indexed="81"/>
            <rFont val="Tahoma"/>
            <family val="2"/>
          </rPr>
          <t xml:space="preserve">
</t>
        </r>
      </text>
    </comment>
    <comment ref="G136" authorId="0" shapeId="0" xr:uid="{96BD569F-76CA-4F46-8845-68EF9199D6E4}">
      <text>
        <r>
          <rPr>
            <sz val="9"/>
            <color indexed="81"/>
            <rFont val="Tahoma"/>
            <family val="2"/>
          </rPr>
          <t xml:space="preserve">See note on CFC-11
</t>
        </r>
      </text>
    </comment>
    <comment ref="I136" authorId="0" shapeId="0" xr:uid="{52E3FE54-EA56-4089-BB20-FB2004165CDE}">
      <text>
        <r>
          <rPr>
            <sz val="9"/>
            <color indexed="81"/>
            <rFont val="Tahoma"/>
            <family val="2"/>
          </rPr>
          <t xml:space="preserve">See note on CFC-11
</t>
        </r>
      </text>
    </comment>
    <comment ref="J136" authorId="0" shapeId="0" xr:uid="{AF8D97CC-E6CE-482B-874F-0D255BD6B520}">
      <text>
        <r>
          <rPr>
            <sz val="9"/>
            <color indexed="81"/>
            <rFont val="Tahoma"/>
            <family val="2"/>
          </rPr>
          <t xml:space="preserve">See notes on CFC11
</t>
        </r>
      </text>
    </comment>
    <comment ref="A137" authorId="0" shapeId="0" xr:uid="{5E7AD81A-704A-4CCF-A9CE-BA1C7564F816}">
      <text>
        <r>
          <rPr>
            <sz val="9"/>
            <color indexed="81"/>
            <rFont val="Tahoma"/>
            <family val="2"/>
          </rPr>
          <t xml:space="preserve">CCl3CHFCF3
1,1,1-Trichloro-2,3,3,3-tetrafluoropropane
</t>
        </r>
      </text>
    </comment>
    <comment ref="C137" authorId="0" shapeId="0" xr:uid="{B1328EBF-7DFE-45B1-81CE-D10731EE8FC3}">
      <text>
        <r>
          <rPr>
            <sz val="9"/>
            <color indexed="81"/>
            <rFont val="Tahoma"/>
            <family val="2"/>
          </rPr>
          <t>https://csl.noaa.gov/groups/csl5/datasets/data/hcfcs/Summary%20HCFC-224.pdf</t>
        </r>
      </text>
    </comment>
    <comment ref="D137" authorId="0" shapeId="0" xr:uid="{5826BF37-0C81-4F94-B200-E5B63F2467C7}">
      <text>
        <r>
          <rPr>
            <sz val="9"/>
            <color indexed="81"/>
            <rFont val="Tahoma"/>
            <family val="2"/>
          </rPr>
          <t xml:space="preserve">Uncertainty estimated from difference between well-mixed (610) and lifetime adjusted (580) GWP </t>
        </r>
      </text>
    </comment>
    <comment ref="E137" authorId="0" shapeId="0" xr:uid="{6ECD95A8-6DFA-46AB-93CD-77B655BA4A3D}">
      <text>
        <r>
          <rPr>
            <sz val="9"/>
            <color indexed="81"/>
            <rFont val="Tahoma"/>
            <family val="2"/>
          </rPr>
          <t>https://csl.noaa.gov/groups/csl5/datasets/data/hcfcs/Summary%20HCFC-224.pdf</t>
        </r>
      </text>
    </comment>
    <comment ref="F137" authorId="0" shapeId="0" xr:uid="{48B950FB-0419-4559-87D2-EF137B2DCCC3}">
      <text>
        <r>
          <rPr>
            <sz val="9"/>
            <color indexed="81"/>
            <rFont val="Tahoma"/>
            <family val="2"/>
          </rPr>
          <t>Assumed to be subject to the same kind of uncertainties as the GWP estimate</t>
        </r>
        <r>
          <rPr>
            <sz val="9"/>
            <color indexed="81"/>
            <rFont val="Tahoma"/>
            <family val="2"/>
          </rPr>
          <t xml:space="preserve">
</t>
        </r>
      </text>
    </comment>
    <comment ref="G137" authorId="0" shapeId="0" xr:uid="{F0511CA2-4178-4030-84AB-3CD9084656F1}">
      <text>
        <r>
          <rPr>
            <sz val="9"/>
            <color indexed="81"/>
            <rFont val="Tahoma"/>
            <family val="2"/>
          </rPr>
          <t xml:space="preserve">See note on CFC-11
</t>
        </r>
      </text>
    </comment>
    <comment ref="I137" authorId="0" shapeId="0" xr:uid="{C12E958E-A534-4869-8293-C3D3A4C3AF5D}">
      <text>
        <r>
          <rPr>
            <sz val="9"/>
            <color indexed="81"/>
            <rFont val="Tahoma"/>
            <family val="2"/>
          </rPr>
          <t xml:space="preserve">See note on CFC-11
</t>
        </r>
      </text>
    </comment>
    <comment ref="J137" authorId="0" shapeId="0" xr:uid="{3F5FA225-EB73-46CA-AB2C-8115177CB87E}">
      <text>
        <r>
          <rPr>
            <sz val="9"/>
            <color indexed="81"/>
            <rFont val="Tahoma"/>
            <family val="2"/>
          </rPr>
          <t xml:space="preserve">See notes on CFC11
</t>
        </r>
      </text>
    </comment>
    <comment ref="A138" authorId="0" shapeId="0" xr:uid="{F89301FF-D884-4EEC-8684-CFB85F4EC8A5}">
      <text>
        <r>
          <rPr>
            <sz val="9"/>
            <color indexed="81"/>
            <rFont val="Tahoma"/>
            <family val="2"/>
          </rPr>
          <t xml:space="preserve">CHF2CCl2CF3
2,2-Dichloro-1,1,1,3,3-pentafluoropropane
</t>
        </r>
      </text>
    </comment>
    <comment ref="C138" authorId="0" shapeId="0" xr:uid="{D8116457-1A88-4EBD-A5EF-C3ABABBF423E}">
      <text>
        <r>
          <rPr>
            <sz val="9"/>
            <color indexed="81"/>
            <rFont val="Tahoma"/>
            <family val="2"/>
          </rPr>
          <t>https://csl.noaa.gov/groups/csl5/datasets/data/hcfcs/Summary%20HCFC-225.pdf</t>
        </r>
      </text>
    </comment>
    <comment ref="D138" authorId="0" shapeId="0" xr:uid="{13740923-6C29-4919-9935-AFEE4EB88EA6}">
      <text>
        <r>
          <rPr>
            <sz val="9"/>
            <color indexed="81"/>
            <rFont val="Tahoma"/>
            <family val="2"/>
          </rPr>
          <t xml:space="preserve">Uncertainty estimated from difference between well-mixed (974) and lifetime adjusted (934) GWP </t>
        </r>
      </text>
    </comment>
    <comment ref="E138" authorId="0" shapeId="0" xr:uid="{C9D4F422-0AD1-4F22-A695-748FDDED03D5}">
      <text>
        <r>
          <rPr>
            <sz val="9"/>
            <color indexed="81"/>
            <rFont val="Tahoma"/>
            <family val="2"/>
          </rPr>
          <t>https://csl.noaa.gov/groups/csl5/datasets/data/hcfcs/Summary%20HCFC-225.pdf</t>
        </r>
      </text>
    </comment>
    <comment ref="F138" authorId="0" shapeId="0" xr:uid="{762DB780-B388-4EE8-B039-A4AE47B23D41}">
      <text>
        <r>
          <rPr>
            <sz val="9"/>
            <color indexed="81"/>
            <rFont val="Tahoma"/>
            <family val="2"/>
          </rPr>
          <t>Assumed to be subject to the same kind of uncertainties as the GWP estimate</t>
        </r>
        <r>
          <rPr>
            <sz val="9"/>
            <color indexed="81"/>
            <rFont val="Tahoma"/>
            <family val="2"/>
          </rPr>
          <t xml:space="preserve">
</t>
        </r>
      </text>
    </comment>
    <comment ref="G138" authorId="0" shapeId="0" xr:uid="{0A32F665-78E0-4AFD-92BD-7859B544F499}">
      <text>
        <r>
          <rPr>
            <sz val="9"/>
            <color indexed="81"/>
            <rFont val="Tahoma"/>
            <family val="2"/>
          </rPr>
          <t xml:space="preserve">See note on CFC-11
</t>
        </r>
      </text>
    </comment>
    <comment ref="I138" authorId="0" shapeId="0" xr:uid="{8514BC03-A292-4FB3-9FF1-023FBCCC837B}">
      <text>
        <r>
          <rPr>
            <sz val="9"/>
            <color indexed="81"/>
            <rFont val="Tahoma"/>
            <family val="2"/>
          </rPr>
          <t xml:space="preserve">See note on CFC-11
</t>
        </r>
      </text>
    </comment>
    <comment ref="J138" authorId="0" shapeId="0" xr:uid="{153A9709-234B-47D1-8247-FE736304EB90}">
      <text>
        <r>
          <rPr>
            <sz val="9"/>
            <color indexed="81"/>
            <rFont val="Tahoma"/>
            <family val="2"/>
          </rPr>
          <t xml:space="preserve">See notes on CFC11
</t>
        </r>
      </text>
    </comment>
    <comment ref="A139" authorId="0" shapeId="0" xr:uid="{E45800A1-950E-4B90-9A96-AB3D8B1E23ED}">
      <text>
        <r>
          <rPr>
            <sz val="9"/>
            <color indexed="81"/>
            <rFont val="Tahoma"/>
            <family val="2"/>
          </rPr>
          <t xml:space="preserve">CHClFCClFCF3
1,2-Dichloro-1,2,3,3,3-pentafluoropropane
</t>
        </r>
      </text>
    </comment>
    <comment ref="C139" authorId="0" shapeId="0" xr:uid="{0DB32EA0-504B-43CE-8A10-B2D89619A7D6}">
      <text>
        <r>
          <rPr>
            <sz val="9"/>
            <color indexed="81"/>
            <rFont val="Tahoma"/>
            <family val="2"/>
          </rPr>
          <t>https://csl.noaa.gov/groups/csl5/datasets/data/hcfcs/Summary%20HCFC-225.pdf</t>
        </r>
      </text>
    </comment>
    <comment ref="D139" authorId="0" shapeId="0" xr:uid="{271DAFFA-F43B-4708-B5D2-396FAA8E69BE}">
      <text>
        <r>
          <rPr>
            <sz val="9"/>
            <color indexed="81"/>
            <rFont val="Tahoma"/>
            <family val="2"/>
          </rPr>
          <t xml:space="preserve">Uncertainty estimated from difference between well-mixed (352) and lifetime adjusted (320) GWP </t>
        </r>
      </text>
    </comment>
    <comment ref="E139" authorId="0" shapeId="0" xr:uid="{0DFE01CC-732B-4E21-B967-25E084A5678D}">
      <text>
        <r>
          <rPr>
            <sz val="9"/>
            <color indexed="81"/>
            <rFont val="Tahoma"/>
            <family val="2"/>
          </rPr>
          <t>https://csl.noaa.gov/groups/csl5/datasets/data/hcfcs/Summary%20HCFC-225.pdf</t>
        </r>
      </text>
    </comment>
    <comment ref="F139" authorId="0" shapeId="0" xr:uid="{C37E2535-CBA2-4D1B-932C-49DFB9D3D5DE}">
      <text>
        <r>
          <rPr>
            <sz val="9"/>
            <color indexed="81"/>
            <rFont val="Tahoma"/>
            <family val="2"/>
          </rPr>
          <t>Assumed to be subject to the same kind of uncertainties as the GWP estimate</t>
        </r>
        <r>
          <rPr>
            <sz val="9"/>
            <color indexed="81"/>
            <rFont val="Tahoma"/>
            <family val="2"/>
          </rPr>
          <t xml:space="preserve">
</t>
        </r>
      </text>
    </comment>
    <comment ref="G139" authorId="0" shapeId="0" xr:uid="{F3305B28-CA11-4EB8-8EE8-62B6C69CDB61}">
      <text>
        <r>
          <rPr>
            <sz val="9"/>
            <color indexed="81"/>
            <rFont val="Tahoma"/>
            <family val="2"/>
          </rPr>
          <t xml:space="preserve">See note on CFC-11
</t>
        </r>
      </text>
    </comment>
    <comment ref="I139" authorId="0" shapeId="0" xr:uid="{B2CFE62A-821C-402F-B538-0D0777D86A5F}">
      <text>
        <r>
          <rPr>
            <sz val="9"/>
            <color indexed="81"/>
            <rFont val="Tahoma"/>
            <family val="2"/>
          </rPr>
          <t xml:space="preserve">See note on CFC-11
</t>
        </r>
      </text>
    </comment>
    <comment ref="J139" authorId="0" shapeId="0" xr:uid="{35011A8B-4D68-4433-AE23-B625AAC23956}">
      <text>
        <r>
          <rPr>
            <sz val="9"/>
            <color indexed="81"/>
            <rFont val="Tahoma"/>
            <family val="2"/>
          </rPr>
          <t xml:space="preserve">See notes on CFC11
</t>
        </r>
      </text>
    </comment>
    <comment ref="A140" authorId="0" shapeId="0" xr:uid="{61F1FF1F-1F63-454C-A946-3BA54F63D4DB}">
      <text>
        <r>
          <rPr>
            <sz val="9"/>
            <color indexed="81"/>
            <rFont val="Tahoma"/>
            <family val="2"/>
          </rPr>
          <t xml:space="preserve">CHF2CClFCClF2
1,2-Dichloro-1,1,2,3,3-pentafluoropropane
</t>
        </r>
      </text>
    </comment>
    <comment ref="C140" authorId="0" shapeId="0" xr:uid="{8A34A8AF-F56E-4168-BA4A-E471C410D691}">
      <text>
        <r>
          <rPr>
            <sz val="9"/>
            <color indexed="81"/>
            <rFont val="Tahoma"/>
            <family val="2"/>
          </rPr>
          <t>https://csl.noaa.gov/groups/csl5/datasets/data/hcfcs/Summary%20HCFC-225.pdf</t>
        </r>
      </text>
    </comment>
    <comment ref="D140" authorId="0" shapeId="0" xr:uid="{5618EC8E-7C67-4AC9-8864-73431FF5D0A3}">
      <text>
        <r>
          <rPr>
            <sz val="9"/>
            <color indexed="81"/>
            <rFont val="Tahoma"/>
            <family val="2"/>
          </rPr>
          <t xml:space="preserve">Uncertainty estimated from difference between well-mixed (1577) and lifetime adjusted (1526) GWP </t>
        </r>
      </text>
    </comment>
    <comment ref="E140" authorId="0" shapeId="0" xr:uid="{9166191E-EB58-4D91-B3DD-254BF3AD4DFF}">
      <text>
        <r>
          <rPr>
            <sz val="9"/>
            <color indexed="81"/>
            <rFont val="Tahoma"/>
            <family val="2"/>
          </rPr>
          <t>https://csl.noaa.gov/groups/csl5/datasets/data/hcfcs/Summary%20HCFC-225.pdf</t>
        </r>
      </text>
    </comment>
    <comment ref="F140" authorId="0" shapeId="0" xr:uid="{9A32660D-E70C-4D57-9A36-F044E208107A}">
      <text>
        <r>
          <rPr>
            <sz val="9"/>
            <color indexed="81"/>
            <rFont val="Tahoma"/>
            <family val="2"/>
          </rPr>
          <t>Assumed to be subject to the same kind of uncertainties as the GWP estimate</t>
        </r>
        <r>
          <rPr>
            <sz val="9"/>
            <color indexed="81"/>
            <rFont val="Tahoma"/>
            <family val="2"/>
          </rPr>
          <t xml:space="preserve">
</t>
        </r>
      </text>
    </comment>
    <comment ref="G140" authorId="0" shapeId="0" xr:uid="{F06DCAA3-A509-4029-806B-4218B6667F01}">
      <text>
        <r>
          <rPr>
            <sz val="9"/>
            <color indexed="81"/>
            <rFont val="Tahoma"/>
            <family val="2"/>
          </rPr>
          <t xml:space="preserve">See note on CFC-11
</t>
        </r>
      </text>
    </comment>
    <comment ref="I140" authorId="0" shapeId="0" xr:uid="{9C5EA10A-3274-4094-9FA3-0E7E445F7D2F}">
      <text>
        <r>
          <rPr>
            <sz val="9"/>
            <color indexed="81"/>
            <rFont val="Tahoma"/>
            <family val="2"/>
          </rPr>
          <t xml:space="preserve">See note on CFC-11
</t>
        </r>
      </text>
    </comment>
    <comment ref="J140" authorId="0" shapeId="0" xr:uid="{0C6C1808-2B16-4007-AFE5-B926437E0849}">
      <text>
        <r>
          <rPr>
            <sz val="9"/>
            <color indexed="81"/>
            <rFont val="Tahoma"/>
            <family val="2"/>
          </rPr>
          <t xml:space="preserve">See notes on CFC11
</t>
        </r>
      </text>
    </comment>
    <comment ref="A141" authorId="0" shapeId="0" xr:uid="{51451972-1E55-4A42-B240-679D50A7E8DD}">
      <text>
        <r>
          <rPr>
            <sz val="9"/>
            <color indexed="81"/>
            <rFont val="Tahoma"/>
            <family val="2"/>
          </rPr>
          <t xml:space="preserve">CHCl2CF2CF3
2,2-Dichloro-1,1,1,3,3-pentafluoropropane
</t>
        </r>
      </text>
    </comment>
    <comment ref="C141" authorId="0" shapeId="0" xr:uid="{A3902B43-EF2B-4D11-B32E-F068CF612B3F}">
      <text>
        <r>
          <rPr>
            <sz val="8"/>
            <color indexed="81"/>
            <rFont val="Tahoma"/>
            <family val="2"/>
          </rPr>
          <t xml:space="preserve">(IPCC AR6 WGI Table 7.SM.7)
</t>
        </r>
      </text>
    </comment>
    <comment ref="D141" authorId="0" shapeId="0" xr:uid="{6CF75302-5D98-4169-A843-2A5BA89D9C1C}">
      <text>
        <r>
          <rPr>
            <sz val="9"/>
            <color indexed="81"/>
            <rFont val="Tahoma"/>
            <family val="2"/>
          </rPr>
          <t xml:space="preserve">Uncertainty estimated from difference etweenof IPCC and NOAA values and between NOAA well-mixed (147) and lifetime and adjusted (122) GWP </t>
        </r>
      </text>
    </comment>
    <comment ref="E141" authorId="0" shapeId="0" xr:uid="{38224613-DF13-4864-AC1F-B7E6A2AF67E5}">
      <text>
        <r>
          <rPr>
            <sz val="9"/>
            <color indexed="81"/>
            <rFont val="Tahoma"/>
            <family val="2"/>
          </rPr>
          <t>https://csl.noaa.gov/groups/csl5/datasets/data/hcfcs/Summary%20HCFC-225.pdf</t>
        </r>
      </text>
    </comment>
    <comment ref="F141" authorId="0" shapeId="0" xr:uid="{39D31C6B-ADDD-4BF1-B061-52C554FFA573}">
      <text>
        <r>
          <rPr>
            <sz val="9"/>
            <color indexed="81"/>
            <rFont val="Tahoma"/>
            <family val="2"/>
          </rPr>
          <t>Assumed to be subject to the same kind of uncertainties as the GWP estimate</t>
        </r>
        <r>
          <rPr>
            <sz val="9"/>
            <color indexed="81"/>
            <rFont val="Tahoma"/>
            <family val="2"/>
          </rPr>
          <t xml:space="preserve">
</t>
        </r>
      </text>
    </comment>
    <comment ref="G141" authorId="0" shapeId="0" xr:uid="{00000000-0006-0000-0900-0000D2000000}">
      <text>
        <r>
          <rPr>
            <sz val="9"/>
            <color indexed="81"/>
            <rFont val="Tahoma"/>
            <family val="2"/>
          </rPr>
          <t xml:space="preserve">See note on CFC-11
</t>
        </r>
      </text>
    </comment>
    <comment ref="I141" authorId="0" shapeId="0" xr:uid="{00000000-0006-0000-0900-0000D3000000}">
      <text>
        <r>
          <rPr>
            <sz val="9"/>
            <color indexed="81"/>
            <rFont val="Tahoma"/>
            <family val="2"/>
          </rPr>
          <t xml:space="preserve">See notes on CFC11
</t>
        </r>
      </text>
    </comment>
    <comment ref="J141" authorId="0" shapeId="0" xr:uid="{00000000-0006-0000-0900-0000D4000000}">
      <text>
        <r>
          <rPr>
            <sz val="9"/>
            <color indexed="81"/>
            <rFont val="Tahoma"/>
            <family val="2"/>
          </rPr>
          <t xml:space="preserve">See notes on CFC11
</t>
        </r>
      </text>
    </comment>
    <comment ref="A142" authorId="0" shapeId="0" xr:uid="{45074A3D-9653-4181-BB47-90338CA1167E}">
      <text>
        <r>
          <rPr>
            <sz val="9"/>
            <color indexed="81"/>
            <rFont val="Tahoma"/>
            <family val="2"/>
          </rPr>
          <t>CHClFCF2CClF2
1,3-Dichloro-1,1,2,2,3-pentafluoropropane</t>
        </r>
      </text>
    </comment>
    <comment ref="C142" authorId="0" shapeId="0" xr:uid="{5F28719E-1999-48AB-98DA-B7A6B9E9B991}">
      <text>
        <r>
          <rPr>
            <sz val="8"/>
            <color indexed="81"/>
            <rFont val="Tahoma"/>
            <family val="2"/>
          </rPr>
          <t xml:space="preserve">(IPCC AR6 WGI Table 7.SM.7)
</t>
        </r>
      </text>
    </comment>
    <comment ref="D142" authorId="0" shapeId="0" xr:uid="{4E3B1225-CF71-44F8-9BAD-41AB523B31EC}">
      <text>
        <r>
          <rPr>
            <sz val="9"/>
            <color indexed="81"/>
            <rFont val="Tahoma"/>
            <family val="2"/>
          </rPr>
          <t xml:space="preserve">Uncertainty estimated from difference between IPCC (568) , WMO (525) and NOAA values of well-mixed (505) and lifetime and adjusted (468) GWP </t>
        </r>
      </text>
    </comment>
    <comment ref="E142" authorId="0" shapeId="0" xr:uid="{8098A29A-F85B-412F-A3F0-8D0C3CF83A86}">
      <text>
        <r>
          <rPr>
            <sz val="9"/>
            <color indexed="81"/>
            <rFont val="Tahoma"/>
            <family val="2"/>
          </rPr>
          <t>https://csl.noaa.gov/groups/csl5/datasets/data/hcfcs/Summary%20HCFC-225.pdf</t>
        </r>
      </text>
    </comment>
    <comment ref="F142" authorId="0" shapeId="0" xr:uid="{00EBF8F6-1496-4644-A8C3-DCC93B13181B}">
      <text>
        <r>
          <rPr>
            <sz val="9"/>
            <color indexed="81"/>
            <rFont val="Tahoma"/>
            <family val="2"/>
          </rPr>
          <t>Assumed to be subject to the same kind of uncertainties as the GWP estimate</t>
        </r>
        <r>
          <rPr>
            <sz val="9"/>
            <color indexed="81"/>
            <rFont val="Tahoma"/>
            <family val="2"/>
          </rPr>
          <t xml:space="preserve">
</t>
        </r>
      </text>
    </comment>
    <comment ref="G142" authorId="0" shapeId="0" xr:uid="{00000000-0006-0000-0900-0000D6000000}">
      <text>
        <r>
          <rPr>
            <sz val="9"/>
            <color indexed="81"/>
            <rFont val="Tahoma"/>
            <family val="2"/>
          </rPr>
          <t xml:space="preserve">See note on CFC-11
</t>
        </r>
      </text>
    </comment>
    <comment ref="I142" authorId="0" shapeId="0" xr:uid="{00000000-0006-0000-0900-0000D7000000}">
      <text>
        <r>
          <rPr>
            <sz val="9"/>
            <color indexed="81"/>
            <rFont val="Tahoma"/>
            <family val="2"/>
          </rPr>
          <t xml:space="preserve">See notes on CFC11
</t>
        </r>
      </text>
    </comment>
    <comment ref="J142" authorId="0" shapeId="0" xr:uid="{00000000-0006-0000-0900-0000D8000000}">
      <text>
        <r>
          <rPr>
            <sz val="9"/>
            <color indexed="81"/>
            <rFont val="Tahoma"/>
            <family val="2"/>
          </rPr>
          <t xml:space="preserve">See notes on CFC11
</t>
        </r>
      </text>
    </comment>
    <comment ref="A143" authorId="0" shapeId="0" xr:uid="{6D3288C4-7A1A-427E-9F00-4F435D80D9EA}">
      <text>
        <r>
          <rPr>
            <sz val="9"/>
            <color indexed="81"/>
            <rFont val="Tahoma"/>
            <family val="2"/>
          </rPr>
          <t xml:space="preserve">CHF2CF2CCl2F
1,1-Dichloro-1,2,2,3,3-pentafluoropropane
</t>
        </r>
      </text>
    </comment>
    <comment ref="C143" authorId="0" shapeId="0" xr:uid="{C4DE96FD-284C-458D-B007-45350CDAF8F3}">
      <text>
        <r>
          <rPr>
            <sz val="9"/>
            <color indexed="81"/>
            <rFont val="Tahoma"/>
            <family val="2"/>
          </rPr>
          <t>https://csl.noaa.gov/groups/csl5/datasets/data/hcfcs/Summary%20HCFC-225.pdf</t>
        </r>
      </text>
    </comment>
    <comment ref="D143" authorId="0" shapeId="0" xr:uid="{9FF05687-A222-4378-9093-FAB5A251F919}">
      <text>
        <r>
          <rPr>
            <sz val="9"/>
            <color indexed="81"/>
            <rFont val="Tahoma"/>
            <family val="2"/>
          </rPr>
          <t xml:space="preserve">Uncertainty estimated from difference between well-mixed (1512) and lifetime adjusted (1458) GWP </t>
        </r>
      </text>
    </comment>
    <comment ref="E143" authorId="0" shapeId="0" xr:uid="{7FA1C02C-43BE-4C5A-86E3-8EE70D8DD2D4}">
      <text>
        <r>
          <rPr>
            <sz val="9"/>
            <color indexed="81"/>
            <rFont val="Tahoma"/>
            <family val="2"/>
          </rPr>
          <t>https://csl.noaa.gov/groups/csl5/datasets/data/hcfcs/Summary%20HCFC-225.pdf</t>
        </r>
      </text>
    </comment>
    <comment ref="F143" authorId="0" shapeId="0" xr:uid="{15BA77B4-3CE0-4807-BEA0-E91A79FC7599}">
      <text>
        <r>
          <rPr>
            <sz val="9"/>
            <color indexed="81"/>
            <rFont val="Tahoma"/>
            <family val="2"/>
          </rPr>
          <t>Assumed to be subject to the same kind of uncertainties as the GWP estimate</t>
        </r>
        <r>
          <rPr>
            <sz val="9"/>
            <color indexed="81"/>
            <rFont val="Tahoma"/>
            <family val="2"/>
          </rPr>
          <t xml:space="preserve">
</t>
        </r>
      </text>
    </comment>
    <comment ref="G143" authorId="0" shapeId="0" xr:uid="{656073BD-AAED-4AE1-ADA9-F6DC706B2B53}">
      <text>
        <r>
          <rPr>
            <sz val="9"/>
            <color indexed="81"/>
            <rFont val="Tahoma"/>
            <family val="2"/>
          </rPr>
          <t xml:space="preserve">See note on CFC-11
</t>
        </r>
      </text>
    </comment>
    <comment ref="I143" authorId="0" shapeId="0" xr:uid="{46B94D68-7FD3-4997-96B8-51EAA3465AB4}">
      <text>
        <r>
          <rPr>
            <sz val="9"/>
            <color indexed="81"/>
            <rFont val="Tahoma"/>
            <family val="2"/>
          </rPr>
          <t xml:space="preserve">See note on CFC-11
</t>
        </r>
      </text>
    </comment>
    <comment ref="J143" authorId="0" shapeId="0" xr:uid="{AFB37288-0A1D-4E05-BBAB-065E016C45C0}">
      <text>
        <r>
          <rPr>
            <sz val="9"/>
            <color indexed="81"/>
            <rFont val="Tahoma"/>
            <family val="2"/>
          </rPr>
          <t xml:space="preserve">See notes on CFC11
</t>
        </r>
      </text>
    </comment>
    <comment ref="A144" authorId="0" shapeId="0" xr:uid="{DA3E91C7-054D-4654-93D6-CC298731EBB6}">
      <text>
        <r>
          <rPr>
            <sz val="9"/>
            <color indexed="81"/>
            <rFont val="Tahoma"/>
            <family val="2"/>
          </rPr>
          <t xml:space="preserve">CClF2CHClCF3
1,2-Dichloro-1,1,3,3,3-Pentafluoropropane
</t>
        </r>
      </text>
    </comment>
    <comment ref="C144" authorId="0" shapeId="0" xr:uid="{D86FCED4-CE1F-4BF7-AD8C-F9D76590A474}">
      <text>
        <r>
          <rPr>
            <sz val="9"/>
            <color indexed="81"/>
            <rFont val="Tahoma"/>
            <family val="2"/>
          </rPr>
          <t>https://csl.noaa.gov/groups/csl5/datasets/data/hcfcs/Summary%20HCFC-225.pdf</t>
        </r>
      </text>
    </comment>
    <comment ref="D144" authorId="0" shapeId="0" xr:uid="{11A3F0FA-ADAD-4872-930E-64FFCEBCF2B8}">
      <text>
        <r>
          <rPr>
            <sz val="9"/>
            <color indexed="81"/>
            <rFont val="Tahoma"/>
            <family val="2"/>
          </rPr>
          <t xml:space="preserve">Uncertainty estimated from difference between well-mixed (1525) and lifetime adjusted (1476) GWP </t>
        </r>
      </text>
    </comment>
    <comment ref="E144" authorId="0" shapeId="0" xr:uid="{1333CEAA-4630-4D1B-94B5-E917D7F4B45B}">
      <text>
        <r>
          <rPr>
            <sz val="9"/>
            <color indexed="81"/>
            <rFont val="Tahoma"/>
            <family val="2"/>
          </rPr>
          <t>https://csl.noaa.gov/groups/csl5/datasets/data/hcfcs/Summary%20HCFC-225.pdf</t>
        </r>
      </text>
    </comment>
    <comment ref="F144" authorId="0" shapeId="0" xr:uid="{9B73B570-174D-43A1-8992-B0D89D7D1365}">
      <text>
        <r>
          <rPr>
            <sz val="9"/>
            <color indexed="81"/>
            <rFont val="Tahoma"/>
            <family val="2"/>
          </rPr>
          <t>Assumed to be subject to the same kind of uncertainties as the GWP estimate</t>
        </r>
        <r>
          <rPr>
            <sz val="9"/>
            <color indexed="81"/>
            <rFont val="Tahoma"/>
            <family val="2"/>
          </rPr>
          <t xml:space="preserve">
</t>
        </r>
      </text>
    </comment>
    <comment ref="G144" authorId="0" shapeId="0" xr:uid="{E0930122-846A-43A1-BBEE-F4004ADA77F5}">
      <text>
        <r>
          <rPr>
            <sz val="9"/>
            <color indexed="81"/>
            <rFont val="Tahoma"/>
            <family val="2"/>
          </rPr>
          <t xml:space="preserve">See note on CFC-11
</t>
        </r>
      </text>
    </comment>
    <comment ref="I144" authorId="0" shapeId="0" xr:uid="{FB00A820-8221-4795-9EC5-22DDB0168469}">
      <text>
        <r>
          <rPr>
            <sz val="9"/>
            <color indexed="81"/>
            <rFont val="Tahoma"/>
            <family val="2"/>
          </rPr>
          <t xml:space="preserve">See note on CFC-11
</t>
        </r>
      </text>
    </comment>
    <comment ref="J144" authorId="0" shapeId="0" xr:uid="{24BD9E5D-830D-4344-8446-C72D20859607}">
      <text>
        <r>
          <rPr>
            <sz val="9"/>
            <color indexed="81"/>
            <rFont val="Tahoma"/>
            <family val="2"/>
          </rPr>
          <t xml:space="preserve">See notes on CFC11
</t>
        </r>
      </text>
    </comment>
    <comment ref="A145" authorId="0" shapeId="0" xr:uid="{F684269D-D0F6-4604-B64F-5EF60C07870D}">
      <text>
        <r>
          <rPr>
            <sz val="9"/>
            <color indexed="81"/>
            <rFont val="Tahoma"/>
            <family val="2"/>
          </rPr>
          <t xml:space="preserve">CClF2CHFCClF2
1,3-Dichloro-1,1,2,3,3-pentafluoropropane
</t>
        </r>
      </text>
    </comment>
    <comment ref="C145" authorId="0" shapeId="0" xr:uid="{B35C889F-EFA9-4CB7-9B12-7A89033DEDE7}">
      <text>
        <r>
          <rPr>
            <sz val="9"/>
            <color indexed="81"/>
            <rFont val="Tahoma"/>
            <family val="2"/>
          </rPr>
          <t>https://csl.noaa.gov/groups/csl5/datasets/data/hcfcs/Summary%20HCFC-225.pdf</t>
        </r>
      </text>
    </comment>
    <comment ref="D145" authorId="0" shapeId="0" xr:uid="{A1C4AE08-FEA2-44BE-948F-BC8774200032}">
      <text>
        <r>
          <rPr>
            <sz val="9"/>
            <color indexed="81"/>
            <rFont val="Tahoma"/>
            <family val="2"/>
          </rPr>
          <t xml:space="preserve">Uncertainty estimated from difference between well-mixed (1616) and lifetime adjusted (1562) GWP </t>
        </r>
      </text>
    </comment>
    <comment ref="E145" authorId="0" shapeId="0" xr:uid="{8D58EE8D-CE0C-411D-979A-6686D4BAB259}">
      <text>
        <r>
          <rPr>
            <sz val="9"/>
            <color indexed="81"/>
            <rFont val="Tahoma"/>
            <family val="2"/>
          </rPr>
          <t>https://csl.noaa.gov/groups/csl5/datasets/data/hcfcs/Summary%20HCFC-225.pdf</t>
        </r>
      </text>
    </comment>
    <comment ref="F145" authorId="0" shapeId="0" xr:uid="{C888980D-A6E3-4FCA-8D28-9C72B1AC1923}">
      <text>
        <r>
          <rPr>
            <sz val="9"/>
            <color indexed="81"/>
            <rFont val="Tahoma"/>
            <family val="2"/>
          </rPr>
          <t>Assumed to be subject to the same kind of uncertainties as the GWP estimate</t>
        </r>
        <r>
          <rPr>
            <sz val="9"/>
            <color indexed="81"/>
            <rFont val="Tahoma"/>
            <family val="2"/>
          </rPr>
          <t xml:space="preserve">
</t>
        </r>
      </text>
    </comment>
    <comment ref="G145" authorId="0" shapeId="0" xr:uid="{83DE3552-737C-496E-932F-8F1620250A3A}">
      <text>
        <r>
          <rPr>
            <sz val="9"/>
            <color indexed="81"/>
            <rFont val="Tahoma"/>
            <family val="2"/>
          </rPr>
          <t xml:space="preserve">See note on CFC-11
</t>
        </r>
      </text>
    </comment>
    <comment ref="I145" authorId="0" shapeId="0" xr:uid="{8F0FFC7E-3817-47A2-A390-04E21DBA93D2}">
      <text>
        <r>
          <rPr>
            <sz val="9"/>
            <color indexed="81"/>
            <rFont val="Tahoma"/>
            <family val="2"/>
          </rPr>
          <t xml:space="preserve">See note on CFC-11
</t>
        </r>
      </text>
    </comment>
    <comment ref="J145" authorId="0" shapeId="0" xr:uid="{01D0E05A-1163-445D-A6FC-E58FBC93E6BD}">
      <text>
        <r>
          <rPr>
            <sz val="9"/>
            <color indexed="81"/>
            <rFont val="Tahoma"/>
            <family val="2"/>
          </rPr>
          <t xml:space="preserve">See notes on CFC11
</t>
        </r>
      </text>
    </comment>
    <comment ref="A146" authorId="0" shapeId="0" xr:uid="{90CCED37-80F2-422D-8F40-2A6B6E782ACB}">
      <text>
        <r>
          <rPr>
            <sz val="9"/>
            <color indexed="81"/>
            <rFont val="Tahoma"/>
            <family val="2"/>
          </rPr>
          <t xml:space="preserve">CCl2FCHFCF3
1,1-Dichloro-1,2,3,3,3-pentafluoropropane
</t>
        </r>
      </text>
    </comment>
    <comment ref="C146" authorId="0" shapeId="0" xr:uid="{D9B23807-3D29-4145-84A9-630727923157}">
      <text>
        <r>
          <rPr>
            <sz val="9"/>
            <color indexed="81"/>
            <rFont val="Tahoma"/>
            <family val="2"/>
          </rPr>
          <t>https://csl.noaa.gov/groups/csl5/datasets/data/hcfcs/Summary%20HCFC-225.pdf</t>
        </r>
      </text>
    </comment>
    <comment ref="D146" authorId="0" shapeId="0" xr:uid="{02436F0A-15CB-48F2-BD51-4AC1A75C0E98}">
      <text>
        <r>
          <rPr>
            <sz val="9"/>
            <color indexed="81"/>
            <rFont val="Tahoma"/>
            <family val="2"/>
          </rPr>
          <t xml:space="preserve">Uncertainty estimated from difference between well-mixed (1198) and lifetime adjusted (1154) GWP </t>
        </r>
      </text>
    </comment>
    <comment ref="E146" authorId="0" shapeId="0" xr:uid="{D9115E6F-5099-4C5A-B8F7-B9DE0F4693D6}">
      <text>
        <r>
          <rPr>
            <sz val="9"/>
            <color indexed="81"/>
            <rFont val="Tahoma"/>
            <family val="2"/>
          </rPr>
          <t>https://csl.noaa.gov/groups/csl5/datasets/data/hcfcs/Summary%20HCFC-225.pdf</t>
        </r>
      </text>
    </comment>
    <comment ref="F146" authorId="0" shapeId="0" xr:uid="{A0DAD96D-AA96-4AED-82AE-9454D28FBC84}">
      <text>
        <r>
          <rPr>
            <sz val="9"/>
            <color indexed="81"/>
            <rFont val="Tahoma"/>
            <family val="2"/>
          </rPr>
          <t>Assumed to be subject to the same kind of uncertainties as the GWP estimate</t>
        </r>
        <r>
          <rPr>
            <sz val="9"/>
            <color indexed="81"/>
            <rFont val="Tahoma"/>
            <family val="2"/>
          </rPr>
          <t xml:space="preserve">
</t>
        </r>
      </text>
    </comment>
    <comment ref="G146" authorId="0" shapeId="0" xr:uid="{38807A6B-F049-47AD-8D75-3561B885CE62}">
      <text>
        <r>
          <rPr>
            <sz val="9"/>
            <color indexed="81"/>
            <rFont val="Tahoma"/>
            <family val="2"/>
          </rPr>
          <t xml:space="preserve">See note on CFC-11
</t>
        </r>
      </text>
    </comment>
    <comment ref="I146" authorId="0" shapeId="0" xr:uid="{731D84BB-83F7-42CE-8466-6AEEFD296799}">
      <text>
        <r>
          <rPr>
            <sz val="9"/>
            <color indexed="81"/>
            <rFont val="Tahoma"/>
            <family val="2"/>
          </rPr>
          <t xml:space="preserve">See note on CFC-11
</t>
        </r>
      </text>
    </comment>
    <comment ref="J146" authorId="0" shapeId="0" xr:uid="{B0633C47-08D5-4C35-A7FB-54316770CE34}">
      <text>
        <r>
          <rPr>
            <sz val="9"/>
            <color indexed="81"/>
            <rFont val="Tahoma"/>
            <family val="2"/>
          </rPr>
          <t xml:space="preserve">See notes on CFC11
</t>
        </r>
      </text>
    </comment>
    <comment ref="A147" authorId="0" shapeId="0" xr:uid="{E3E1A5B8-646A-4D79-B220-75CD86D1C76F}">
      <text>
        <r>
          <rPr>
            <sz val="9"/>
            <color indexed="81"/>
            <rFont val="Tahoma"/>
            <family val="2"/>
          </rPr>
          <t xml:space="preserve">CHF2CClFCF3
2-Chloro-1,1,1,2,3,3-hexafluoropropane
</t>
        </r>
      </text>
    </comment>
    <comment ref="C147" authorId="0" shapeId="0" xr:uid="{51678DB2-1803-4F68-A46B-C8779C043DC1}">
      <text>
        <r>
          <rPr>
            <sz val="9"/>
            <color indexed="81"/>
            <rFont val="Tahoma"/>
            <family val="2"/>
          </rPr>
          <t>https://csl.noaa.gov/groups/csl5/datasets/data/hcfcs/Summary%20HCFC-226.pdf</t>
        </r>
      </text>
    </comment>
    <comment ref="D147" authorId="0" shapeId="0" xr:uid="{C93D3641-4328-4EDE-A4B2-0B1CB081BA91}">
      <text>
        <r>
          <rPr>
            <sz val="9"/>
            <color indexed="81"/>
            <rFont val="Tahoma"/>
            <family val="2"/>
          </rPr>
          <t xml:space="preserve">Uncertainty estimated from difference between well-mixed (1528) and lifetime adjusted (1480) GWP </t>
        </r>
      </text>
    </comment>
    <comment ref="E147" authorId="0" shapeId="0" xr:uid="{0BAAED80-66E8-4901-B406-2BB409BB9EED}">
      <text>
        <r>
          <rPr>
            <sz val="9"/>
            <color indexed="81"/>
            <rFont val="Tahoma"/>
            <family val="2"/>
          </rPr>
          <t>https://csl.noaa.gov/groups/csl5/datasets/data/hcfcs/Summary%20HCFC-226.pdf</t>
        </r>
      </text>
    </comment>
    <comment ref="F147" authorId="0" shapeId="0" xr:uid="{2AE78FFB-8CB4-4182-9176-C427E9F51C3B}">
      <text>
        <r>
          <rPr>
            <sz val="9"/>
            <color indexed="81"/>
            <rFont val="Tahoma"/>
            <family val="2"/>
          </rPr>
          <t>Assumed to be subject to the same kind of uncertainties as the GWP estimate</t>
        </r>
        <r>
          <rPr>
            <sz val="9"/>
            <color indexed="81"/>
            <rFont val="Tahoma"/>
            <family val="2"/>
          </rPr>
          <t xml:space="preserve">
</t>
        </r>
      </text>
    </comment>
    <comment ref="G147" authorId="0" shapeId="0" xr:uid="{1B5EE75B-5CB4-4ED9-8AC3-13491344C357}">
      <text>
        <r>
          <rPr>
            <sz val="9"/>
            <color indexed="81"/>
            <rFont val="Tahoma"/>
            <family val="2"/>
          </rPr>
          <t xml:space="preserve">See note on CFC-11
</t>
        </r>
      </text>
    </comment>
    <comment ref="I147" authorId="0" shapeId="0" xr:uid="{935A8452-B829-4ABE-8E8E-EC4A90D17B1B}">
      <text>
        <r>
          <rPr>
            <sz val="9"/>
            <color indexed="81"/>
            <rFont val="Tahoma"/>
            <family val="2"/>
          </rPr>
          <t xml:space="preserve">See note on CFC-11
</t>
        </r>
      </text>
    </comment>
    <comment ref="J147" authorId="0" shapeId="0" xr:uid="{B1D422E5-402D-453E-97C2-AE5EF75008D4}">
      <text>
        <r>
          <rPr>
            <sz val="9"/>
            <color indexed="81"/>
            <rFont val="Tahoma"/>
            <family val="2"/>
          </rPr>
          <t xml:space="preserve">See notes on CFC11
</t>
        </r>
      </text>
    </comment>
    <comment ref="A148" authorId="0" shapeId="0" xr:uid="{C3A8FD27-9E58-44A5-A611-C573EA0F67DB}">
      <text>
        <r>
          <rPr>
            <sz val="9"/>
            <color indexed="81"/>
            <rFont val="Tahoma"/>
            <family val="2"/>
          </rPr>
          <t xml:space="preserve">CHClFCF2CF3
3-Chloro-1,1,1,2,2,3-hexafluoropropane
</t>
        </r>
      </text>
    </comment>
    <comment ref="C148" authorId="0" shapeId="0" xr:uid="{A9AACF23-3103-4B7D-A7E4-4B980F63A099}">
      <text>
        <r>
          <rPr>
            <sz val="9"/>
            <color indexed="81"/>
            <rFont val="Tahoma"/>
            <family val="2"/>
          </rPr>
          <t>https://csl.noaa.gov/groups/csl5/datasets/data/hcfcs/Summary%20HCFC-226.pdf</t>
        </r>
      </text>
    </comment>
    <comment ref="D148" authorId="0" shapeId="0" xr:uid="{EB6ED2DD-802F-4413-A0FA-6017CA3A548B}">
      <text>
        <r>
          <rPr>
            <sz val="9"/>
            <color indexed="81"/>
            <rFont val="Tahoma"/>
            <family val="2"/>
          </rPr>
          <t xml:space="preserve">Uncertainty estimated from difference between well-mixed (504) and lifetime adjusted (467) GWP </t>
        </r>
      </text>
    </comment>
    <comment ref="E148" authorId="0" shapeId="0" xr:uid="{04CC0C3D-C292-4FF9-A0CC-3E7049FA71B0}">
      <text>
        <r>
          <rPr>
            <sz val="9"/>
            <color indexed="81"/>
            <rFont val="Tahoma"/>
            <family val="2"/>
          </rPr>
          <t>https://csl.noaa.gov/groups/csl5/datasets/data/hcfcs/Summary%20HCFC-226.pdf</t>
        </r>
      </text>
    </comment>
    <comment ref="F148" authorId="0" shapeId="0" xr:uid="{4CF0469D-047A-4125-B672-2B47B794C80A}">
      <text>
        <r>
          <rPr>
            <sz val="9"/>
            <color indexed="81"/>
            <rFont val="Tahoma"/>
            <family val="2"/>
          </rPr>
          <t>Assumed to be subject to the same kind of uncertainties as the GWP estimate</t>
        </r>
        <r>
          <rPr>
            <sz val="9"/>
            <color indexed="81"/>
            <rFont val="Tahoma"/>
            <family val="2"/>
          </rPr>
          <t xml:space="preserve">
</t>
        </r>
      </text>
    </comment>
    <comment ref="G148" authorId="0" shapeId="0" xr:uid="{ADE64B1B-BFC4-4A37-B7E5-00C4078331CB}">
      <text>
        <r>
          <rPr>
            <sz val="9"/>
            <color indexed="81"/>
            <rFont val="Tahoma"/>
            <family val="2"/>
          </rPr>
          <t xml:space="preserve">See note on CFC-11
</t>
        </r>
      </text>
    </comment>
    <comment ref="I148" authorId="0" shapeId="0" xr:uid="{8C0E5FA8-2A80-4618-A566-12104613B221}">
      <text>
        <r>
          <rPr>
            <sz val="9"/>
            <color indexed="81"/>
            <rFont val="Tahoma"/>
            <family val="2"/>
          </rPr>
          <t xml:space="preserve">See note on CFC-11
</t>
        </r>
      </text>
    </comment>
    <comment ref="J148" authorId="0" shapeId="0" xr:uid="{B91FA821-CED2-4E47-95B8-E2DBB8B8E3E2}">
      <text>
        <r>
          <rPr>
            <sz val="9"/>
            <color indexed="81"/>
            <rFont val="Tahoma"/>
            <family val="2"/>
          </rPr>
          <t xml:space="preserve">See notes on CFC11
</t>
        </r>
      </text>
    </comment>
    <comment ref="A149" authorId="0" shapeId="0" xr:uid="{FDA41AA5-4771-46E2-80F2-04D9E8BDEF8A}">
      <text>
        <r>
          <rPr>
            <sz val="9"/>
            <color indexed="81"/>
            <rFont val="Tahoma"/>
            <family val="2"/>
          </rPr>
          <t xml:space="preserve">CHF2CF2CClF2
1-Chloro-1,1,2,2,3,3-hexafluoropropane
</t>
        </r>
      </text>
    </comment>
    <comment ref="C149" authorId="0" shapeId="0" xr:uid="{69E9B768-DF79-41C0-A9AE-98B2E516192D}">
      <text>
        <r>
          <rPr>
            <sz val="9"/>
            <color indexed="81"/>
            <rFont val="Tahoma"/>
            <family val="2"/>
          </rPr>
          <t>https://csl.noaa.gov/groups/csl5/datasets/data/hcfcs/Summary%20HCFC-226.pdf</t>
        </r>
      </text>
    </comment>
    <comment ref="D149" authorId="0" shapeId="0" xr:uid="{46AB8D5E-9215-4B7C-9A33-B46EB52F38DA}">
      <text>
        <r>
          <rPr>
            <sz val="9"/>
            <color indexed="81"/>
            <rFont val="Tahoma"/>
            <family val="2"/>
          </rPr>
          <t xml:space="preserve">Uncertainty estimated from difference between well-mixed (2453) and lifetime adjusted (2388) GWP </t>
        </r>
      </text>
    </comment>
    <comment ref="E149" authorId="0" shapeId="0" xr:uid="{0B4B224B-F27C-49AA-99F2-67CF74E7166C}">
      <text>
        <r>
          <rPr>
            <sz val="9"/>
            <color indexed="81"/>
            <rFont val="Tahoma"/>
            <family val="2"/>
          </rPr>
          <t>https://csl.noaa.gov/groups/csl5/datasets/data/hcfcs/Summary%20HCFC-226.pdf</t>
        </r>
      </text>
    </comment>
    <comment ref="F149" authorId="0" shapeId="0" xr:uid="{E00F4460-5C81-4861-BA8D-4158B3B3B3F8}">
      <text>
        <r>
          <rPr>
            <sz val="9"/>
            <color indexed="81"/>
            <rFont val="Tahoma"/>
            <family val="2"/>
          </rPr>
          <t>Assumed to be subject to the same kind of uncertainties as the GWP estimate</t>
        </r>
        <r>
          <rPr>
            <sz val="9"/>
            <color indexed="81"/>
            <rFont val="Tahoma"/>
            <family val="2"/>
          </rPr>
          <t xml:space="preserve">
</t>
        </r>
      </text>
    </comment>
    <comment ref="G149" authorId="0" shapeId="0" xr:uid="{1A0471E1-4FE8-4ECD-B78F-523A0ED20DCC}">
      <text>
        <r>
          <rPr>
            <sz val="9"/>
            <color indexed="81"/>
            <rFont val="Tahoma"/>
            <family val="2"/>
          </rPr>
          <t xml:space="preserve">See note on CFC-11
</t>
        </r>
      </text>
    </comment>
    <comment ref="I149" authorId="0" shapeId="0" xr:uid="{CF6753B2-D702-48B6-80FB-18AF521B5418}">
      <text>
        <r>
          <rPr>
            <sz val="9"/>
            <color indexed="81"/>
            <rFont val="Tahoma"/>
            <family val="2"/>
          </rPr>
          <t xml:space="preserve">See note on CFC-11
</t>
        </r>
      </text>
    </comment>
    <comment ref="J149" authorId="0" shapeId="0" xr:uid="{5482C368-AE3E-4943-8266-3B38BF4B69F9}">
      <text>
        <r>
          <rPr>
            <sz val="9"/>
            <color indexed="81"/>
            <rFont val="Tahoma"/>
            <family val="2"/>
          </rPr>
          <t xml:space="preserve">See notes on CFC11
</t>
        </r>
      </text>
    </comment>
    <comment ref="A150" authorId="0" shapeId="0" xr:uid="{E6BBB3B3-2F88-4AB2-A6B1-6B449F15667B}">
      <text>
        <r>
          <rPr>
            <sz val="9"/>
            <color indexed="81"/>
            <rFont val="Tahoma"/>
            <family val="2"/>
          </rPr>
          <t xml:space="preserve">CF3CHClCF3
2-Chloro-1,1,1,3,3,3-hexafluoropropane
</t>
        </r>
      </text>
    </comment>
    <comment ref="C150" authorId="0" shapeId="0" xr:uid="{D8820DB2-9920-4180-904A-232BA23A9EE0}">
      <text>
        <r>
          <rPr>
            <sz val="9"/>
            <color indexed="81"/>
            <rFont val="Tahoma"/>
            <family val="2"/>
          </rPr>
          <t>https://csl.noaa.gov/groups/csl5/datasets/data/hcfcs/Summary%20HCFC-226.pdf</t>
        </r>
      </text>
    </comment>
    <comment ref="D150" authorId="0" shapeId="0" xr:uid="{F37573B4-BCE7-4E4D-90A9-39AFAC3BDD07}">
      <text>
        <r>
          <rPr>
            <sz val="9"/>
            <color indexed="81"/>
            <rFont val="Tahoma"/>
            <family val="2"/>
          </rPr>
          <t xml:space="preserve">Uncertainty estimated from difference between well-mixed (2267) and lifetime adjusted (2216) GWP </t>
        </r>
      </text>
    </comment>
    <comment ref="E150" authorId="0" shapeId="0" xr:uid="{E3C3C918-3687-4223-B5AE-557F23D377FE}">
      <text>
        <r>
          <rPr>
            <sz val="9"/>
            <color indexed="81"/>
            <rFont val="Tahoma"/>
            <family val="2"/>
          </rPr>
          <t>https://csl.noaa.gov/groups/csl5/datasets/data/hcfcs/Summary%20HCFC-226.pdf</t>
        </r>
      </text>
    </comment>
    <comment ref="F150" authorId="0" shapeId="0" xr:uid="{FA20FE80-1435-427C-8638-685E8FFB71DD}">
      <text>
        <r>
          <rPr>
            <sz val="9"/>
            <color indexed="81"/>
            <rFont val="Tahoma"/>
            <family val="2"/>
          </rPr>
          <t>Assumed to be subject to the same kind of uncertainties as the GWP estimate</t>
        </r>
        <r>
          <rPr>
            <sz val="9"/>
            <color indexed="81"/>
            <rFont val="Tahoma"/>
            <family val="2"/>
          </rPr>
          <t xml:space="preserve">
</t>
        </r>
      </text>
    </comment>
    <comment ref="G150" authorId="0" shapeId="0" xr:uid="{89C31312-ABD4-4487-8D54-52073EB25F7A}">
      <text>
        <r>
          <rPr>
            <sz val="9"/>
            <color indexed="81"/>
            <rFont val="Tahoma"/>
            <family val="2"/>
          </rPr>
          <t xml:space="preserve">See note on CFC-11
</t>
        </r>
      </text>
    </comment>
    <comment ref="I150" authorId="0" shapeId="0" xr:uid="{E2EF3D61-D554-42AF-978C-6E3179D582B3}">
      <text>
        <r>
          <rPr>
            <sz val="9"/>
            <color indexed="81"/>
            <rFont val="Tahoma"/>
            <family val="2"/>
          </rPr>
          <t xml:space="preserve">See note on CFC-11
</t>
        </r>
      </text>
    </comment>
    <comment ref="J150" authorId="0" shapeId="0" xr:uid="{61ABA862-A136-4C72-9179-2241E59AF5EB}">
      <text>
        <r>
          <rPr>
            <sz val="9"/>
            <color indexed="81"/>
            <rFont val="Tahoma"/>
            <family val="2"/>
          </rPr>
          <t xml:space="preserve">See notes on CFC11
</t>
        </r>
      </text>
    </comment>
    <comment ref="A151" authorId="0" shapeId="0" xr:uid="{25071E62-F295-48BC-A754-517205612420}">
      <text>
        <r>
          <rPr>
            <sz val="9"/>
            <color indexed="81"/>
            <rFont val="Tahoma"/>
            <family val="2"/>
          </rPr>
          <t xml:space="preserve">CClF2CHFCF3
1-Chloro-1,1,2,3,3,3-hexafluoropropane
</t>
        </r>
      </text>
    </comment>
    <comment ref="C151" authorId="0" shapeId="0" xr:uid="{1E11CCE4-CBE2-4959-9FA9-86CBDFB619C6}">
      <text>
        <r>
          <rPr>
            <sz val="9"/>
            <color indexed="81"/>
            <rFont val="Tahoma"/>
            <family val="2"/>
          </rPr>
          <t>https://csl.noaa.gov/groups/csl5/datasets/data/hcfcs/Summary%20HCFC-226.pdf</t>
        </r>
      </text>
    </comment>
    <comment ref="D151" authorId="0" shapeId="0" xr:uid="{5B0E371F-D8DD-41E2-8F6A-27E886FF3238}">
      <text>
        <r>
          <rPr>
            <sz val="9"/>
            <color indexed="81"/>
            <rFont val="Tahoma"/>
            <family val="2"/>
          </rPr>
          <t xml:space="preserve">Uncertainty estimated from difference between well-mixed (2512) and lifetime adjusted (2452) GWP </t>
        </r>
      </text>
    </comment>
    <comment ref="E151" authorId="0" shapeId="0" xr:uid="{8096A76E-4A5D-45E4-BA1A-B8D9FDF50F16}">
      <text>
        <r>
          <rPr>
            <sz val="9"/>
            <color indexed="81"/>
            <rFont val="Tahoma"/>
            <family val="2"/>
          </rPr>
          <t>https://csl.noaa.gov/groups/csl5/datasets/data/hcfcs/Summary%20HCFC-226.pdf</t>
        </r>
      </text>
    </comment>
    <comment ref="F151" authorId="0" shapeId="0" xr:uid="{0E965051-5EFA-4E12-806C-7C34878F5AC2}">
      <text>
        <r>
          <rPr>
            <sz val="9"/>
            <color indexed="81"/>
            <rFont val="Tahoma"/>
            <family val="2"/>
          </rPr>
          <t>Assumed to be subject to the same kind of uncertainties as the GWP estimate</t>
        </r>
        <r>
          <rPr>
            <sz val="9"/>
            <color indexed="81"/>
            <rFont val="Tahoma"/>
            <family val="2"/>
          </rPr>
          <t xml:space="preserve">
</t>
        </r>
      </text>
    </comment>
    <comment ref="G151" authorId="0" shapeId="0" xr:uid="{4C31D8BA-682C-483B-8E8E-CCF26EC401C8}">
      <text>
        <r>
          <rPr>
            <sz val="9"/>
            <color indexed="81"/>
            <rFont val="Tahoma"/>
            <family val="2"/>
          </rPr>
          <t xml:space="preserve">See note on CFC-11
</t>
        </r>
      </text>
    </comment>
    <comment ref="I151" authorId="0" shapeId="0" xr:uid="{650A9D77-C7FA-477F-A39C-3FA991358388}">
      <text>
        <r>
          <rPr>
            <sz val="9"/>
            <color indexed="81"/>
            <rFont val="Tahoma"/>
            <family val="2"/>
          </rPr>
          <t xml:space="preserve">See note on CFC-11
</t>
        </r>
      </text>
    </comment>
    <comment ref="J151" authorId="0" shapeId="0" xr:uid="{1368B007-AF19-47E2-9DF0-2B0C8DE4ED1B}">
      <text>
        <r>
          <rPr>
            <sz val="9"/>
            <color indexed="81"/>
            <rFont val="Tahoma"/>
            <family val="2"/>
          </rPr>
          <t xml:space="preserve">See notes on CFC11
</t>
        </r>
      </text>
    </comment>
    <comment ref="A152" authorId="0" shapeId="0" xr:uid="{E060BC15-4259-40EE-947C-21E97242AD7B}">
      <text>
        <r>
          <rPr>
            <sz val="9"/>
            <color indexed="81"/>
            <rFont val="Tahoma"/>
            <family val="2"/>
          </rPr>
          <t xml:space="preserve">(E)-CF3CH=CHCl
</t>
        </r>
      </text>
    </comment>
    <comment ref="C152" authorId="0" shapeId="0" xr:uid="{E547F22C-E6D3-432F-97A6-279D6520B3BF}">
      <text>
        <r>
          <rPr>
            <sz val="8"/>
            <color indexed="81"/>
            <rFont val="Tahoma"/>
            <family val="2"/>
          </rPr>
          <t xml:space="preserve">(IPCC AR6 WGI Table 7.SM.7)
</t>
        </r>
      </text>
    </comment>
    <comment ref="D152" authorId="0" shapeId="0" xr:uid="{050DB323-66BB-4DE2-811C-29EA96988F02}">
      <text>
        <r>
          <rPr>
            <sz val="9"/>
            <color indexed="81"/>
            <rFont val="Tahoma"/>
            <family val="2"/>
          </rPr>
          <t>Assumed similar to CFC-11, but no special estimation has been found</t>
        </r>
      </text>
    </comment>
    <comment ref="E152" authorId="0" shapeId="0" xr:uid="{31BD49E0-A68B-456C-8C38-1436677ECCEF}">
      <text>
        <r>
          <rPr>
            <sz val="9"/>
            <color indexed="81"/>
            <rFont val="Tahoma"/>
            <family val="2"/>
          </rPr>
          <t xml:space="preserve">Assumed to be low because of its short lifetime (0.116 years compared to 2 - 6 years for HCFC 225ca och cb, IPCC AR6 WG1 7.SM.table 7)
</t>
        </r>
      </text>
    </comment>
    <comment ref="F152" authorId="0" shapeId="0" xr:uid="{C99FAB89-8E3E-4911-BCE6-36E3D9DE349B}">
      <text>
        <r>
          <rPr>
            <sz val="9"/>
            <color indexed="81"/>
            <rFont val="Tahoma"/>
            <family val="2"/>
          </rPr>
          <t xml:space="preserve">No specific data available
</t>
        </r>
      </text>
    </comment>
    <comment ref="G152" authorId="0" shapeId="0" xr:uid="{EB96B05A-8D06-4A10-B7BF-B50F107F2553}">
      <text>
        <r>
          <rPr>
            <sz val="9"/>
            <color indexed="81"/>
            <rFont val="Tahoma"/>
            <family val="2"/>
          </rPr>
          <t xml:space="preserve">See note on CFC-11
</t>
        </r>
      </text>
    </comment>
    <comment ref="I152" authorId="0" shapeId="0" xr:uid="{63F78264-3AA3-4EEA-BDEE-05278D3966DF}">
      <text>
        <r>
          <rPr>
            <sz val="9"/>
            <color indexed="81"/>
            <rFont val="Tahoma"/>
            <family val="2"/>
          </rPr>
          <t xml:space="preserve">See note on CFC-11
</t>
        </r>
      </text>
    </comment>
    <comment ref="J152" authorId="0" shapeId="0" xr:uid="{3E67DCC3-F356-418F-B099-1CFA0C565898}">
      <text>
        <r>
          <rPr>
            <sz val="9"/>
            <color indexed="81"/>
            <rFont val="Tahoma"/>
            <family val="2"/>
          </rPr>
          <t xml:space="preserve">See notes on CFC11
</t>
        </r>
      </text>
    </comment>
    <comment ref="A153" authorId="0" shapeId="0" xr:uid="{4B96F6BF-716D-4F61-AD72-4CFAA66CC81A}">
      <text>
        <r>
          <rPr>
            <sz val="9"/>
            <color indexed="81"/>
            <rFont val="Tahoma"/>
            <family val="2"/>
          </rPr>
          <t>(Z)-CF3CH=CHCl</t>
        </r>
      </text>
    </comment>
    <comment ref="C153" authorId="0" shapeId="0" xr:uid="{2827205D-5525-44D3-9EA7-EB4E953B4172}">
      <text>
        <r>
          <rPr>
            <sz val="8"/>
            <color indexed="81"/>
            <rFont val="Tahoma"/>
            <family val="2"/>
          </rPr>
          <t xml:space="preserve">(IPCC AR6 WGI Table 7.SM.7)
</t>
        </r>
      </text>
    </comment>
    <comment ref="D153" authorId="0" shapeId="0" xr:uid="{18DB5471-99AB-4FA4-B328-A1630BE432AD}">
      <text>
        <r>
          <rPr>
            <sz val="9"/>
            <color indexed="81"/>
            <rFont val="Tahoma"/>
            <family val="2"/>
          </rPr>
          <t>Assumed similar to CFC-11, but no special estimation has been found</t>
        </r>
      </text>
    </comment>
    <comment ref="E153" authorId="0" shapeId="0" xr:uid="{FDD249CE-D01A-4A82-A6CB-DBC33C4510F5}">
      <text>
        <r>
          <rPr>
            <sz val="9"/>
            <color indexed="81"/>
            <rFont val="Tahoma"/>
            <family val="2"/>
          </rPr>
          <t xml:space="preserve">Assumed to be low because of its short lifetime (0.036 years compared to 2 - 6 years for HCFC 225ca och cb, IPCC AR6 WG1 7.SM.table 7)
</t>
        </r>
      </text>
    </comment>
    <comment ref="F153" authorId="0" shapeId="0" xr:uid="{4B041A73-8D5A-4BA3-A523-04D670382894}">
      <text>
        <r>
          <rPr>
            <sz val="9"/>
            <color indexed="81"/>
            <rFont val="Tahoma"/>
            <family val="2"/>
          </rPr>
          <t xml:space="preserve">No specific data available
</t>
        </r>
      </text>
    </comment>
    <comment ref="G153" authorId="0" shapeId="0" xr:uid="{30F9905D-E182-4DA8-8D04-25851344FAC1}">
      <text>
        <r>
          <rPr>
            <sz val="9"/>
            <color indexed="81"/>
            <rFont val="Tahoma"/>
            <family val="2"/>
          </rPr>
          <t xml:space="preserve">See note on CFC-11
</t>
        </r>
      </text>
    </comment>
    <comment ref="I153" authorId="0" shapeId="0" xr:uid="{AF0C0948-8C37-40B0-878C-E76D014E2C2C}">
      <text>
        <r>
          <rPr>
            <sz val="9"/>
            <color indexed="81"/>
            <rFont val="Tahoma"/>
            <family val="2"/>
          </rPr>
          <t xml:space="preserve">See note on CFC-11
</t>
        </r>
      </text>
    </comment>
    <comment ref="J153" authorId="0" shapeId="0" xr:uid="{72771939-DB41-4185-836B-07743ED938D0}">
      <text>
        <r>
          <rPr>
            <sz val="9"/>
            <color indexed="81"/>
            <rFont val="Tahoma"/>
            <family val="2"/>
          </rPr>
          <t xml:space="preserve">See notes on CFC11
</t>
        </r>
      </text>
    </comment>
    <comment ref="A154" authorId="0" shapeId="0" xr:uid="{2BEA36F2-8782-4D1C-96D2-62205AE96705}">
      <text>
        <r>
          <rPr>
            <sz val="9"/>
            <color indexed="81"/>
            <rFont val="Tahoma"/>
            <family val="2"/>
          </rPr>
          <t xml:space="preserve">(E/Z)-CHCl=CHF
</t>
        </r>
      </text>
    </comment>
    <comment ref="C154" authorId="0" shapeId="0" xr:uid="{73BD3B32-71C2-4E6D-9B70-14551F61FA29}">
      <text>
        <r>
          <rPr>
            <sz val="8"/>
            <color indexed="81"/>
            <rFont val="Tahoma"/>
            <family val="2"/>
          </rPr>
          <t xml:space="preserve">(IPCC AR6 WGI Table 7.SM.7)
</t>
        </r>
      </text>
    </comment>
    <comment ref="D154" authorId="0" shapeId="0" xr:uid="{28C9B6E0-84EE-4D35-8317-63950940A78F}">
      <text>
        <r>
          <rPr>
            <sz val="9"/>
            <color indexed="81"/>
            <rFont val="Tahoma"/>
            <family val="2"/>
          </rPr>
          <t>Assumed similar to CFC-11, but no special estimation has been found</t>
        </r>
      </text>
    </comment>
    <comment ref="E154" authorId="0" shapeId="0" xr:uid="{32E13DE6-3C45-4538-82C4-BD1AA5D7B0EF}">
      <text>
        <r>
          <rPr>
            <sz val="9"/>
            <color indexed="81"/>
            <rFont val="Tahoma"/>
            <family val="2"/>
          </rPr>
          <t xml:space="preserve">Assumed to be low because of its short lifetime (0.005 years compared to 2 - 6 years for HCFC 225ca och cb, IPCC AR6 WG1 7.SM.table 7)
</t>
        </r>
      </text>
    </comment>
    <comment ref="F154" authorId="0" shapeId="0" xr:uid="{1389AFC2-D8E9-46B9-9462-332B9766EF45}">
      <text>
        <r>
          <rPr>
            <sz val="9"/>
            <color indexed="81"/>
            <rFont val="Tahoma"/>
            <family val="2"/>
          </rPr>
          <t xml:space="preserve">No specific data available
</t>
        </r>
      </text>
    </comment>
    <comment ref="G154" authorId="0" shapeId="0" xr:uid="{7C48135F-DB0D-4039-B055-4A3615B65A33}">
      <text>
        <r>
          <rPr>
            <sz val="9"/>
            <color indexed="81"/>
            <rFont val="Tahoma"/>
            <family val="2"/>
          </rPr>
          <t xml:space="preserve">See note on CFC-11
</t>
        </r>
      </text>
    </comment>
    <comment ref="I154" authorId="0" shapeId="0" xr:uid="{CBF8B444-AFA2-40D0-94FC-606045587CDC}">
      <text>
        <r>
          <rPr>
            <sz val="9"/>
            <color indexed="81"/>
            <rFont val="Tahoma"/>
            <family val="2"/>
          </rPr>
          <t xml:space="preserve">See note on CFC-11
</t>
        </r>
      </text>
    </comment>
    <comment ref="J154" authorId="0" shapeId="0" xr:uid="{8DAC9450-A891-4B14-A213-067426A486F1}">
      <text>
        <r>
          <rPr>
            <sz val="9"/>
            <color indexed="81"/>
            <rFont val="Tahoma"/>
            <family val="2"/>
          </rPr>
          <t xml:space="preserve">See notes on CFC11
</t>
        </r>
      </text>
    </comment>
    <comment ref="A155" authorId="0" shapeId="0" xr:uid="{8D260014-0E4E-4DF2-9E82-2BEAA8CC6D43}">
      <text>
        <r>
          <rPr>
            <sz val="9"/>
            <color indexed="81"/>
            <rFont val="Tahoma"/>
            <family val="2"/>
          </rPr>
          <t xml:space="preserve">CHCl2CCl2CHClF
1,1,2,2,3-Pentachloro-3-fluoropropane
</t>
        </r>
      </text>
    </comment>
    <comment ref="C155" authorId="0" shapeId="0" xr:uid="{9D06434D-5FB1-474F-B2CD-AFD4E7CE45FE}">
      <text>
        <r>
          <rPr>
            <sz val="9"/>
            <color indexed="81"/>
            <rFont val="Tahoma"/>
            <family val="2"/>
          </rPr>
          <t>https://csl.noaa.gov/groups/csl5/datasets/data/hcfcs/Summary%20HCFC-231.pdf</t>
        </r>
      </text>
    </comment>
    <comment ref="D155" authorId="0" shapeId="0" xr:uid="{594A90DF-BE28-4863-975B-2BC012D9D2E4}">
      <text>
        <r>
          <rPr>
            <sz val="9"/>
            <color indexed="81"/>
            <rFont val="Tahoma"/>
            <family val="2"/>
          </rPr>
          <t xml:space="preserve">Uncertainty estimated from difference between well-mixed (38) and lifetime adjusted (27) GWP </t>
        </r>
      </text>
    </comment>
    <comment ref="E155" authorId="0" shapeId="0" xr:uid="{8BBDC4DC-D215-4DFE-8263-5377D50A12B7}">
      <text>
        <r>
          <rPr>
            <sz val="9"/>
            <color indexed="81"/>
            <rFont val="Tahoma"/>
            <family val="2"/>
          </rPr>
          <t>https://csl.noaa.gov/groups/csl5/datasets/data/hcfcs/Summary%20HCFC-231.pdf</t>
        </r>
      </text>
    </comment>
    <comment ref="F155" authorId="0" shapeId="0" xr:uid="{3BFE0442-D731-4029-8289-47A1EF3818AE}">
      <text>
        <r>
          <rPr>
            <sz val="9"/>
            <color indexed="81"/>
            <rFont val="Tahoma"/>
            <family val="2"/>
          </rPr>
          <t>Assumed to be subject to the same kind of uncertainties as the GWP estimate</t>
        </r>
        <r>
          <rPr>
            <sz val="9"/>
            <color indexed="81"/>
            <rFont val="Tahoma"/>
            <family val="2"/>
          </rPr>
          <t xml:space="preserve">
</t>
        </r>
      </text>
    </comment>
    <comment ref="G155" authorId="0" shapeId="0" xr:uid="{8F8A2975-C7DB-4F07-95C4-93ED81BC5213}">
      <text>
        <r>
          <rPr>
            <sz val="9"/>
            <color indexed="81"/>
            <rFont val="Tahoma"/>
            <family val="2"/>
          </rPr>
          <t xml:space="preserve">See note on CFC-11
</t>
        </r>
      </text>
    </comment>
    <comment ref="I155" authorId="0" shapeId="0" xr:uid="{8E4C0F93-259A-42B4-B04D-F0A7A49032B0}">
      <text>
        <r>
          <rPr>
            <sz val="9"/>
            <color indexed="81"/>
            <rFont val="Tahoma"/>
            <family val="2"/>
          </rPr>
          <t xml:space="preserve">See note on CFC-11
</t>
        </r>
      </text>
    </comment>
    <comment ref="J155" authorId="0" shapeId="0" xr:uid="{E834806D-435A-4635-8D60-747581EFE155}">
      <text>
        <r>
          <rPr>
            <sz val="9"/>
            <color indexed="81"/>
            <rFont val="Tahoma"/>
            <family val="2"/>
          </rPr>
          <t xml:space="preserve">See notes on CFC11
</t>
        </r>
      </text>
    </comment>
    <comment ref="A156" authorId="0" shapeId="0" xr:uid="{A8D01100-D456-4C1D-99F1-65927287205D}">
      <text>
        <r>
          <rPr>
            <sz val="9"/>
            <color indexed="81"/>
            <rFont val="Tahoma"/>
            <family val="2"/>
          </rPr>
          <t xml:space="preserve">CH2ClCCl2CCl2F
1,1,2,2,3-Pentachloro-1-fluoropropane
</t>
        </r>
      </text>
    </comment>
    <comment ref="C156" authorId="0" shapeId="0" xr:uid="{30DF6FBC-A264-4408-9B51-7B7BDA2D2301}">
      <text>
        <r>
          <rPr>
            <sz val="9"/>
            <color indexed="81"/>
            <rFont val="Tahoma"/>
            <family val="2"/>
          </rPr>
          <t>https://csl.noaa.gov/groups/csl5/datasets/data/hcfcs/Summary%20HCFC-231.pdf</t>
        </r>
      </text>
    </comment>
    <comment ref="D156" authorId="0" shapeId="0" xr:uid="{61566FEE-D57D-45C1-A4E2-464F6F59E175}">
      <text>
        <r>
          <rPr>
            <sz val="9"/>
            <color indexed="81"/>
            <rFont val="Tahoma"/>
            <family val="2"/>
          </rPr>
          <t xml:space="preserve">Uncertainty estimated from difference between well-mixed (92) and lifetime adjusted (75) GWP </t>
        </r>
      </text>
    </comment>
    <comment ref="E156" authorId="0" shapeId="0" xr:uid="{371458CA-DB28-43EC-819B-3064DA548CFE}">
      <text>
        <r>
          <rPr>
            <sz val="9"/>
            <color indexed="81"/>
            <rFont val="Tahoma"/>
            <family val="2"/>
          </rPr>
          <t>https://csl.noaa.gov/groups/csl5/datasets/data/hcfcs/Summary%20HCFC-231.pdf</t>
        </r>
      </text>
    </comment>
    <comment ref="F156" authorId="0" shapeId="0" xr:uid="{C5856FA5-1937-4FEB-82A5-6C68D09078A0}">
      <text>
        <r>
          <rPr>
            <sz val="9"/>
            <color indexed="81"/>
            <rFont val="Tahoma"/>
            <family val="2"/>
          </rPr>
          <t>Assumed to be subject to the same kind of uncertainties as the GWP estimate</t>
        </r>
        <r>
          <rPr>
            <sz val="9"/>
            <color indexed="81"/>
            <rFont val="Tahoma"/>
            <family val="2"/>
          </rPr>
          <t xml:space="preserve">
</t>
        </r>
      </text>
    </comment>
    <comment ref="G156" authorId="0" shapeId="0" xr:uid="{5B4631A4-65E3-440D-822B-2118691876D9}">
      <text>
        <r>
          <rPr>
            <sz val="9"/>
            <color indexed="81"/>
            <rFont val="Tahoma"/>
            <family val="2"/>
          </rPr>
          <t xml:space="preserve">See note on CFC-11
</t>
        </r>
      </text>
    </comment>
    <comment ref="I156" authorId="0" shapeId="0" xr:uid="{D1A3E81C-3515-4600-B318-E6CBA5F7A704}">
      <text>
        <r>
          <rPr>
            <sz val="9"/>
            <color indexed="81"/>
            <rFont val="Tahoma"/>
            <family val="2"/>
          </rPr>
          <t xml:space="preserve">See note on CFC-11
</t>
        </r>
      </text>
    </comment>
    <comment ref="J156" authorId="0" shapeId="0" xr:uid="{2F1DEE65-D7E6-496E-9F2C-A9188E0E9101}">
      <text>
        <r>
          <rPr>
            <sz val="9"/>
            <color indexed="81"/>
            <rFont val="Tahoma"/>
            <family val="2"/>
          </rPr>
          <t xml:space="preserve">See notes on CFC11
</t>
        </r>
      </text>
    </comment>
    <comment ref="A157" authorId="0" shapeId="0" xr:uid="{8D9D3F22-F033-4D7A-B6D2-19B2B7BDBB67}">
      <text>
        <r>
          <rPr>
            <sz val="9"/>
            <color indexed="81"/>
            <rFont val="Tahoma"/>
            <family val="2"/>
          </rPr>
          <t xml:space="preserve">CH2FCCl2CCl3,
1,1,1,2,2-Pentachloro-3-fluoropropane
</t>
        </r>
      </text>
    </comment>
    <comment ref="C157" authorId="0" shapeId="0" xr:uid="{236F522F-B375-4755-8D60-6F983C090B58}">
      <text>
        <r>
          <rPr>
            <sz val="9"/>
            <color indexed="81"/>
            <rFont val="Tahoma"/>
            <family val="2"/>
          </rPr>
          <t>https://csl.noaa.gov/groups/csl5/datasets/data/hcfcs/Summary%20HCFC-231.pdf</t>
        </r>
      </text>
    </comment>
    <comment ref="D157" authorId="0" shapeId="0" xr:uid="{C22CD7BA-9EDC-4AE8-80FF-D312F3FEBEE0}">
      <text>
        <r>
          <rPr>
            <sz val="9"/>
            <color indexed="81"/>
            <rFont val="Tahoma"/>
            <family val="2"/>
          </rPr>
          <t xml:space="preserve">Uncertainty estimated from difference between well-mixed (110) and lifetime adjusted (94) GWP </t>
        </r>
      </text>
    </comment>
    <comment ref="E157" authorId="0" shapeId="0" xr:uid="{6D133E33-D58E-4CEB-84F7-36989C880BD0}">
      <text>
        <r>
          <rPr>
            <sz val="9"/>
            <color indexed="81"/>
            <rFont val="Tahoma"/>
            <family val="2"/>
          </rPr>
          <t>https://csl.noaa.gov/groups/csl5/datasets/data/hcfcs/Summary%20HCFC-231.pdf</t>
        </r>
      </text>
    </comment>
    <comment ref="F157" authorId="0" shapeId="0" xr:uid="{9778B2AA-9B54-495B-940B-116F7BB24F24}">
      <text>
        <r>
          <rPr>
            <sz val="9"/>
            <color indexed="81"/>
            <rFont val="Tahoma"/>
            <family val="2"/>
          </rPr>
          <t>Assumed to be subject to the same kind of uncertainties as the GWP estimate</t>
        </r>
        <r>
          <rPr>
            <sz val="9"/>
            <color indexed="81"/>
            <rFont val="Tahoma"/>
            <family val="2"/>
          </rPr>
          <t xml:space="preserve">
</t>
        </r>
      </text>
    </comment>
    <comment ref="G157" authorId="0" shapeId="0" xr:uid="{F74B8C66-8D0D-40AC-ACC3-BDC7243F9B04}">
      <text>
        <r>
          <rPr>
            <sz val="9"/>
            <color indexed="81"/>
            <rFont val="Tahoma"/>
            <family val="2"/>
          </rPr>
          <t xml:space="preserve">See note on CFC-11
</t>
        </r>
      </text>
    </comment>
    <comment ref="I157" authorId="0" shapeId="0" xr:uid="{69EF63EB-0AD1-4551-91BB-3B51E4D35A6C}">
      <text>
        <r>
          <rPr>
            <sz val="9"/>
            <color indexed="81"/>
            <rFont val="Tahoma"/>
            <family val="2"/>
          </rPr>
          <t xml:space="preserve">See note on CFC-11
</t>
        </r>
      </text>
    </comment>
    <comment ref="J157" authorId="0" shapeId="0" xr:uid="{BCA9FA9B-37C5-44E8-9E20-8BBD5BF34B45}">
      <text>
        <r>
          <rPr>
            <sz val="9"/>
            <color indexed="81"/>
            <rFont val="Tahoma"/>
            <family val="2"/>
          </rPr>
          <t xml:space="preserve">See notes on CFC11
</t>
        </r>
      </text>
    </comment>
    <comment ref="A158" authorId="0" shapeId="0" xr:uid="{CB5054C7-73B5-41ED-8911-5DFF322720EC}">
      <text>
        <r>
          <rPr>
            <sz val="9"/>
            <color indexed="81"/>
            <rFont val="Tahoma"/>
            <family val="2"/>
          </rPr>
          <t xml:space="preserve">CHCl2CClFCHCl2,
1,1,2,3,3-Pentachloro-2-fluoropropane
</t>
        </r>
      </text>
    </comment>
    <comment ref="C158" authorId="0" shapeId="0" xr:uid="{BC43DB85-3EE0-4060-B73B-CF37D4FE3E14}">
      <text>
        <r>
          <rPr>
            <sz val="9"/>
            <color indexed="81"/>
            <rFont val="Tahoma"/>
            <family val="2"/>
          </rPr>
          <t>https://csl.noaa.gov/groups/csl5/datasets/data/hcfcs/Summary%20HCFC-231.pdf</t>
        </r>
      </text>
    </comment>
    <comment ref="D158" authorId="0" shapeId="0" xr:uid="{49647ABA-0DDD-4A91-BD4B-75D2F68C4A21}">
      <text>
        <r>
          <rPr>
            <sz val="9"/>
            <color indexed="81"/>
            <rFont val="Tahoma"/>
            <family val="2"/>
          </rPr>
          <t xml:space="preserve">Uncertainty estimated from difference between well-mixed (26) and lifetime adjusted (17) GWP </t>
        </r>
      </text>
    </comment>
    <comment ref="E158" authorId="0" shapeId="0" xr:uid="{B31069F3-2D54-4530-B14C-5B7BEEEEB8C0}">
      <text>
        <r>
          <rPr>
            <sz val="9"/>
            <color indexed="81"/>
            <rFont val="Tahoma"/>
            <family val="2"/>
          </rPr>
          <t>https://csl.noaa.gov/groups/csl5/datasets/data/hcfcs/Summary%20HCFC-231.pdf</t>
        </r>
      </text>
    </comment>
    <comment ref="F158" authorId="0" shapeId="0" xr:uid="{656CE862-A67E-4651-AFB5-705F9EF0EECB}">
      <text>
        <r>
          <rPr>
            <sz val="9"/>
            <color indexed="81"/>
            <rFont val="Tahoma"/>
            <family val="2"/>
          </rPr>
          <t>Assumed to be subject to the same kind of uncertainties as the GWP estimate</t>
        </r>
        <r>
          <rPr>
            <sz val="9"/>
            <color indexed="81"/>
            <rFont val="Tahoma"/>
            <family val="2"/>
          </rPr>
          <t xml:space="preserve">
</t>
        </r>
      </text>
    </comment>
    <comment ref="G158" authorId="0" shapeId="0" xr:uid="{281F47E5-9B00-4CD6-B8E5-6F2BDD72BE86}">
      <text>
        <r>
          <rPr>
            <sz val="9"/>
            <color indexed="81"/>
            <rFont val="Tahoma"/>
            <family val="2"/>
          </rPr>
          <t xml:space="preserve">See note on CFC-11
</t>
        </r>
      </text>
    </comment>
    <comment ref="I158" authorId="0" shapeId="0" xr:uid="{A895BB8C-EE53-4BE4-8C6A-2399A43A5A01}">
      <text>
        <r>
          <rPr>
            <sz val="9"/>
            <color indexed="81"/>
            <rFont val="Tahoma"/>
            <family val="2"/>
          </rPr>
          <t xml:space="preserve">See note on CFC-11
</t>
        </r>
      </text>
    </comment>
    <comment ref="J158" authorId="0" shapeId="0" xr:uid="{EBC4AF28-3FC7-4E0E-B59C-3E721253E1FB}">
      <text>
        <r>
          <rPr>
            <sz val="9"/>
            <color indexed="81"/>
            <rFont val="Tahoma"/>
            <family val="2"/>
          </rPr>
          <t xml:space="preserve">See notes on CFC11
</t>
        </r>
      </text>
    </comment>
    <comment ref="A159" authorId="0" shapeId="0" xr:uid="{CA2591B1-2DD2-441C-8BDC-53A6C4E8786E}">
      <text>
        <r>
          <rPr>
            <sz val="9"/>
            <color indexed="81"/>
            <rFont val="Tahoma"/>
            <family val="2"/>
          </rPr>
          <t xml:space="preserve">CHCl2CHClCCl2F,
1,1,2,3,3-Pentachloro-1-fluoropropane
</t>
        </r>
      </text>
    </comment>
    <comment ref="C159" authorId="0" shapeId="0" xr:uid="{572C8048-86A4-4652-9D6F-53EA456A775F}">
      <text>
        <r>
          <rPr>
            <sz val="9"/>
            <color indexed="81"/>
            <rFont val="Tahoma"/>
            <family val="2"/>
          </rPr>
          <t>https://csl.noaa.gov/groups/csl5/datasets/data/hcfcs/Summary%20HCFC-231.pdf</t>
        </r>
      </text>
    </comment>
    <comment ref="D159" authorId="0" shapeId="0" xr:uid="{DB2F11CA-BC85-4387-AF9A-C08AC4D2DE3F}">
      <text>
        <r>
          <rPr>
            <sz val="9"/>
            <color indexed="81"/>
            <rFont val="Tahoma"/>
            <family val="2"/>
          </rPr>
          <t xml:space="preserve">Uncertainty estimated from difference between well-mixed (31) and lifetime adjusted (19) GWP </t>
        </r>
      </text>
    </comment>
    <comment ref="E159" authorId="0" shapeId="0" xr:uid="{E8A836F3-C711-4E64-BBE7-0EDFA1C07225}">
      <text>
        <r>
          <rPr>
            <sz val="9"/>
            <color indexed="81"/>
            <rFont val="Tahoma"/>
            <family val="2"/>
          </rPr>
          <t>https://csl.noaa.gov/groups/csl5/datasets/data/hcfcs/Summary%20HCFC-231.pdf</t>
        </r>
      </text>
    </comment>
    <comment ref="F159" authorId="0" shapeId="0" xr:uid="{47B51E78-AD56-44AC-BC6B-0006220EE557}">
      <text>
        <r>
          <rPr>
            <sz val="9"/>
            <color indexed="81"/>
            <rFont val="Tahoma"/>
            <family val="2"/>
          </rPr>
          <t>Assumed to be subject to the same kind of uncertainties as the GWP estimate</t>
        </r>
        <r>
          <rPr>
            <sz val="9"/>
            <color indexed="81"/>
            <rFont val="Tahoma"/>
            <family val="2"/>
          </rPr>
          <t xml:space="preserve">
</t>
        </r>
      </text>
    </comment>
    <comment ref="G159" authorId="0" shapeId="0" xr:uid="{1DA3AFF2-470F-4022-BF11-3FB5C0A329E4}">
      <text>
        <r>
          <rPr>
            <sz val="9"/>
            <color indexed="81"/>
            <rFont val="Tahoma"/>
            <family val="2"/>
          </rPr>
          <t xml:space="preserve">See note on CFC-11
</t>
        </r>
      </text>
    </comment>
    <comment ref="I159" authorId="0" shapeId="0" xr:uid="{B3E32D6C-134F-472A-80E2-DA6D1896FA41}">
      <text>
        <r>
          <rPr>
            <sz val="9"/>
            <color indexed="81"/>
            <rFont val="Tahoma"/>
            <family val="2"/>
          </rPr>
          <t xml:space="preserve">See note on CFC-11
</t>
        </r>
      </text>
    </comment>
    <comment ref="J159" authorId="0" shapeId="0" xr:uid="{7B7792C7-BA16-42BF-8CE3-6C31002DEA6B}">
      <text>
        <r>
          <rPr>
            <sz val="9"/>
            <color indexed="81"/>
            <rFont val="Tahoma"/>
            <family val="2"/>
          </rPr>
          <t xml:space="preserve">See notes on CFC11
</t>
        </r>
      </text>
    </comment>
    <comment ref="A160" authorId="0" shapeId="0" xr:uid="{79EA9EE1-1653-4C03-B83F-889482823302}">
      <text>
        <r>
          <rPr>
            <sz val="9"/>
            <color indexed="81"/>
            <rFont val="Tahoma"/>
            <family val="2"/>
          </rPr>
          <t xml:space="preserve">CHClFCHClCCl3,
1,1,1,2,3-Pentachloro-3-fluoropropane
</t>
        </r>
      </text>
    </comment>
    <comment ref="C160" authorId="0" shapeId="0" xr:uid="{252222F1-9BDF-424A-8EA0-0561B69E1CCD}">
      <text>
        <r>
          <rPr>
            <sz val="9"/>
            <color indexed="81"/>
            <rFont val="Tahoma"/>
            <family val="2"/>
          </rPr>
          <t>https://csl.noaa.gov/groups/csl5/datasets/data/hcfcs/Summary%20HCFC-231.pdf</t>
        </r>
      </text>
    </comment>
    <comment ref="D160" authorId="0" shapeId="0" xr:uid="{A7876D93-F534-4C55-A8AB-F792D2E47DDA}">
      <text>
        <r>
          <rPr>
            <sz val="9"/>
            <color indexed="81"/>
            <rFont val="Tahoma"/>
            <family val="2"/>
          </rPr>
          <t xml:space="preserve">Uncertainty estimated from difference between well-mixed (64) and lifetime adjusted (50) GWP </t>
        </r>
      </text>
    </comment>
    <comment ref="E160" authorId="0" shapeId="0" xr:uid="{C82C530C-5E57-498D-9C47-3FCA7475DD56}">
      <text>
        <r>
          <rPr>
            <sz val="9"/>
            <color indexed="81"/>
            <rFont val="Tahoma"/>
            <family val="2"/>
          </rPr>
          <t>https://csl.noaa.gov/groups/csl5/datasets/data/hcfcs/Summary%20HCFC-231.pdf</t>
        </r>
      </text>
    </comment>
    <comment ref="F160" authorId="0" shapeId="0" xr:uid="{A1C66FB0-F12E-4933-B5C9-930F878F8E91}">
      <text>
        <r>
          <rPr>
            <sz val="9"/>
            <color indexed="81"/>
            <rFont val="Tahoma"/>
            <family val="2"/>
          </rPr>
          <t>Assumed to be subject to the same kind of uncertainties as the GWP estimate</t>
        </r>
        <r>
          <rPr>
            <sz val="9"/>
            <color indexed="81"/>
            <rFont val="Tahoma"/>
            <family val="2"/>
          </rPr>
          <t xml:space="preserve">
</t>
        </r>
      </text>
    </comment>
    <comment ref="G160" authorId="0" shapeId="0" xr:uid="{A2C1499C-5ECB-4494-8753-B485C374D07B}">
      <text>
        <r>
          <rPr>
            <sz val="9"/>
            <color indexed="81"/>
            <rFont val="Tahoma"/>
            <family val="2"/>
          </rPr>
          <t xml:space="preserve">See note on CFC-11
</t>
        </r>
      </text>
    </comment>
    <comment ref="I160" authorId="0" shapeId="0" xr:uid="{F574C6B3-B51D-48CA-860E-C48BEE13C3DA}">
      <text>
        <r>
          <rPr>
            <sz val="9"/>
            <color indexed="81"/>
            <rFont val="Tahoma"/>
            <family val="2"/>
          </rPr>
          <t xml:space="preserve">See note on CFC-11
</t>
        </r>
      </text>
    </comment>
    <comment ref="J160" authorId="0" shapeId="0" xr:uid="{96CBF82C-35FC-4AE3-B473-E4322EFCB971}">
      <text>
        <r>
          <rPr>
            <sz val="9"/>
            <color indexed="81"/>
            <rFont val="Tahoma"/>
            <family val="2"/>
          </rPr>
          <t xml:space="preserve">See notes on CFC11
</t>
        </r>
      </text>
    </comment>
    <comment ref="A161" authorId="0" shapeId="0" xr:uid="{EEF93EDA-24F2-48D6-9026-80CE411917B9}">
      <text>
        <r>
          <rPr>
            <sz val="9"/>
            <color indexed="81"/>
            <rFont val="Tahoma"/>
            <family val="2"/>
          </rPr>
          <t xml:space="preserve">CHCl2CHFCCl3,
1,1,1,3,3-Pentachloro-2-fluoropropane
</t>
        </r>
      </text>
    </comment>
    <comment ref="C161" authorId="0" shapeId="0" xr:uid="{BF7158F4-8A14-4EA0-948B-52327B350B18}">
      <text>
        <r>
          <rPr>
            <sz val="9"/>
            <color indexed="81"/>
            <rFont val="Tahoma"/>
            <family val="2"/>
          </rPr>
          <t>https://csl.noaa.gov/groups/csl5/datasets/data/hcfcs/Summary%20HCFC-231.pdf</t>
        </r>
      </text>
    </comment>
    <comment ref="D161" authorId="0" shapeId="0" xr:uid="{F270F188-EE1C-41A1-9D52-40764B6EFBCD}">
      <text>
        <r>
          <rPr>
            <sz val="9"/>
            <color indexed="81"/>
            <rFont val="Tahoma"/>
            <family val="2"/>
          </rPr>
          <t xml:space="preserve">Uncertainty estimated from difference between well-mixed (38) and lifetime adjusted (26) GWP </t>
        </r>
      </text>
    </comment>
    <comment ref="E161" authorId="0" shapeId="0" xr:uid="{83E13200-70DC-45CC-83C4-2301FEFA3DD2}">
      <text>
        <r>
          <rPr>
            <sz val="9"/>
            <color indexed="81"/>
            <rFont val="Tahoma"/>
            <family val="2"/>
          </rPr>
          <t>https://csl.noaa.gov/groups/csl5/datasets/data/hcfcs/Summary%20HCFC-231.pdf</t>
        </r>
      </text>
    </comment>
    <comment ref="F161" authorId="0" shapeId="0" xr:uid="{89BF2C46-3F3D-4D4F-818C-DF4585E99642}">
      <text>
        <r>
          <rPr>
            <sz val="9"/>
            <color indexed="81"/>
            <rFont val="Tahoma"/>
            <family val="2"/>
          </rPr>
          <t>Assumed to be subject to the same kind of uncertainties as the GWP estimate</t>
        </r>
        <r>
          <rPr>
            <sz val="9"/>
            <color indexed="81"/>
            <rFont val="Tahoma"/>
            <family val="2"/>
          </rPr>
          <t xml:space="preserve">
</t>
        </r>
      </text>
    </comment>
    <comment ref="G161" authorId="0" shapeId="0" xr:uid="{4268239F-B25B-42B6-A4AC-9F2F93D42223}">
      <text>
        <r>
          <rPr>
            <sz val="9"/>
            <color indexed="81"/>
            <rFont val="Tahoma"/>
            <family val="2"/>
          </rPr>
          <t xml:space="preserve">See note on CFC-11
</t>
        </r>
      </text>
    </comment>
    <comment ref="I161" authorId="0" shapeId="0" xr:uid="{A328878F-A550-455D-A70E-2F19E8437733}">
      <text>
        <r>
          <rPr>
            <sz val="9"/>
            <color indexed="81"/>
            <rFont val="Tahoma"/>
            <family val="2"/>
          </rPr>
          <t xml:space="preserve">See note on CFC-11
</t>
        </r>
      </text>
    </comment>
    <comment ref="J161" authorId="0" shapeId="0" xr:uid="{4322C57E-6FB8-41CB-A5CE-BF6FEFBBC999}">
      <text>
        <r>
          <rPr>
            <sz val="9"/>
            <color indexed="81"/>
            <rFont val="Tahoma"/>
            <family val="2"/>
          </rPr>
          <t xml:space="preserve">See notes on CFC11
</t>
        </r>
      </text>
    </comment>
    <comment ref="A162" authorId="0" shapeId="0" xr:uid="{E41CAF4E-2C9E-4B89-B5D5-85C7BC9E00A2}">
      <text>
        <r>
          <rPr>
            <sz val="9"/>
            <color indexed="81"/>
            <rFont val="Tahoma"/>
            <family val="2"/>
          </rPr>
          <t xml:space="preserve">CCl2FCH2CCl3,
1,1,1,3,3-Pentachloro-3-fluoropropane
</t>
        </r>
      </text>
    </comment>
    <comment ref="D162" authorId="0" shapeId="0" xr:uid="{6A297299-21F3-4683-BE4B-FA9131DD3DA7}">
      <text>
        <r>
          <rPr>
            <sz val="9"/>
            <color indexed="81"/>
            <rFont val="Tahoma"/>
            <family val="2"/>
          </rPr>
          <t xml:space="preserve">Uncertainty estimated from difference between well-mixed (371) and lifetime adjusted (346) GWP </t>
        </r>
      </text>
    </comment>
    <comment ref="E162" authorId="0" shapeId="0" xr:uid="{6294D1E0-75E8-4C8D-9AD8-DB79AF32F5EA}">
      <text>
        <r>
          <rPr>
            <sz val="9"/>
            <color indexed="81"/>
            <rFont val="Tahoma"/>
            <family val="2"/>
          </rPr>
          <t>https://csl.noaa.gov/groups/csl5/datasets/data/hcfcs/Summary%20HCFC-231.pdf</t>
        </r>
      </text>
    </comment>
    <comment ref="F162" authorId="0" shapeId="0" xr:uid="{8D82237A-5B12-4D85-BD49-845EE9DF6D84}">
      <text>
        <r>
          <rPr>
            <sz val="9"/>
            <color indexed="81"/>
            <rFont val="Tahoma"/>
            <family val="2"/>
          </rPr>
          <t>Assumed to be subject to the same kind of uncertainties as the GWP estimate</t>
        </r>
        <r>
          <rPr>
            <sz val="9"/>
            <color indexed="81"/>
            <rFont val="Tahoma"/>
            <family val="2"/>
          </rPr>
          <t xml:space="preserve">
</t>
        </r>
      </text>
    </comment>
    <comment ref="G162" authorId="0" shapeId="0" xr:uid="{220E45E0-838A-4132-9DE0-F8912543E095}">
      <text>
        <r>
          <rPr>
            <sz val="9"/>
            <color indexed="81"/>
            <rFont val="Tahoma"/>
            <family val="2"/>
          </rPr>
          <t xml:space="preserve">See note on CFC-11
</t>
        </r>
      </text>
    </comment>
    <comment ref="I162" authorId="0" shapeId="0" xr:uid="{BC86E257-AD7A-46AC-BBA2-3E0CA4690994}">
      <text>
        <r>
          <rPr>
            <sz val="9"/>
            <color indexed="81"/>
            <rFont val="Tahoma"/>
            <family val="2"/>
          </rPr>
          <t xml:space="preserve">See note on CFC-11
</t>
        </r>
      </text>
    </comment>
    <comment ref="J162" authorId="0" shapeId="0" xr:uid="{9443F3D6-0677-4B72-9EDF-13904AA655F4}">
      <text>
        <r>
          <rPr>
            <sz val="9"/>
            <color indexed="81"/>
            <rFont val="Tahoma"/>
            <family val="2"/>
          </rPr>
          <t xml:space="preserve">See notes on CFC11
</t>
        </r>
      </text>
    </comment>
    <comment ref="A163" authorId="0" shapeId="0" xr:uid="{52CEFF44-F9EF-4394-94A8-8E643D42097E}">
      <text>
        <r>
          <rPr>
            <sz val="9"/>
            <color indexed="81"/>
            <rFont val="Tahoma"/>
            <family val="2"/>
          </rPr>
          <t xml:space="preserve">CHClFCCl2CHClF,
1,2,2,3-Tetrachloro-1,3-difluoropropane
</t>
        </r>
      </text>
    </comment>
    <comment ref="C163" authorId="0" shapeId="0" xr:uid="{464EB660-9C21-4FC9-8278-DA2B379581FF}">
      <text>
        <r>
          <rPr>
            <sz val="9"/>
            <color indexed="81"/>
            <rFont val="Tahoma"/>
            <family val="2"/>
          </rPr>
          <t>https://csl.noaa.gov/groups/csl5/datasets/data/hcfcs/Summary%20HCFC-232.pdf</t>
        </r>
      </text>
    </comment>
    <comment ref="D163" authorId="0" shapeId="0" xr:uid="{3CCF721D-EBDC-4561-8527-F26553CC1E52}">
      <text>
        <r>
          <rPr>
            <sz val="9"/>
            <color indexed="81"/>
            <rFont val="Tahoma"/>
            <family val="2"/>
          </rPr>
          <t xml:space="preserve">Uncertainty estimated from difference between well-mixed (100) and lifetime adjusted (82) GWP </t>
        </r>
      </text>
    </comment>
    <comment ref="E163" authorId="0" shapeId="0" xr:uid="{A8261E78-C54F-4594-989E-0DAC3FFCA5F0}">
      <text>
        <r>
          <rPr>
            <sz val="9"/>
            <color indexed="81"/>
            <rFont val="Tahoma"/>
            <family val="2"/>
          </rPr>
          <t>https://csl.noaa.gov/groups/csl5/datasets/data/hcfcs/Summary%20HCFC-232.pdf</t>
        </r>
      </text>
    </comment>
    <comment ref="F163" authorId="0" shapeId="0" xr:uid="{4D2F0E64-C9A8-4BF2-8636-8E79FEEAB127}">
      <text>
        <r>
          <rPr>
            <sz val="9"/>
            <color indexed="81"/>
            <rFont val="Tahoma"/>
            <family val="2"/>
          </rPr>
          <t>Assumed to be subject to the same kind of uncertainties as the GWP estimate</t>
        </r>
        <r>
          <rPr>
            <sz val="9"/>
            <color indexed="81"/>
            <rFont val="Tahoma"/>
            <family val="2"/>
          </rPr>
          <t xml:space="preserve">
</t>
        </r>
      </text>
    </comment>
    <comment ref="G163" authorId="0" shapeId="0" xr:uid="{88B341D6-BE1D-4030-9886-32166204B34F}">
      <text>
        <r>
          <rPr>
            <sz val="9"/>
            <color indexed="81"/>
            <rFont val="Tahoma"/>
            <family val="2"/>
          </rPr>
          <t xml:space="preserve">See note on CFC-11
</t>
        </r>
      </text>
    </comment>
    <comment ref="I163" authorId="0" shapeId="0" xr:uid="{12B45374-12D5-4AB8-8D6B-880064C33DF8}">
      <text>
        <r>
          <rPr>
            <sz val="9"/>
            <color indexed="81"/>
            <rFont val="Tahoma"/>
            <family val="2"/>
          </rPr>
          <t xml:space="preserve">See note on CFC-11
</t>
        </r>
      </text>
    </comment>
    <comment ref="J163" authorId="0" shapeId="0" xr:uid="{573089E3-EC4C-4203-A0F1-2361D8621AE3}">
      <text>
        <r>
          <rPr>
            <sz val="9"/>
            <color indexed="81"/>
            <rFont val="Tahoma"/>
            <family val="2"/>
          </rPr>
          <t xml:space="preserve">See notes on CFC11
</t>
        </r>
      </text>
    </comment>
    <comment ref="A164" authorId="0" shapeId="0" xr:uid="{E6819600-D090-4DE1-857D-EE2B40E34D69}">
      <text>
        <r>
          <rPr>
            <sz val="9"/>
            <color indexed="81"/>
            <rFont val="Tahoma"/>
            <family val="2"/>
          </rPr>
          <t xml:space="preserve">CHCl2CCl2CHF2,
1,1,2,2-Tetrachloro-3,3-difluoropropane
</t>
        </r>
      </text>
    </comment>
    <comment ref="C164" authorId="0" shapeId="0" xr:uid="{0BD4DF37-F988-49FF-88DE-3811B174B11D}">
      <text>
        <r>
          <rPr>
            <sz val="9"/>
            <color indexed="81"/>
            <rFont val="Tahoma"/>
            <family val="2"/>
          </rPr>
          <t>https://csl.noaa.gov/groups/csl5/datasets/data/hcfcs/Summary%20HCFC-232.pdf</t>
        </r>
      </text>
    </comment>
    <comment ref="D164" authorId="0" shapeId="0" xr:uid="{7B24F05A-2F07-4240-A1AF-6BF5479EDF8F}">
      <text>
        <r>
          <rPr>
            <sz val="9"/>
            <color indexed="81"/>
            <rFont val="Tahoma"/>
            <family val="2"/>
          </rPr>
          <t xml:space="preserve">Uncertainty estimated from difference between well-mixed (55) and lifetime adjusted (41) GWP </t>
        </r>
      </text>
    </comment>
    <comment ref="E164" authorId="0" shapeId="0" xr:uid="{E2B3A2BE-8313-4892-AC04-F766B8108978}">
      <text>
        <r>
          <rPr>
            <sz val="9"/>
            <color indexed="81"/>
            <rFont val="Tahoma"/>
            <family val="2"/>
          </rPr>
          <t>https://csl.noaa.gov/groups/csl5/datasets/data/hcfcs/Summary%20HCFC-232.pdf</t>
        </r>
      </text>
    </comment>
    <comment ref="F164" authorId="0" shapeId="0" xr:uid="{1A181E10-0358-483C-8ED2-297197B737FE}">
      <text>
        <r>
          <rPr>
            <sz val="9"/>
            <color indexed="81"/>
            <rFont val="Tahoma"/>
            <family val="2"/>
          </rPr>
          <t>Assumed to be subject to the same kind of uncertainties as the GWP estimate</t>
        </r>
        <r>
          <rPr>
            <sz val="9"/>
            <color indexed="81"/>
            <rFont val="Tahoma"/>
            <family val="2"/>
          </rPr>
          <t xml:space="preserve">
</t>
        </r>
      </text>
    </comment>
    <comment ref="G164" authorId="0" shapeId="0" xr:uid="{4460A9ED-84F9-4093-9F95-5A005AB079FA}">
      <text>
        <r>
          <rPr>
            <sz val="9"/>
            <color indexed="81"/>
            <rFont val="Tahoma"/>
            <family val="2"/>
          </rPr>
          <t xml:space="preserve">See note on CFC-11
</t>
        </r>
      </text>
    </comment>
    <comment ref="I164" authorId="0" shapeId="0" xr:uid="{1B56B96E-10D1-4802-8F1D-5EA4770B2017}">
      <text>
        <r>
          <rPr>
            <sz val="9"/>
            <color indexed="81"/>
            <rFont val="Tahoma"/>
            <family val="2"/>
          </rPr>
          <t xml:space="preserve">See note on CFC-11
</t>
        </r>
      </text>
    </comment>
    <comment ref="J164" authorId="0" shapeId="0" xr:uid="{F02EAC45-DC48-4876-BB38-4110695F92D9}">
      <text>
        <r>
          <rPr>
            <sz val="9"/>
            <color indexed="81"/>
            <rFont val="Tahoma"/>
            <family val="2"/>
          </rPr>
          <t xml:space="preserve">See notes on CFC11
</t>
        </r>
      </text>
    </comment>
    <comment ref="A165" authorId="0" shapeId="0" xr:uid="{45C837E7-790B-4799-B679-DB6E931C0A7E}">
      <text>
        <r>
          <rPr>
            <sz val="9"/>
            <color indexed="81"/>
            <rFont val="Tahoma"/>
            <family val="2"/>
          </rPr>
          <t xml:space="preserve">CH2ClCCl2CClF2,
1,2,2,3-Tetrachloro-1,1-difluoropropane
</t>
        </r>
      </text>
    </comment>
    <comment ref="C165" authorId="0" shapeId="0" xr:uid="{45892145-DA62-4305-AC09-4ACF08D9B532}">
      <text>
        <r>
          <rPr>
            <sz val="9"/>
            <color indexed="81"/>
            <rFont val="Tahoma"/>
            <family val="2"/>
          </rPr>
          <t>https://csl.noaa.gov/groups/csl5/datasets/data/hcfcs/Summary%20HCFC-232.pdf</t>
        </r>
      </text>
    </comment>
    <comment ref="D165" authorId="0" shapeId="0" xr:uid="{A39E741C-0F85-467B-84DF-83CA304D33BA}">
      <text>
        <r>
          <rPr>
            <sz val="9"/>
            <color indexed="81"/>
            <rFont val="Tahoma"/>
            <family val="2"/>
          </rPr>
          <t xml:space="preserve">Uncertainty estimated from difference between well-mixed (183) and lifetime adjusted (159) GWP </t>
        </r>
      </text>
    </comment>
    <comment ref="E165" authorId="0" shapeId="0" xr:uid="{7BD37D8F-B4F4-4F8D-94C5-83F217540413}">
      <text>
        <r>
          <rPr>
            <sz val="9"/>
            <color indexed="81"/>
            <rFont val="Tahoma"/>
            <family val="2"/>
          </rPr>
          <t>https://csl.noaa.gov/groups/csl5/datasets/data/hcfcs/Summary%20HCFC-232.pdf</t>
        </r>
      </text>
    </comment>
    <comment ref="F165" authorId="0" shapeId="0" xr:uid="{62CFBE9A-2F82-44FE-9A7E-207F5D1D5BD0}">
      <text>
        <r>
          <rPr>
            <sz val="9"/>
            <color indexed="81"/>
            <rFont val="Tahoma"/>
            <family val="2"/>
          </rPr>
          <t>Assumed to be subject to the same kind of uncertainties as the GWP estimate</t>
        </r>
        <r>
          <rPr>
            <sz val="9"/>
            <color indexed="81"/>
            <rFont val="Tahoma"/>
            <family val="2"/>
          </rPr>
          <t xml:space="preserve">
</t>
        </r>
      </text>
    </comment>
    <comment ref="G165" authorId="0" shapeId="0" xr:uid="{704DC8FF-5199-428C-9F69-B4458ECA427C}">
      <text>
        <r>
          <rPr>
            <sz val="9"/>
            <color indexed="81"/>
            <rFont val="Tahoma"/>
            <family val="2"/>
          </rPr>
          <t xml:space="preserve">See note on CFC-11
</t>
        </r>
      </text>
    </comment>
    <comment ref="I165" authorId="0" shapeId="0" xr:uid="{3B81A9C4-779D-4ED6-9246-51A6C78470F5}">
      <text>
        <r>
          <rPr>
            <sz val="9"/>
            <color indexed="81"/>
            <rFont val="Tahoma"/>
            <family val="2"/>
          </rPr>
          <t xml:space="preserve">See note on CFC-11
</t>
        </r>
      </text>
    </comment>
    <comment ref="J165" authorId="0" shapeId="0" xr:uid="{CF486F72-7280-4066-97F0-54C92289A478}">
      <text>
        <r>
          <rPr>
            <sz val="9"/>
            <color indexed="81"/>
            <rFont val="Tahoma"/>
            <family val="2"/>
          </rPr>
          <t xml:space="preserve">See notes on CFC11
</t>
        </r>
      </text>
    </comment>
    <comment ref="A166" authorId="0" shapeId="0" xr:uid="{F2696EDC-3582-4067-93AC-82421C9F7C10}">
      <text>
        <r>
          <rPr>
            <sz val="9"/>
            <color indexed="81"/>
            <rFont val="Tahoma"/>
            <family val="2"/>
          </rPr>
          <t>CH2FCCl2CCl2F,
1,1,2,2-Tetrachloro-1,3-difluoropropane</t>
        </r>
      </text>
    </comment>
    <comment ref="C166" authorId="0" shapeId="0" xr:uid="{3B272552-0C25-4A48-BD5C-0006BEF581F3}">
      <text>
        <r>
          <rPr>
            <sz val="9"/>
            <color indexed="81"/>
            <rFont val="Tahoma"/>
            <family val="2"/>
          </rPr>
          <t>https://csl.noaa.gov/groups/csl5/datasets/data/hcfcs/Summary%20HCFC-232.pdf</t>
        </r>
      </text>
    </comment>
    <comment ref="D166" authorId="0" shapeId="0" xr:uid="{3E27994C-2F95-4DF6-BCCE-38E77E7E404D}">
      <text>
        <r>
          <rPr>
            <sz val="9"/>
            <color indexed="81"/>
            <rFont val="Tahoma"/>
            <family val="2"/>
          </rPr>
          <t xml:space="preserve">Uncertainty estimated from difference between well-mixed (162) and lifetime adjusted (139) GWP </t>
        </r>
      </text>
    </comment>
    <comment ref="E166" authorId="0" shapeId="0" xr:uid="{F2EB2131-20E6-41E1-85E0-C35589D8BCD0}">
      <text>
        <r>
          <rPr>
            <sz val="9"/>
            <color indexed="81"/>
            <rFont val="Tahoma"/>
            <family val="2"/>
          </rPr>
          <t>https://csl.noaa.gov/groups/csl5/datasets/data/hcfcs/Summary%20HCFC-232.pdf</t>
        </r>
      </text>
    </comment>
    <comment ref="F166" authorId="0" shapeId="0" xr:uid="{569043BD-3261-433D-B649-F1BC252C5A4A}">
      <text>
        <r>
          <rPr>
            <sz val="9"/>
            <color indexed="81"/>
            <rFont val="Tahoma"/>
            <family val="2"/>
          </rPr>
          <t>Assumed to be subject to the same kind of uncertainties as the GWP estimate</t>
        </r>
        <r>
          <rPr>
            <sz val="9"/>
            <color indexed="81"/>
            <rFont val="Tahoma"/>
            <family val="2"/>
          </rPr>
          <t xml:space="preserve">
</t>
        </r>
      </text>
    </comment>
    <comment ref="G166" authorId="0" shapeId="0" xr:uid="{35E1207D-34BD-4D19-933B-F39CFCA4EEF3}">
      <text>
        <r>
          <rPr>
            <sz val="9"/>
            <color indexed="81"/>
            <rFont val="Tahoma"/>
            <family val="2"/>
          </rPr>
          <t xml:space="preserve">See note on CFC-11
</t>
        </r>
      </text>
    </comment>
    <comment ref="I166" authorId="0" shapeId="0" xr:uid="{48F6D955-73B2-41D0-B1E3-CE916A1AC93D}">
      <text>
        <r>
          <rPr>
            <sz val="9"/>
            <color indexed="81"/>
            <rFont val="Tahoma"/>
            <family val="2"/>
          </rPr>
          <t xml:space="preserve">See note on CFC-11
</t>
        </r>
      </text>
    </comment>
    <comment ref="J166" authorId="0" shapeId="0" xr:uid="{0894521B-8480-4660-A9CE-3407DB1AF587}">
      <text>
        <r>
          <rPr>
            <sz val="9"/>
            <color indexed="81"/>
            <rFont val="Tahoma"/>
            <family val="2"/>
          </rPr>
          <t xml:space="preserve">See notes on CFC11
</t>
        </r>
      </text>
    </comment>
    <comment ref="A167" authorId="0" shapeId="0" xr:uid="{7F618380-BE5A-4C55-BE19-4A7AEBACA72C}">
      <text>
        <r>
          <rPr>
            <sz val="9"/>
            <color indexed="81"/>
            <rFont val="Tahoma"/>
            <family val="2"/>
          </rPr>
          <t xml:space="preserve">CHCl2CClFCHClF,
1,1,2,3-Tetrachloro-2,3-difluoropropane
</t>
        </r>
      </text>
    </comment>
    <comment ref="C167" authorId="0" shapeId="0" xr:uid="{DA92C243-175A-4D52-85D1-E8C1BEC56380}">
      <text>
        <r>
          <rPr>
            <sz val="9"/>
            <color indexed="81"/>
            <rFont val="Tahoma"/>
            <family val="2"/>
          </rPr>
          <t>https://csl.noaa.gov/groups/csl5/datasets/data/hcfcs/Summary%20HCFC-232.pdf</t>
        </r>
      </text>
    </comment>
    <comment ref="D167" authorId="0" shapeId="0" xr:uid="{D9D3ECAF-8532-460F-848F-DA99C302112B}">
      <text>
        <r>
          <rPr>
            <sz val="9"/>
            <color indexed="81"/>
            <rFont val="Tahoma"/>
            <family val="2"/>
          </rPr>
          <t xml:space="preserve">Uncertainty estimated from difference between well-mixed (61) and lifetime adjusted (45) GWP </t>
        </r>
      </text>
    </comment>
    <comment ref="E167" authorId="0" shapeId="0" xr:uid="{B7E1C54F-7330-422A-9D5E-D7A61A181C10}">
      <text>
        <r>
          <rPr>
            <sz val="9"/>
            <color indexed="81"/>
            <rFont val="Tahoma"/>
            <family val="2"/>
          </rPr>
          <t>https://csl.noaa.gov/groups/csl5/datasets/data/hcfcs/Summary%20HCFC-232.pdf</t>
        </r>
      </text>
    </comment>
    <comment ref="F167" authorId="0" shapeId="0" xr:uid="{D4711B14-8C66-4C23-8B95-211A0FD96941}">
      <text>
        <r>
          <rPr>
            <sz val="9"/>
            <color indexed="81"/>
            <rFont val="Tahoma"/>
            <family val="2"/>
          </rPr>
          <t>Assumed to be subject to the same kind of uncertainties as the GWP estimate</t>
        </r>
        <r>
          <rPr>
            <sz val="9"/>
            <color indexed="81"/>
            <rFont val="Tahoma"/>
            <family val="2"/>
          </rPr>
          <t xml:space="preserve">
</t>
        </r>
      </text>
    </comment>
    <comment ref="G167" authorId="0" shapeId="0" xr:uid="{FC3CB1EC-8B70-4A84-93C3-4A20FFFD92FC}">
      <text>
        <r>
          <rPr>
            <sz val="9"/>
            <color indexed="81"/>
            <rFont val="Tahoma"/>
            <family val="2"/>
          </rPr>
          <t xml:space="preserve">See note on CFC-11
</t>
        </r>
      </text>
    </comment>
    <comment ref="I167" authorId="0" shapeId="0" xr:uid="{8AB196D1-709C-4F0D-A089-07127601BD69}">
      <text>
        <r>
          <rPr>
            <sz val="9"/>
            <color indexed="81"/>
            <rFont val="Tahoma"/>
            <family val="2"/>
          </rPr>
          <t xml:space="preserve">See note on CFC-11
</t>
        </r>
      </text>
    </comment>
    <comment ref="J167" authorId="0" shapeId="0" xr:uid="{9C554419-628F-44B8-AFFC-288466D040ED}">
      <text>
        <r>
          <rPr>
            <sz val="9"/>
            <color indexed="81"/>
            <rFont val="Tahoma"/>
            <family val="2"/>
          </rPr>
          <t xml:space="preserve">See notes on CFC11
</t>
        </r>
      </text>
    </comment>
    <comment ref="A168" authorId="0" shapeId="0" xr:uid="{07923E40-1FC1-44BE-92AB-8C62E5889A63}">
      <text>
        <r>
          <rPr>
            <sz val="9"/>
            <color indexed="81"/>
            <rFont val="Tahoma"/>
            <family val="2"/>
          </rPr>
          <t>CH2ClCClFCCl2F,
1,1,2,3-Tetrachloro-1,2-difluoropropane</t>
        </r>
      </text>
    </comment>
    <comment ref="C168" authorId="0" shapeId="0" xr:uid="{390E14AC-60F6-46AF-8C58-CF8629E67E02}">
      <text>
        <r>
          <rPr>
            <sz val="9"/>
            <color indexed="81"/>
            <rFont val="Tahoma"/>
            <family val="2"/>
          </rPr>
          <t>https://csl.noaa.gov/groups/csl5/datasets/data/hcfcs/Summary%20HCFC-232.pdf</t>
        </r>
      </text>
    </comment>
    <comment ref="D168" authorId="0" shapeId="0" xr:uid="{BCBD618D-A856-434D-9582-0365F666553A}">
      <text>
        <r>
          <rPr>
            <sz val="9"/>
            <color indexed="81"/>
            <rFont val="Tahoma"/>
            <family val="2"/>
          </rPr>
          <t xml:space="preserve">Uncertainty estimated from difference between well-mixed (183) and lifetime adjusted (159) GWP </t>
        </r>
      </text>
    </comment>
    <comment ref="E168" authorId="0" shapeId="0" xr:uid="{33FB545E-BABB-4E7F-B2E2-8692541FC57D}">
      <text>
        <r>
          <rPr>
            <sz val="9"/>
            <color indexed="81"/>
            <rFont val="Tahoma"/>
            <family val="2"/>
          </rPr>
          <t>https://csl.noaa.gov/groups/csl5/datasets/data/hcfcs/Summary%20HCFC-232.pdf</t>
        </r>
      </text>
    </comment>
    <comment ref="F168" authorId="0" shapeId="0" xr:uid="{06069FA2-C9BD-41C2-8611-A9F4EB602346}">
      <text>
        <r>
          <rPr>
            <sz val="9"/>
            <color indexed="81"/>
            <rFont val="Tahoma"/>
            <family val="2"/>
          </rPr>
          <t>Assumed to be subject to the same kind of uncertainties as the GWP estimate</t>
        </r>
        <r>
          <rPr>
            <sz val="9"/>
            <color indexed="81"/>
            <rFont val="Tahoma"/>
            <family val="2"/>
          </rPr>
          <t xml:space="preserve">
</t>
        </r>
      </text>
    </comment>
    <comment ref="G168" authorId="0" shapeId="0" xr:uid="{729A419D-4570-4FCE-AB31-5B4554F971BF}">
      <text>
        <r>
          <rPr>
            <sz val="9"/>
            <color indexed="81"/>
            <rFont val="Tahoma"/>
            <family val="2"/>
          </rPr>
          <t xml:space="preserve">See note on CFC-11
</t>
        </r>
      </text>
    </comment>
    <comment ref="I168" authorId="0" shapeId="0" xr:uid="{1938589E-44AE-4EDE-8A8B-FC74C2E61454}">
      <text>
        <r>
          <rPr>
            <sz val="9"/>
            <color indexed="81"/>
            <rFont val="Tahoma"/>
            <family val="2"/>
          </rPr>
          <t xml:space="preserve">See note on CFC-11
</t>
        </r>
      </text>
    </comment>
    <comment ref="J168" authorId="0" shapeId="0" xr:uid="{D8B305B5-F3FA-481E-BB9C-85468BA7A91E}">
      <text>
        <r>
          <rPr>
            <sz val="9"/>
            <color indexed="81"/>
            <rFont val="Tahoma"/>
            <family val="2"/>
          </rPr>
          <t xml:space="preserve">See notes on CFC11
</t>
        </r>
      </text>
    </comment>
    <comment ref="A169" authorId="0" shapeId="0" xr:uid="{86E0AD11-6787-45F1-8767-DC28C2F0C5E0}">
      <text>
        <r>
          <rPr>
            <sz val="9"/>
            <color indexed="81"/>
            <rFont val="Tahoma"/>
            <family val="2"/>
          </rPr>
          <t xml:space="preserve">CH2FCClFCCl3,
1,1,1,2-Tetrachloro-2,3-difluoropropane
</t>
        </r>
      </text>
    </comment>
    <comment ref="C169" authorId="0" shapeId="0" xr:uid="{4DA18655-2958-4A97-8929-30BE0D8CFD42}">
      <text>
        <r>
          <rPr>
            <sz val="9"/>
            <color indexed="81"/>
            <rFont val="Tahoma"/>
            <family val="2"/>
          </rPr>
          <t>https://csl.noaa.gov/groups/csl5/datasets/data/hcfcs/Summary%20HCFC-232.pdf</t>
        </r>
      </text>
    </comment>
    <comment ref="D169" authorId="0" shapeId="0" xr:uid="{5E69CBEA-FA9C-4B5D-8438-317589C85F88}">
      <text>
        <r>
          <rPr>
            <sz val="9"/>
            <color indexed="81"/>
            <rFont val="Tahoma"/>
            <family val="2"/>
          </rPr>
          <t xml:space="preserve">Uncertainty estimated from difference between well-mixed (231) and lifetime adjusted (208) GWP </t>
        </r>
      </text>
    </comment>
    <comment ref="E169" authorId="0" shapeId="0" xr:uid="{00A2A970-85E7-4FB0-8ADF-92C7C9984F76}">
      <text>
        <r>
          <rPr>
            <sz val="9"/>
            <color indexed="81"/>
            <rFont val="Tahoma"/>
            <family val="2"/>
          </rPr>
          <t>https://csl.noaa.gov/groups/csl5/datasets/data/hcfcs/Summary%20HCFC-232.pdf</t>
        </r>
      </text>
    </comment>
    <comment ref="F169" authorId="0" shapeId="0" xr:uid="{0765350B-BB4D-4640-A353-09E324A08407}">
      <text>
        <r>
          <rPr>
            <sz val="9"/>
            <color indexed="81"/>
            <rFont val="Tahoma"/>
            <family val="2"/>
          </rPr>
          <t>Assumed to be subject to the same kind of uncertainties as the GWP estimate</t>
        </r>
        <r>
          <rPr>
            <sz val="9"/>
            <color indexed="81"/>
            <rFont val="Tahoma"/>
            <family val="2"/>
          </rPr>
          <t xml:space="preserve">
</t>
        </r>
      </text>
    </comment>
    <comment ref="G169" authorId="0" shapeId="0" xr:uid="{4E229D7E-32AA-49DA-875F-3F2AB339369F}">
      <text>
        <r>
          <rPr>
            <sz val="9"/>
            <color indexed="81"/>
            <rFont val="Tahoma"/>
            <family val="2"/>
          </rPr>
          <t xml:space="preserve">See note on CFC-11
</t>
        </r>
      </text>
    </comment>
    <comment ref="I169" authorId="0" shapeId="0" xr:uid="{3399CBE9-4D7D-42B8-8C28-757947F4D34C}">
      <text>
        <r>
          <rPr>
            <sz val="9"/>
            <color indexed="81"/>
            <rFont val="Tahoma"/>
            <family val="2"/>
          </rPr>
          <t xml:space="preserve">See note on CFC-11
</t>
        </r>
      </text>
    </comment>
    <comment ref="J169" authorId="0" shapeId="0" xr:uid="{D4FF8737-825A-4E85-9F78-F28F05B3CD6B}">
      <text>
        <r>
          <rPr>
            <sz val="9"/>
            <color indexed="81"/>
            <rFont val="Tahoma"/>
            <family val="2"/>
          </rPr>
          <t xml:space="preserve">See notes on CFC11
</t>
        </r>
      </text>
    </comment>
    <comment ref="A170" authorId="0" shapeId="0" xr:uid="{934CBCD6-33AB-4113-8415-1119D05479DF}">
      <text>
        <r>
          <rPr>
            <sz val="9"/>
            <color indexed="81"/>
            <rFont val="Tahoma"/>
            <family val="2"/>
          </rPr>
          <t xml:space="preserve">CHCl2CF2CHCl2,
1,1,3,3-Tetrachloro-2,2-difluoropropane
</t>
        </r>
      </text>
    </comment>
    <comment ref="C170" authorId="0" shapeId="0" xr:uid="{717325E1-6B09-4B1E-9181-2F7C7A638BB8}">
      <text>
        <r>
          <rPr>
            <sz val="9"/>
            <color indexed="81"/>
            <rFont val="Tahoma"/>
            <family val="2"/>
          </rPr>
          <t>https://csl.noaa.gov/groups/csl5/datasets/data/hcfcs/Summary%20HCFC-232.pdf</t>
        </r>
      </text>
    </comment>
    <comment ref="D170" authorId="0" shapeId="0" xr:uid="{5D997AC5-B469-45E2-A0C1-D59C229E8C26}">
      <text>
        <r>
          <rPr>
            <sz val="9"/>
            <color indexed="81"/>
            <rFont val="Tahoma"/>
            <family val="2"/>
          </rPr>
          <t xml:space="preserve">Uncertainty estimated from difference between well-mixed (38) and lifetime adjusted (26) GWP </t>
        </r>
      </text>
    </comment>
    <comment ref="E170" authorId="0" shapeId="0" xr:uid="{F9F0BBEF-CDAC-4B9D-8293-C3C4A6903F30}">
      <text>
        <r>
          <rPr>
            <sz val="9"/>
            <color indexed="81"/>
            <rFont val="Tahoma"/>
            <family val="2"/>
          </rPr>
          <t>https://csl.noaa.gov/groups/csl5/datasets/data/hcfcs/Summary%20HCFC-232.pdf</t>
        </r>
      </text>
    </comment>
    <comment ref="F170" authorId="0" shapeId="0" xr:uid="{579F67EF-668E-4F54-88E0-4B8EF577D2A4}">
      <text>
        <r>
          <rPr>
            <sz val="9"/>
            <color indexed="81"/>
            <rFont val="Tahoma"/>
            <family val="2"/>
          </rPr>
          <t>Assumed to be subject to the same kind of uncertainties as the GWP estimate</t>
        </r>
        <r>
          <rPr>
            <sz val="9"/>
            <color indexed="81"/>
            <rFont val="Tahoma"/>
            <family val="2"/>
          </rPr>
          <t xml:space="preserve">
</t>
        </r>
      </text>
    </comment>
    <comment ref="G170" authorId="0" shapeId="0" xr:uid="{701F6A29-2756-4EB4-AC56-8D80410FFDEE}">
      <text>
        <r>
          <rPr>
            <sz val="9"/>
            <color indexed="81"/>
            <rFont val="Tahoma"/>
            <family val="2"/>
          </rPr>
          <t xml:space="preserve">See note on CFC-11
</t>
        </r>
      </text>
    </comment>
    <comment ref="I170" authorId="0" shapeId="0" xr:uid="{6F47A364-CD1C-4AB5-92C2-41E2E81A25D7}">
      <text>
        <r>
          <rPr>
            <sz val="9"/>
            <color indexed="81"/>
            <rFont val="Tahoma"/>
            <family val="2"/>
          </rPr>
          <t xml:space="preserve">See note on CFC-11
</t>
        </r>
      </text>
    </comment>
    <comment ref="J170" authorId="0" shapeId="0" xr:uid="{05250B23-80D8-45B0-B6B8-E0E08AA7A6DC}">
      <text>
        <r>
          <rPr>
            <sz val="9"/>
            <color indexed="81"/>
            <rFont val="Tahoma"/>
            <family val="2"/>
          </rPr>
          <t xml:space="preserve">See notes on CFC11
</t>
        </r>
      </text>
    </comment>
    <comment ref="A171" authorId="0" shapeId="0" xr:uid="{8330C023-D315-49C9-B00F-FFAE4DED8495}">
      <text>
        <r>
          <rPr>
            <sz val="9"/>
            <color indexed="81"/>
            <rFont val="Tahoma"/>
            <family val="2"/>
          </rPr>
          <t xml:space="preserve">CH2ClCF2CCl3,
1,1,1,3-Tetrachloro-2,2-difluoropropane
</t>
        </r>
      </text>
    </comment>
    <comment ref="C171" authorId="0" shapeId="0" xr:uid="{F24AD267-115A-4ECB-8558-B8234B0F17DB}">
      <text>
        <r>
          <rPr>
            <sz val="9"/>
            <color indexed="81"/>
            <rFont val="Tahoma"/>
            <family val="2"/>
          </rPr>
          <t>https://csl.noaa.gov/groups/csl5/datasets/data/hcfcs/Summary%20HCFC-232.pdf</t>
        </r>
      </text>
    </comment>
    <comment ref="D171" authorId="0" shapeId="0" xr:uid="{51C5AC42-A400-41A0-B5A0-3A8747DB27BD}">
      <text>
        <r>
          <rPr>
            <sz val="9"/>
            <color indexed="81"/>
            <rFont val="Tahoma"/>
            <family val="2"/>
          </rPr>
          <t xml:space="preserve">Uncertainty estimated from difference between well-mixed (283) and lifetime adjusted (260) GWP </t>
        </r>
      </text>
    </comment>
    <comment ref="E171" authorId="0" shapeId="0" xr:uid="{3FC1EAD4-3F5D-47DB-BB09-6BE8B7FEFD49}">
      <text>
        <r>
          <rPr>
            <sz val="9"/>
            <color indexed="81"/>
            <rFont val="Tahoma"/>
            <family val="2"/>
          </rPr>
          <t>https://csl.noaa.gov/groups/csl5/datasets/data/hcfcs/Summary%20HCFC-232.pdf</t>
        </r>
      </text>
    </comment>
    <comment ref="F171" authorId="0" shapeId="0" xr:uid="{B9845C32-5F91-497F-B6EB-8A3D31B40CDE}">
      <text>
        <r>
          <rPr>
            <sz val="9"/>
            <color indexed="81"/>
            <rFont val="Tahoma"/>
            <family val="2"/>
          </rPr>
          <t>Assumed to be subject to the same kind of uncertainties as the GWP estimate</t>
        </r>
        <r>
          <rPr>
            <sz val="9"/>
            <color indexed="81"/>
            <rFont val="Tahoma"/>
            <family val="2"/>
          </rPr>
          <t xml:space="preserve">
</t>
        </r>
      </text>
    </comment>
    <comment ref="G171" authorId="0" shapeId="0" xr:uid="{62EE1F32-1898-42A6-813E-1191BE54CEA2}">
      <text>
        <r>
          <rPr>
            <sz val="9"/>
            <color indexed="81"/>
            <rFont val="Tahoma"/>
            <family val="2"/>
          </rPr>
          <t xml:space="preserve">See note on CFC-11
</t>
        </r>
      </text>
    </comment>
    <comment ref="I171" authorId="0" shapeId="0" xr:uid="{C7309C74-3DC6-4ACD-AE1E-891384379E5C}">
      <text>
        <r>
          <rPr>
            <sz val="9"/>
            <color indexed="81"/>
            <rFont val="Tahoma"/>
            <family val="2"/>
          </rPr>
          <t xml:space="preserve">See note on CFC-11
</t>
        </r>
      </text>
    </comment>
    <comment ref="J171" authorId="0" shapeId="0" xr:uid="{4D265F63-090A-4C23-A222-1029F5979129}">
      <text>
        <r>
          <rPr>
            <sz val="9"/>
            <color indexed="81"/>
            <rFont val="Tahoma"/>
            <family val="2"/>
          </rPr>
          <t xml:space="preserve">See notes on CFC11
</t>
        </r>
      </text>
    </comment>
    <comment ref="A172" authorId="0" shapeId="0" xr:uid="{1C64C479-3BAB-433C-B06E-25713F8957EE}">
      <text>
        <r>
          <rPr>
            <sz val="9"/>
            <color indexed="81"/>
            <rFont val="Tahoma"/>
            <family val="2"/>
          </rPr>
          <t xml:space="preserve">CHCl2CHClCClF2,
1,2,3,3-Tetrachloro-1,1-difluoropropane
</t>
        </r>
      </text>
    </comment>
    <comment ref="C172" authorId="0" shapeId="0" xr:uid="{EEEBE8E1-937A-419D-AD6D-08EFCD5ADC4B}">
      <text>
        <r>
          <rPr>
            <sz val="9"/>
            <color indexed="81"/>
            <rFont val="Tahoma"/>
            <family val="2"/>
          </rPr>
          <t>https://csl.noaa.gov/groups/csl5/datasets/data/hcfcs/Summary%20HCFC-232.pdf</t>
        </r>
      </text>
    </comment>
    <comment ref="D172" authorId="0" shapeId="0" xr:uid="{51E2CEDB-BA5B-49C1-AF4D-70AEB46353C0}">
      <text>
        <r>
          <rPr>
            <sz val="9"/>
            <color indexed="81"/>
            <rFont val="Tahoma"/>
            <family val="2"/>
          </rPr>
          <t xml:space="preserve">Uncertainty estimated from difference between well-mixed (58) and lifetime adjusted (41) GWP </t>
        </r>
      </text>
    </comment>
    <comment ref="E172" authorId="0" shapeId="0" xr:uid="{0921AD58-78A0-4FFC-A842-CFB642137F0C}">
      <text>
        <r>
          <rPr>
            <sz val="9"/>
            <color indexed="81"/>
            <rFont val="Tahoma"/>
            <family val="2"/>
          </rPr>
          <t>https://csl.noaa.gov/groups/csl5/datasets/data/hcfcs/Summary%20HCFC-232.pdf</t>
        </r>
      </text>
    </comment>
    <comment ref="F172" authorId="0" shapeId="0" xr:uid="{3E72BC4C-24C4-405A-9219-13A61FDD99D9}">
      <text>
        <r>
          <rPr>
            <sz val="9"/>
            <color indexed="81"/>
            <rFont val="Tahoma"/>
            <family val="2"/>
          </rPr>
          <t>Assumed to be subject to the same kind of uncertainties as the GWP estimate</t>
        </r>
        <r>
          <rPr>
            <sz val="9"/>
            <color indexed="81"/>
            <rFont val="Tahoma"/>
            <family val="2"/>
          </rPr>
          <t xml:space="preserve">
</t>
        </r>
      </text>
    </comment>
    <comment ref="G172" authorId="0" shapeId="0" xr:uid="{D97C89D2-81E7-45F3-9EA3-1C0623D52575}">
      <text>
        <r>
          <rPr>
            <sz val="9"/>
            <color indexed="81"/>
            <rFont val="Tahoma"/>
            <family val="2"/>
          </rPr>
          <t xml:space="preserve">See note on CFC-11
</t>
        </r>
      </text>
    </comment>
    <comment ref="I172" authorId="0" shapeId="0" xr:uid="{F74DB61F-9665-4F0A-8C5B-99AF45A90722}">
      <text>
        <r>
          <rPr>
            <sz val="9"/>
            <color indexed="81"/>
            <rFont val="Tahoma"/>
            <family val="2"/>
          </rPr>
          <t xml:space="preserve">See note on CFC-11
</t>
        </r>
      </text>
    </comment>
    <comment ref="J172" authorId="0" shapeId="0" xr:uid="{2DB281EF-690E-459E-9D47-7B25C64B0946}">
      <text>
        <r>
          <rPr>
            <sz val="9"/>
            <color indexed="81"/>
            <rFont val="Tahoma"/>
            <family val="2"/>
          </rPr>
          <t xml:space="preserve">See notes on CFC11
</t>
        </r>
      </text>
    </comment>
    <comment ref="A173" authorId="0" shapeId="0" xr:uid="{F52AB055-D1D1-4377-8491-7FFB851AC37E}">
      <text>
        <r>
          <rPr>
            <sz val="9"/>
            <color indexed="81"/>
            <rFont val="Tahoma"/>
            <family val="2"/>
          </rPr>
          <t xml:space="preserve">CHClFCHClCCl2F,
1,1,2,3-Tetrachloro-1,3-difluoropropane
</t>
        </r>
      </text>
    </comment>
    <comment ref="C173" authorId="0" shapeId="0" xr:uid="{22ADA714-E5B9-4F67-A35A-B55382A7EB31}">
      <text>
        <r>
          <rPr>
            <sz val="9"/>
            <color indexed="81"/>
            <rFont val="Tahoma"/>
            <family val="2"/>
          </rPr>
          <t>https://csl.noaa.gov/groups/csl5/datasets/data/hcfcs/Summary%20HCFC-232.pdf</t>
        </r>
      </text>
    </comment>
    <comment ref="D173" authorId="0" shapeId="0" xr:uid="{78B7FA14-D1DD-4A9F-8685-3B8F1F7A129D}">
      <text>
        <r>
          <rPr>
            <sz val="9"/>
            <color indexed="81"/>
            <rFont val="Tahoma"/>
            <family val="2"/>
          </rPr>
          <t xml:space="preserve">Uncertainty estimated from difference between well-mixed (105) and lifetime adjusted (84) GWP </t>
        </r>
      </text>
    </comment>
    <comment ref="E173" authorId="0" shapeId="0" xr:uid="{5C7B1412-8C97-44DA-B43D-162447A715E2}">
      <text>
        <r>
          <rPr>
            <sz val="9"/>
            <color indexed="81"/>
            <rFont val="Tahoma"/>
            <family val="2"/>
          </rPr>
          <t>https://csl.noaa.gov/groups/csl5/datasets/data/hcfcs/Summary%20HCFC-232.pdf</t>
        </r>
      </text>
    </comment>
    <comment ref="F173" authorId="0" shapeId="0" xr:uid="{882E7CE5-E866-4ED5-954A-DEC7C5CED837}">
      <text>
        <r>
          <rPr>
            <sz val="9"/>
            <color indexed="81"/>
            <rFont val="Tahoma"/>
            <family val="2"/>
          </rPr>
          <t>Assumed to be subject to the same kind of uncertainties as the GWP estimate</t>
        </r>
        <r>
          <rPr>
            <sz val="9"/>
            <color indexed="81"/>
            <rFont val="Tahoma"/>
            <family val="2"/>
          </rPr>
          <t xml:space="preserve">
</t>
        </r>
      </text>
    </comment>
    <comment ref="G173" authorId="0" shapeId="0" xr:uid="{71AFC493-438E-4337-BD29-7B05D544E10D}">
      <text>
        <r>
          <rPr>
            <sz val="9"/>
            <color indexed="81"/>
            <rFont val="Tahoma"/>
            <family val="2"/>
          </rPr>
          <t xml:space="preserve">See note on CFC-11
</t>
        </r>
      </text>
    </comment>
    <comment ref="I173" authorId="0" shapeId="0" xr:uid="{5438EC9A-E732-4E10-A9DF-8C3F018D5E01}">
      <text>
        <r>
          <rPr>
            <sz val="9"/>
            <color indexed="81"/>
            <rFont val="Tahoma"/>
            <family val="2"/>
          </rPr>
          <t xml:space="preserve">See note on CFC-11
</t>
        </r>
      </text>
    </comment>
    <comment ref="J173" authorId="0" shapeId="0" xr:uid="{422B2C83-743A-407B-B664-CC3A8930FF9C}">
      <text>
        <r>
          <rPr>
            <sz val="9"/>
            <color indexed="81"/>
            <rFont val="Tahoma"/>
            <family val="2"/>
          </rPr>
          <t xml:space="preserve">See notes on CFC11
</t>
        </r>
      </text>
    </comment>
    <comment ref="A174" authorId="0" shapeId="0" xr:uid="{3E08ACE8-F050-4328-A307-618866685C9B}">
      <text>
        <r>
          <rPr>
            <sz val="9"/>
            <color indexed="81"/>
            <rFont val="Tahoma"/>
            <family val="2"/>
          </rPr>
          <t>CHF2CHClCCl3,
1,1,1,2-Tetrachloro-3,3-difluoropropane</t>
        </r>
      </text>
    </comment>
    <comment ref="C174" authorId="0" shapeId="0" xr:uid="{4A768552-7A9C-4F54-BD63-4177EE970C86}">
      <text>
        <r>
          <rPr>
            <sz val="9"/>
            <color indexed="81"/>
            <rFont val="Tahoma"/>
            <family val="2"/>
          </rPr>
          <t>https://csl.noaa.gov/groups/csl5/datasets/data/hcfcs/Summary%20HCFC-232.pdf</t>
        </r>
      </text>
    </comment>
    <comment ref="D174" authorId="0" shapeId="0" xr:uid="{ECC38C61-1B49-4B57-9D6F-A1700A68DD36}">
      <text>
        <r>
          <rPr>
            <sz val="9"/>
            <color indexed="81"/>
            <rFont val="Tahoma"/>
            <family val="2"/>
          </rPr>
          <t xml:space="preserve">Uncertainty estimated from difference between well-mixed (166) and lifetime adjusted (146) GWP </t>
        </r>
      </text>
    </comment>
    <comment ref="E174" authorId="0" shapeId="0" xr:uid="{E80F2A3B-D777-4075-BB81-D0096AFEE79C}">
      <text>
        <r>
          <rPr>
            <sz val="9"/>
            <color indexed="81"/>
            <rFont val="Tahoma"/>
            <family val="2"/>
          </rPr>
          <t>https://csl.noaa.gov/groups/csl5/datasets/data/hcfcs/Summary%20HCFC-232.pdf</t>
        </r>
      </text>
    </comment>
    <comment ref="F174" authorId="0" shapeId="0" xr:uid="{6C7859D8-AFA9-4827-A677-4CF62E62C70F}">
      <text>
        <r>
          <rPr>
            <sz val="9"/>
            <color indexed="81"/>
            <rFont val="Tahoma"/>
            <family val="2"/>
          </rPr>
          <t>Assumed to be subject to the same kind of uncertainties as the GWP estimate</t>
        </r>
        <r>
          <rPr>
            <sz val="9"/>
            <color indexed="81"/>
            <rFont val="Tahoma"/>
            <family val="2"/>
          </rPr>
          <t xml:space="preserve">
</t>
        </r>
      </text>
    </comment>
    <comment ref="G174" authorId="0" shapeId="0" xr:uid="{3F3B5AD1-615B-4A9F-A384-5042159D5C01}">
      <text>
        <r>
          <rPr>
            <sz val="9"/>
            <color indexed="81"/>
            <rFont val="Tahoma"/>
            <family val="2"/>
          </rPr>
          <t xml:space="preserve">See note on CFC-11
</t>
        </r>
      </text>
    </comment>
    <comment ref="I174" authorId="0" shapeId="0" xr:uid="{82B2C269-7229-4B42-8D5C-3A6D475DD085}">
      <text>
        <r>
          <rPr>
            <sz val="9"/>
            <color indexed="81"/>
            <rFont val="Tahoma"/>
            <family val="2"/>
          </rPr>
          <t xml:space="preserve">See note on CFC-11
</t>
        </r>
      </text>
    </comment>
    <comment ref="J174" authorId="0" shapeId="0" xr:uid="{DAC0C225-5879-4850-B08F-7E9BBE562BE4}">
      <text>
        <r>
          <rPr>
            <sz val="9"/>
            <color indexed="81"/>
            <rFont val="Tahoma"/>
            <family val="2"/>
          </rPr>
          <t xml:space="preserve">See notes on CFC11
</t>
        </r>
      </text>
    </comment>
    <comment ref="A175" authorId="0" shapeId="0" xr:uid="{6A72C451-37F3-40B0-B938-FC89BF6746EC}">
      <text>
        <r>
          <rPr>
            <sz val="9"/>
            <color indexed="81"/>
            <rFont val="Tahoma"/>
            <family val="2"/>
          </rPr>
          <t>CHCl2CHFCCl2F,
1,1,3,3-Tetrachloro-2,3-difluoropropane</t>
        </r>
      </text>
    </comment>
    <comment ref="C175" authorId="0" shapeId="0" xr:uid="{AFECDA80-4D12-47C1-AEDB-3F334A731A44}">
      <text>
        <r>
          <rPr>
            <sz val="9"/>
            <color indexed="81"/>
            <rFont val="Tahoma"/>
            <family val="2"/>
          </rPr>
          <t>https://csl.noaa.gov/groups/csl5/datasets/data/hcfcs/Summary%20HCFC-232.pdf</t>
        </r>
      </text>
    </comment>
    <comment ref="D175" authorId="0" shapeId="0" xr:uid="{2EDDEDB0-0583-42BE-87A0-4622877F111E}">
      <text>
        <r>
          <rPr>
            <sz val="9"/>
            <color indexed="81"/>
            <rFont val="Tahoma"/>
            <family val="2"/>
          </rPr>
          <t xml:space="preserve">Uncertainty estimated from difference between well-mixed (54) and lifetime adjusted (38) GWP </t>
        </r>
      </text>
    </comment>
    <comment ref="E175" authorId="0" shapeId="0" xr:uid="{746633A9-5E22-4E7E-AF6B-6A19BA2F7C5F}">
      <text>
        <r>
          <rPr>
            <sz val="9"/>
            <color indexed="81"/>
            <rFont val="Tahoma"/>
            <family val="2"/>
          </rPr>
          <t>https://csl.noaa.gov/groups/csl5/datasets/data/hcfcs/Summary%20HCFC-232.pdf</t>
        </r>
      </text>
    </comment>
    <comment ref="F175" authorId="0" shapeId="0" xr:uid="{9CCB0C61-2358-494B-A4AE-241E70CFED33}">
      <text>
        <r>
          <rPr>
            <sz val="9"/>
            <color indexed="81"/>
            <rFont val="Tahoma"/>
            <family val="2"/>
          </rPr>
          <t>Assumed to be subject to the same kind of uncertainties as the GWP estimate</t>
        </r>
        <r>
          <rPr>
            <sz val="9"/>
            <color indexed="81"/>
            <rFont val="Tahoma"/>
            <family val="2"/>
          </rPr>
          <t xml:space="preserve">
</t>
        </r>
      </text>
    </comment>
    <comment ref="G175" authorId="0" shapeId="0" xr:uid="{DE8A167F-ADE0-4C4F-A6D5-7D9E5BF27506}">
      <text>
        <r>
          <rPr>
            <sz val="9"/>
            <color indexed="81"/>
            <rFont val="Tahoma"/>
            <family val="2"/>
          </rPr>
          <t xml:space="preserve">See note on CFC-11
</t>
        </r>
      </text>
    </comment>
    <comment ref="I175" authorId="0" shapeId="0" xr:uid="{14A12B59-A4C1-4F18-A897-3AB5FC5DB477}">
      <text>
        <r>
          <rPr>
            <sz val="9"/>
            <color indexed="81"/>
            <rFont val="Tahoma"/>
            <family val="2"/>
          </rPr>
          <t xml:space="preserve">See note on CFC-11
</t>
        </r>
      </text>
    </comment>
    <comment ref="J175" authorId="0" shapeId="0" xr:uid="{FA7918C2-4F1B-404B-9F62-421694252374}">
      <text>
        <r>
          <rPr>
            <sz val="9"/>
            <color indexed="81"/>
            <rFont val="Tahoma"/>
            <family val="2"/>
          </rPr>
          <t xml:space="preserve">See notes on CFC11
</t>
        </r>
      </text>
    </comment>
    <comment ref="A176" authorId="0" shapeId="0" xr:uid="{AC333916-6612-4C8D-9860-26AFC7AE01F2}">
      <text>
        <r>
          <rPr>
            <sz val="9"/>
            <color indexed="81"/>
            <rFont val="Tahoma"/>
            <family val="2"/>
          </rPr>
          <t xml:space="preserve">CHClFCHFCCl3,
1,1,1,3-Tetrachloro-2,3-difluoropropane
</t>
        </r>
      </text>
    </comment>
    <comment ref="C176" authorId="0" shapeId="0" xr:uid="{07A44963-CF78-42EE-BC8A-088F940D9207}">
      <text>
        <r>
          <rPr>
            <sz val="9"/>
            <color indexed="81"/>
            <rFont val="Tahoma"/>
            <family val="2"/>
          </rPr>
          <t>https://csl.noaa.gov/groups/csl5/datasets/data/hcfcs/Summary%20HCFC-232.pdf</t>
        </r>
      </text>
    </comment>
    <comment ref="D176" authorId="0" shapeId="0" xr:uid="{80BA0CED-0F1E-4E36-8A7D-ED3806DA35FE}">
      <text>
        <r>
          <rPr>
            <sz val="9"/>
            <color indexed="81"/>
            <rFont val="Tahoma"/>
            <family val="2"/>
          </rPr>
          <t xml:space="preserve">Uncertainty estimated from difference between well-mixed (124) and lifetime adjusted (105) GWP </t>
        </r>
      </text>
    </comment>
    <comment ref="E176" authorId="0" shapeId="0" xr:uid="{97DD6072-81DA-41DA-BA4F-18BB709F8789}">
      <text>
        <r>
          <rPr>
            <sz val="9"/>
            <color indexed="81"/>
            <rFont val="Tahoma"/>
            <family val="2"/>
          </rPr>
          <t>https://csl.noaa.gov/groups/csl5/datasets/data/hcfcs/Summary%20HCFC-232.pdf</t>
        </r>
      </text>
    </comment>
    <comment ref="F176" authorId="0" shapeId="0" xr:uid="{0981ACFC-CFE0-4C80-A34C-045B458B2AC2}">
      <text>
        <r>
          <rPr>
            <sz val="9"/>
            <color indexed="81"/>
            <rFont val="Tahoma"/>
            <family val="2"/>
          </rPr>
          <t>Assumed to be subject to the same kind of uncertainties as the GWP estimate</t>
        </r>
        <r>
          <rPr>
            <sz val="9"/>
            <color indexed="81"/>
            <rFont val="Tahoma"/>
            <family val="2"/>
          </rPr>
          <t xml:space="preserve">
</t>
        </r>
      </text>
    </comment>
    <comment ref="G176" authorId="0" shapeId="0" xr:uid="{386D1F9B-D622-472E-8FDD-620BAD42825D}">
      <text>
        <r>
          <rPr>
            <sz val="9"/>
            <color indexed="81"/>
            <rFont val="Tahoma"/>
            <family val="2"/>
          </rPr>
          <t xml:space="preserve">See note on CFC-11
</t>
        </r>
      </text>
    </comment>
    <comment ref="I176" authorId="0" shapeId="0" xr:uid="{E36C6E99-04F2-4143-A939-D44C59F2804E}">
      <text>
        <r>
          <rPr>
            <sz val="9"/>
            <color indexed="81"/>
            <rFont val="Tahoma"/>
            <family val="2"/>
          </rPr>
          <t xml:space="preserve">See note on CFC-11
</t>
        </r>
      </text>
    </comment>
    <comment ref="J176" authorId="0" shapeId="0" xr:uid="{088B3178-F98D-4119-911A-D5C86443E864}">
      <text>
        <r>
          <rPr>
            <sz val="9"/>
            <color indexed="81"/>
            <rFont val="Tahoma"/>
            <family val="2"/>
          </rPr>
          <t xml:space="preserve">See notes on CFC11
</t>
        </r>
      </text>
    </comment>
    <comment ref="A177" authorId="0" shapeId="0" xr:uid="{7D70E034-C0EF-48C5-A8DF-06CF88D4981D}">
      <text>
        <r>
          <rPr>
            <sz val="9"/>
            <color indexed="81"/>
            <rFont val="Tahoma"/>
            <family val="2"/>
          </rPr>
          <t xml:space="preserve">CCl2FCH2CCl2F,
1,1,3,3-Tetrachloro-1,3-difluoropropane
</t>
        </r>
      </text>
    </comment>
    <comment ref="C177" authorId="0" shapeId="0" xr:uid="{B79307B5-6A9B-419E-AE81-69A91E207BC4}">
      <text>
        <r>
          <rPr>
            <sz val="9"/>
            <color indexed="81"/>
            <rFont val="Tahoma"/>
            <family val="2"/>
          </rPr>
          <t>https://csl.noaa.gov/groups/csl5/datasets/data/hcfcs/Summary%20HCFC-232.pdf</t>
        </r>
      </text>
    </comment>
    <comment ref="D177" authorId="0" shapeId="0" xr:uid="{22E7E0BB-876D-424F-9F8D-A1768F6AF9A7}">
      <text>
        <r>
          <rPr>
            <sz val="9"/>
            <color indexed="81"/>
            <rFont val="Tahoma"/>
            <family val="2"/>
          </rPr>
          <t xml:space="preserve">Uncertainty estimated from difference between well-mixed (725) and lifetime adjusted (689) GWP </t>
        </r>
      </text>
    </comment>
    <comment ref="E177" authorId="0" shapeId="0" xr:uid="{0E76AEEF-108F-42F2-9261-E378F94F8453}">
      <text>
        <r>
          <rPr>
            <sz val="9"/>
            <color indexed="81"/>
            <rFont val="Tahoma"/>
            <family val="2"/>
          </rPr>
          <t>https://csl.noaa.gov/groups/csl5/datasets/data/hcfcs/Summary%20HCFC-232.pdf</t>
        </r>
      </text>
    </comment>
    <comment ref="F177" authorId="0" shapeId="0" xr:uid="{EE4A02FE-73C9-4D97-A8F3-666ABD18F249}">
      <text>
        <r>
          <rPr>
            <sz val="9"/>
            <color indexed="81"/>
            <rFont val="Tahoma"/>
            <family val="2"/>
          </rPr>
          <t>Assumed to be subject to the same kind of uncertainties as the GWP estimate</t>
        </r>
        <r>
          <rPr>
            <sz val="9"/>
            <color indexed="81"/>
            <rFont val="Tahoma"/>
            <family val="2"/>
          </rPr>
          <t xml:space="preserve">
</t>
        </r>
      </text>
    </comment>
    <comment ref="G177" authorId="0" shapeId="0" xr:uid="{D6898553-19C2-481E-A779-965726BCFCA5}">
      <text>
        <r>
          <rPr>
            <sz val="9"/>
            <color indexed="81"/>
            <rFont val="Tahoma"/>
            <family val="2"/>
          </rPr>
          <t xml:space="preserve">See note on CFC-11
</t>
        </r>
      </text>
    </comment>
    <comment ref="I177" authorId="0" shapeId="0" xr:uid="{582C1D7D-9EF6-437D-BEC9-47917CCF38ED}">
      <text>
        <r>
          <rPr>
            <sz val="9"/>
            <color indexed="81"/>
            <rFont val="Tahoma"/>
            <family val="2"/>
          </rPr>
          <t xml:space="preserve">See note on CFC-11
</t>
        </r>
      </text>
    </comment>
    <comment ref="J177" authorId="0" shapeId="0" xr:uid="{9C5C9909-2C72-4E71-A025-347898B8D6B8}">
      <text>
        <r>
          <rPr>
            <sz val="9"/>
            <color indexed="81"/>
            <rFont val="Tahoma"/>
            <family val="2"/>
          </rPr>
          <t xml:space="preserve">See notes on CFC11
</t>
        </r>
      </text>
    </comment>
    <comment ref="A178" authorId="0" shapeId="0" xr:uid="{F32107B5-6BF0-4DB6-8301-7875F7BF5BC9}">
      <text>
        <r>
          <rPr>
            <sz val="9"/>
            <color indexed="81"/>
            <rFont val="Tahoma"/>
            <family val="2"/>
          </rPr>
          <t xml:space="preserve">CCl3CH2CClF2,
1,1,1,3-Tetrachloro-3,3-difluoropropane
</t>
        </r>
      </text>
    </comment>
    <comment ref="C178" authorId="0" shapeId="0" xr:uid="{A662883F-4CAB-41F8-9D11-100192E02D1B}">
      <text>
        <r>
          <rPr>
            <sz val="9"/>
            <color indexed="81"/>
            <rFont val="Tahoma"/>
            <family val="2"/>
          </rPr>
          <t>https://csl.noaa.gov/groups/csl5/datasets/data/hcfcs/Summary%20HCFC-232.pdf</t>
        </r>
      </text>
    </comment>
    <comment ref="D178" authorId="0" shapeId="0" xr:uid="{BD6DABE2-BAF4-4BF9-AE99-F6882037F635}">
      <text>
        <r>
          <rPr>
            <sz val="9"/>
            <color indexed="81"/>
            <rFont val="Tahoma"/>
            <family val="2"/>
          </rPr>
          <t xml:space="preserve">Uncertainty estimated from difference between well-mixed (747) and lifetime adjusted (713) GWP </t>
        </r>
      </text>
    </comment>
    <comment ref="E178" authorId="0" shapeId="0" xr:uid="{26976854-5144-40AF-86C3-07F1A7C9E50F}">
      <text>
        <r>
          <rPr>
            <sz val="9"/>
            <color indexed="81"/>
            <rFont val="Tahoma"/>
            <family val="2"/>
          </rPr>
          <t>https://csl.noaa.gov/groups/csl5/datasets/data/hcfcs/Summary%20HCFC-232.pdf</t>
        </r>
      </text>
    </comment>
    <comment ref="F178" authorId="0" shapeId="0" xr:uid="{96DF159A-73D0-4FA9-B347-58FFBFA052DB}">
      <text>
        <r>
          <rPr>
            <sz val="9"/>
            <color indexed="81"/>
            <rFont val="Tahoma"/>
            <family val="2"/>
          </rPr>
          <t>Assumed to be subject to the same kind of uncertainties as the GWP estimate</t>
        </r>
        <r>
          <rPr>
            <sz val="9"/>
            <color indexed="81"/>
            <rFont val="Tahoma"/>
            <family val="2"/>
          </rPr>
          <t xml:space="preserve">
</t>
        </r>
      </text>
    </comment>
    <comment ref="G178" authorId="0" shapeId="0" xr:uid="{20835E93-FE1B-49C3-A2E3-4B26C01BA9F5}">
      <text>
        <r>
          <rPr>
            <sz val="9"/>
            <color indexed="81"/>
            <rFont val="Tahoma"/>
            <family val="2"/>
          </rPr>
          <t xml:space="preserve">See note on CFC-11
</t>
        </r>
      </text>
    </comment>
    <comment ref="I178" authorId="0" shapeId="0" xr:uid="{786184C8-3FA9-4ACE-8F8B-C5795B39469F}">
      <text>
        <r>
          <rPr>
            <sz val="9"/>
            <color indexed="81"/>
            <rFont val="Tahoma"/>
            <family val="2"/>
          </rPr>
          <t xml:space="preserve">See note on CFC-11
</t>
        </r>
      </text>
    </comment>
    <comment ref="J178" authorId="0" shapeId="0" xr:uid="{C0B1F8C1-0E00-4EEB-9FDE-58E7504848C4}">
      <text>
        <r>
          <rPr>
            <sz val="9"/>
            <color indexed="81"/>
            <rFont val="Tahoma"/>
            <family val="2"/>
          </rPr>
          <t xml:space="preserve">See notes on CFC11
</t>
        </r>
      </text>
    </comment>
    <comment ref="A179" authorId="0" shapeId="0" xr:uid="{97A6440C-DFE1-4965-B45F-F196EAD5EC15}">
      <text>
        <r>
          <rPr>
            <sz val="9"/>
            <color indexed="81"/>
            <rFont val="Tahoma"/>
            <family val="2"/>
          </rPr>
          <t xml:space="preserve">CHClFCCl2CHF2,
1,2,2-Trichloro-1,3,3-trifluoropropane
</t>
        </r>
      </text>
    </comment>
    <comment ref="C179" authorId="0" shapeId="0" xr:uid="{2957B644-DE34-4CFF-8002-71A4ABB70090}">
      <text>
        <r>
          <rPr>
            <sz val="9"/>
            <color indexed="81"/>
            <rFont val="Tahoma"/>
            <family val="2"/>
          </rPr>
          <t>https://csl.noaa.gov/groups/csl5/datasets/data/hcfcs/Summary%20HCFC-233.pdf</t>
        </r>
      </text>
    </comment>
    <comment ref="D179" authorId="0" shapeId="0" xr:uid="{BC812829-C7E0-49A7-B825-6A7B51173FB5}">
      <text>
        <r>
          <rPr>
            <sz val="9"/>
            <color indexed="81"/>
            <rFont val="Tahoma"/>
            <family val="2"/>
          </rPr>
          <t xml:space="preserve">Uncertainty estimated from difference between well-mixed (168) and lifetime adjusted (147) GWP </t>
        </r>
      </text>
    </comment>
    <comment ref="E179" authorId="0" shapeId="0" xr:uid="{9A1963C7-F332-4BED-B8D3-E10413199968}">
      <text>
        <r>
          <rPr>
            <sz val="9"/>
            <color indexed="81"/>
            <rFont val="Tahoma"/>
            <family val="2"/>
          </rPr>
          <t>https://csl.noaa.gov/groups/csl5/datasets/data/hcfcs/Summary%20HCFC-233.pdf</t>
        </r>
      </text>
    </comment>
    <comment ref="F179" authorId="0" shapeId="0" xr:uid="{79429F2C-2CF4-4AD5-A386-CC653C063E4E}">
      <text>
        <r>
          <rPr>
            <sz val="9"/>
            <color indexed="81"/>
            <rFont val="Tahoma"/>
            <family val="2"/>
          </rPr>
          <t>Assumed to be subject to the same kind of uncertainties as the GWP estimate</t>
        </r>
        <r>
          <rPr>
            <sz val="9"/>
            <color indexed="81"/>
            <rFont val="Tahoma"/>
            <family val="2"/>
          </rPr>
          <t xml:space="preserve">
</t>
        </r>
      </text>
    </comment>
    <comment ref="G179" authorId="0" shapeId="0" xr:uid="{54B84BEA-8FFD-4220-B392-5506BEBA06D0}">
      <text>
        <r>
          <rPr>
            <sz val="9"/>
            <color indexed="81"/>
            <rFont val="Tahoma"/>
            <family val="2"/>
          </rPr>
          <t xml:space="preserve">See note on CFC-11
</t>
        </r>
      </text>
    </comment>
    <comment ref="I179" authorId="0" shapeId="0" xr:uid="{B3CE52D3-D6AA-44D5-A033-4228DB4CE527}">
      <text>
        <r>
          <rPr>
            <sz val="9"/>
            <color indexed="81"/>
            <rFont val="Tahoma"/>
            <family val="2"/>
          </rPr>
          <t xml:space="preserve">See note on CFC-11
</t>
        </r>
      </text>
    </comment>
    <comment ref="J179" authorId="0" shapeId="0" xr:uid="{F8DC98A9-B75C-4FE1-8977-5DD74719F3DF}">
      <text>
        <r>
          <rPr>
            <sz val="9"/>
            <color indexed="81"/>
            <rFont val="Tahoma"/>
            <family val="2"/>
          </rPr>
          <t xml:space="preserve">See notes on CFC11
</t>
        </r>
      </text>
    </comment>
    <comment ref="A180" authorId="0" shapeId="0" xr:uid="{499B807A-3C76-43BD-BC16-5649CC465F72}">
      <text>
        <r>
          <rPr>
            <sz val="9"/>
            <color indexed="81"/>
            <rFont val="Tahoma"/>
            <family val="2"/>
          </rPr>
          <t xml:space="preserve">CH2ClCCl2CF3,
2,2,3-Trichloro-1,1,1-trifluoropropane
</t>
        </r>
      </text>
    </comment>
    <comment ref="C180" authorId="0" shapeId="0" xr:uid="{0199F5ED-0198-4256-8DF8-74C4EE62C626}">
      <text>
        <r>
          <rPr>
            <sz val="9"/>
            <color indexed="81"/>
            <rFont val="Tahoma"/>
            <family val="2"/>
          </rPr>
          <t>https://csl.noaa.gov/groups/csl5/datasets/data/hcfcs/Summary%20HCFC-233.pdf</t>
        </r>
      </text>
    </comment>
    <comment ref="D180" authorId="0" shapeId="0" xr:uid="{DBE3E7F8-C615-4053-99C2-A941FAC676B5}">
      <text>
        <r>
          <rPr>
            <sz val="9"/>
            <color indexed="81"/>
            <rFont val="Tahoma"/>
            <family val="2"/>
          </rPr>
          <t xml:space="preserve">Uncertainty estimated from difference between well-mixed (173) and lifetime adjusted (151) GWP </t>
        </r>
      </text>
    </comment>
    <comment ref="E180" authorId="0" shapeId="0" xr:uid="{D0BDEDDA-CFA1-46A1-8CA3-92060C281F09}">
      <text>
        <r>
          <rPr>
            <sz val="9"/>
            <color indexed="81"/>
            <rFont val="Tahoma"/>
            <family val="2"/>
          </rPr>
          <t>https://csl.noaa.gov/groups/csl5/datasets/data/hcfcs/Summary%20HCFC-233.pdf</t>
        </r>
      </text>
    </comment>
    <comment ref="F180" authorId="0" shapeId="0" xr:uid="{2DF7686C-2AB9-46A0-8722-9C180DA15DC9}">
      <text>
        <r>
          <rPr>
            <sz val="9"/>
            <color indexed="81"/>
            <rFont val="Tahoma"/>
            <family val="2"/>
          </rPr>
          <t>Assumed to be subject to the same kind of uncertainties as the GWP estimate</t>
        </r>
        <r>
          <rPr>
            <sz val="9"/>
            <color indexed="81"/>
            <rFont val="Tahoma"/>
            <family val="2"/>
          </rPr>
          <t xml:space="preserve">
</t>
        </r>
      </text>
    </comment>
    <comment ref="G180" authorId="0" shapeId="0" xr:uid="{94F06DC8-4985-44EF-967F-27F6F5402D48}">
      <text>
        <r>
          <rPr>
            <sz val="9"/>
            <color indexed="81"/>
            <rFont val="Tahoma"/>
            <family val="2"/>
          </rPr>
          <t xml:space="preserve">See note on CFC-11
</t>
        </r>
      </text>
    </comment>
    <comment ref="I180" authorId="0" shapeId="0" xr:uid="{500A19F4-52FE-4764-B634-42174D6C3627}">
      <text>
        <r>
          <rPr>
            <sz val="9"/>
            <color indexed="81"/>
            <rFont val="Tahoma"/>
            <family val="2"/>
          </rPr>
          <t xml:space="preserve">See note on CFC-11
</t>
        </r>
      </text>
    </comment>
    <comment ref="J180" authorId="0" shapeId="0" xr:uid="{FF203E5B-ED02-4639-9285-290E3DE2791F}">
      <text>
        <r>
          <rPr>
            <sz val="9"/>
            <color indexed="81"/>
            <rFont val="Tahoma"/>
            <family val="2"/>
          </rPr>
          <t xml:space="preserve">See notes on CFC11
</t>
        </r>
      </text>
    </comment>
    <comment ref="A181" authorId="0" shapeId="0" xr:uid="{6FAAC089-9EFD-4FE4-962F-B58FD99CA727}">
      <text>
        <r>
          <rPr>
            <sz val="9"/>
            <color indexed="81"/>
            <rFont val="Tahoma"/>
            <family val="2"/>
          </rPr>
          <t xml:space="preserve">CH2FCCl2CClF2,
1,2,2-Trichloro-1,1,3-trifluoropropane
</t>
        </r>
      </text>
    </comment>
    <comment ref="C181" authorId="0" shapeId="0" xr:uid="{0DD83E09-0CE4-4632-AF59-ED40F2B58118}">
      <text>
        <r>
          <rPr>
            <sz val="9"/>
            <color indexed="81"/>
            <rFont val="Tahoma"/>
            <family val="2"/>
          </rPr>
          <t>https://csl.noaa.gov/groups/csl5/datasets/data/hcfcs/Summary%20HCFC-233.pdf</t>
        </r>
      </text>
    </comment>
    <comment ref="D181" authorId="0" shapeId="0" xr:uid="{FEEDB3FE-0CF3-405A-8B2C-FD93F426027D}">
      <text>
        <r>
          <rPr>
            <sz val="9"/>
            <color indexed="81"/>
            <rFont val="Tahoma"/>
            <family val="2"/>
          </rPr>
          <t xml:space="preserve">Uncertainty estimated from difference between well-mixed (311) and lifetime adjusted (280) GWP </t>
        </r>
      </text>
    </comment>
    <comment ref="E181" authorId="0" shapeId="0" xr:uid="{7D13D186-15F9-49F5-B8DD-3A93DD8234A1}">
      <text>
        <r>
          <rPr>
            <sz val="9"/>
            <color indexed="81"/>
            <rFont val="Tahoma"/>
            <family val="2"/>
          </rPr>
          <t>https://csl.noaa.gov/groups/csl5/datasets/data/hcfcs/Summary%20HCFC-233.pdf</t>
        </r>
      </text>
    </comment>
    <comment ref="F181" authorId="0" shapeId="0" xr:uid="{44318978-91BC-49A6-8EC8-08FC52EE75E1}">
      <text>
        <r>
          <rPr>
            <sz val="9"/>
            <color indexed="81"/>
            <rFont val="Tahoma"/>
            <family val="2"/>
          </rPr>
          <t>Assumed to be subject to the same kind of uncertainties as the GWP estimate</t>
        </r>
        <r>
          <rPr>
            <sz val="9"/>
            <color indexed="81"/>
            <rFont val="Tahoma"/>
            <family val="2"/>
          </rPr>
          <t xml:space="preserve">
</t>
        </r>
      </text>
    </comment>
    <comment ref="G181" authorId="0" shapeId="0" xr:uid="{3DCD064F-CEE9-4211-A45B-9C080517DEA6}">
      <text>
        <r>
          <rPr>
            <sz val="9"/>
            <color indexed="81"/>
            <rFont val="Tahoma"/>
            <family val="2"/>
          </rPr>
          <t xml:space="preserve">See note on CFC-11
</t>
        </r>
      </text>
    </comment>
    <comment ref="I181" authorId="0" shapeId="0" xr:uid="{DE247424-8B6E-4CF3-A9CA-B14C0A11B6F8}">
      <text>
        <r>
          <rPr>
            <sz val="9"/>
            <color indexed="81"/>
            <rFont val="Tahoma"/>
            <family val="2"/>
          </rPr>
          <t xml:space="preserve">See note on CFC-11
</t>
        </r>
      </text>
    </comment>
    <comment ref="J181" authorId="0" shapeId="0" xr:uid="{936B8D7E-A3DA-4367-9437-2A9437F3E007}">
      <text>
        <r>
          <rPr>
            <sz val="9"/>
            <color indexed="81"/>
            <rFont val="Tahoma"/>
            <family val="2"/>
          </rPr>
          <t xml:space="preserve">See notes on CFC11
</t>
        </r>
      </text>
    </comment>
    <comment ref="A182" authorId="0" shapeId="0" xr:uid="{26E0C9CB-6485-4F48-9C41-88CB04163D3D}">
      <text>
        <r>
          <rPr>
            <sz val="9"/>
            <color indexed="81"/>
            <rFont val="Tahoma"/>
            <family val="2"/>
          </rPr>
          <t xml:space="preserve">CHClFCClFCHClF,
1,2,3-Trichloro-1,2,3-trifluoropropane
</t>
        </r>
      </text>
    </comment>
    <comment ref="C182" authorId="0" shapeId="0" xr:uid="{1E54160A-A7F8-42AC-A32C-81FD8BD16134}">
      <text>
        <r>
          <rPr>
            <sz val="9"/>
            <color indexed="81"/>
            <rFont val="Tahoma"/>
            <family val="2"/>
          </rPr>
          <t>https://csl.noaa.gov/groups/csl5/datasets/data/hcfcs/Summary%20HCFC-233.pdf</t>
        </r>
      </text>
    </comment>
    <comment ref="D182" authorId="0" shapeId="0" xr:uid="{28AB8FB7-A37C-43A1-B241-E6BF99E8F08E}">
      <text>
        <r>
          <rPr>
            <sz val="9"/>
            <color indexed="81"/>
            <rFont val="Tahoma"/>
            <family val="2"/>
          </rPr>
          <t xml:space="preserve">Uncertainty estimated from difference between well-mixed (152) and lifetime adjusted (129) GWP </t>
        </r>
      </text>
    </comment>
    <comment ref="E182" authorId="0" shapeId="0" xr:uid="{6ADF966E-67F6-4F7E-B41E-C578AD092619}">
      <text>
        <r>
          <rPr>
            <sz val="9"/>
            <color indexed="81"/>
            <rFont val="Tahoma"/>
            <family val="2"/>
          </rPr>
          <t>https://csl.noaa.gov/groups/csl5/datasets/data/hcfcs/Summary%20HCFC-233.pdf</t>
        </r>
      </text>
    </comment>
    <comment ref="F182" authorId="0" shapeId="0" xr:uid="{0FD1C584-42F3-4B62-AE85-5E6B48388A72}">
      <text>
        <r>
          <rPr>
            <sz val="9"/>
            <color indexed="81"/>
            <rFont val="Tahoma"/>
            <family val="2"/>
          </rPr>
          <t>Assumed to be subject to the same kind of uncertainties as the GWP estimate</t>
        </r>
        <r>
          <rPr>
            <sz val="9"/>
            <color indexed="81"/>
            <rFont val="Tahoma"/>
            <family val="2"/>
          </rPr>
          <t xml:space="preserve">
</t>
        </r>
      </text>
    </comment>
    <comment ref="G182" authorId="0" shapeId="0" xr:uid="{C24EC6F6-1B2E-4C8D-B02D-783750946DAA}">
      <text>
        <r>
          <rPr>
            <sz val="9"/>
            <color indexed="81"/>
            <rFont val="Tahoma"/>
            <family val="2"/>
          </rPr>
          <t xml:space="preserve">See note on CFC-11
</t>
        </r>
      </text>
    </comment>
    <comment ref="I182" authorId="0" shapeId="0" xr:uid="{03001043-C22F-49B0-AD75-BA0BF88A295B}">
      <text>
        <r>
          <rPr>
            <sz val="9"/>
            <color indexed="81"/>
            <rFont val="Tahoma"/>
            <family val="2"/>
          </rPr>
          <t xml:space="preserve">See note on CFC-11
</t>
        </r>
      </text>
    </comment>
    <comment ref="J182" authorId="0" shapeId="0" xr:uid="{69167C9F-962E-4501-B170-BEA1FE6EB563}">
      <text>
        <r>
          <rPr>
            <sz val="9"/>
            <color indexed="81"/>
            <rFont val="Tahoma"/>
            <family val="2"/>
          </rPr>
          <t xml:space="preserve">See notes on CFC11
</t>
        </r>
      </text>
    </comment>
    <comment ref="A183" authorId="0" shapeId="0" xr:uid="{78E0CE37-916E-46E6-8443-D4EE3A4F0241}">
      <text>
        <r>
          <rPr>
            <sz val="9"/>
            <color indexed="81"/>
            <rFont val="Tahoma"/>
            <family val="2"/>
          </rPr>
          <t xml:space="preserve">CHCl2CClFCHF2,
1,1,2-Trichloro-2,3,3-trifluoropropane
</t>
        </r>
      </text>
    </comment>
    <comment ref="C183" authorId="0" shapeId="0" xr:uid="{259F0B9F-8F6B-4F42-AD7D-9462D1BE2D3D}">
      <text>
        <r>
          <rPr>
            <sz val="9"/>
            <color indexed="81"/>
            <rFont val="Tahoma"/>
            <family val="2"/>
          </rPr>
          <t>https://csl.noaa.gov/groups/csl5/datasets/data/hcfcs/Summary%20HCFC-233.pdf</t>
        </r>
      </text>
    </comment>
    <comment ref="D183" authorId="0" shapeId="0" xr:uid="{50AA43CC-C224-49F9-BED5-A7945D0ECAF4}">
      <text>
        <r>
          <rPr>
            <sz val="9"/>
            <color indexed="81"/>
            <rFont val="Tahoma"/>
            <family val="2"/>
          </rPr>
          <t xml:space="preserve">Uncertainty estimated from difference between well-mixed (84) and lifetime adjusted (66) GWP </t>
        </r>
      </text>
    </comment>
    <comment ref="E183" authorId="0" shapeId="0" xr:uid="{9FFF6A6F-3E3C-4C09-B7F6-1208F4546E7E}">
      <text>
        <r>
          <rPr>
            <sz val="9"/>
            <color indexed="81"/>
            <rFont val="Tahoma"/>
            <family val="2"/>
          </rPr>
          <t>https://csl.noaa.gov/groups/csl5/datasets/data/hcfcs/Summary%20HCFC-233.pdf</t>
        </r>
      </text>
    </comment>
    <comment ref="F183" authorId="0" shapeId="0" xr:uid="{A68A059C-70FF-495D-8F23-2E5EE64A558F}">
      <text>
        <r>
          <rPr>
            <sz val="9"/>
            <color indexed="81"/>
            <rFont val="Tahoma"/>
            <family val="2"/>
          </rPr>
          <t>Assumed to be subject to the same kind of uncertainties as the GWP estimate</t>
        </r>
        <r>
          <rPr>
            <sz val="9"/>
            <color indexed="81"/>
            <rFont val="Tahoma"/>
            <family val="2"/>
          </rPr>
          <t xml:space="preserve">
</t>
        </r>
      </text>
    </comment>
    <comment ref="G183" authorId="0" shapeId="0" xr:uid="{1CE6E918-8C6F-4FF6-A6FC-A1A6502A3624}">
      <text>
        <r>
          <rPr>
            <sz val="9"/>
            <color indexed="81"/>
            <rFont val="Tahoma"/>
            <family val="2"/>
          </rPr>
          <t xml:space="preserve">See note on CFC-11
</t>
        </r>
      </text>
    </comment>
    <comment ref="I183" authorId="0" shapeId="0" xr:uid="{2AF2B878-27E8-4637-8474-05B118C6BDA3}">
      <text>
        <r>
          <rPr>
            <sz val="9"/>
            <color indexed="81"/>
            <rFont val="Tahoma"/>
            <family val="2"/>
          </rPr>
          <t xml:space="preserve">See note on CFC-11
</t>
        </r>
      </text>
    </comment>
    <comment ref="J183" authorId="0" shapeId="0" xr:uid="{BB242AE0-A81A-4C64-9D77-877FA8FED82F}">
      <text>
        <r>
          <rPr>
            <sz val="9"/>
            <color indexed="81"/>
            <rFont val="Tahoma"/>
            <family val="2"/>
          </rPr>
          <t xml:space="preserve">See notes on CFC11
</t>
        </r>
      </text>
    </comment>
    <comment ref="A184" authorId="0" shapeId="0" xr:uid="{A6554933-B0F9-432A-90E5-FF53EFD45A85}">
      <text>
        <r>
          <rPr>
            <sz val="9"/>
            <color indexed="81"/>
            <rFont val="Tahoma"/>
            <family val="2"/>
          </rPr>
          <t xml:space="preserve">CH2ClCClFCClF2,
1,2,3-Trichloro-1,1,2-trifluoropropane
</t>
        </r>
      </text>
    </comment>
    <comment ref="C184" authorId="0" shapeId="0" xr:uid="{FA2DC538-A6EE-4085-9ECA-F41DFAD34D89}">
      <text>
        <r>
          <rPr>
            <sz val="9"/>
            <color indexed="81"/>
            <rFont val="Tahoma"/>
            <family val="2"/>
          </rPr>
          <t>https://csl.noaa.gov/groups/csl5/datasets/data/hcfcs/Summary%20HCFC-233.pdf</t>
        </r>
      </text>
    </comment>
    <comment ref="D184" authorId="0" shapeId="0" xr:uid="{FE1BEF0C-0106-43DE-9D0B-2D8761402CE9}">
      <text>
        <r>
          <rPr>
            <sz val="9"/>
            <color indexed="81"/>
            <rFont val="Tahoma"/>
            <family val="2"/>
          </rPr>
          <t xml:space="preserve">Uncertainty estimated from difference between well-mixed (408) and lifetime adjusted (375) GWP </t>
        </r>
      </text>
    </comment>
    <comment ref="E184" authorId="0" shapeId="0" xr:uid="{52A241DC-3923-41D4-9A42-515B6831D29C}">
      <text>
        <r>
          <rPr>
            <sz val="9"/>
            <color indexed="81"/>
            <rFont val="Tahoma"/>
            <family val="2"/>
          </rPr>
          <t>https://csl.noaa.gov/groups/csl5/datasets/data/hcfcs/Summary%20HCFC-233.pdf</t>
        </r>
      </text>
    </comment>
    <comment ref="F184" authorId="0" shapeId="0" xr:uid="{740FBB5B-E582-4D39-B6D2-EF9F468BBCC4}">
      <text>
        <r>
          <rPr>
            <sz val="9"/>
            <color indexed="81"/>
            <rFont val="Tahoma"/>
            <family val="2"/>
          </rPr>
          <t>Assumed to be subject to the same kind of uncertainties as the GWP estimate</t>
        </r>
        <r>
          <rPr>
            <sz val="9"/>
            <color indexed="81"/>
            <rFont val="Tahoma"/>
            <family val="2"/>
          </rPr>
          <t xml:space="preserve">
</t>
        </r>
      </text>
    </comment>
    <comment ref="G184" authorId="0" shapeId="0" xr:uid="{FBB47AF1-A87C-4DEB-A2C3-53C7EE74934F}">
      <text>
        <r>
          <rPr>
            <sz val="9"/>
            <color indexed="81"/>
            <rFont val="Tahoma"/>
            <family val="2"/>
          </rPr>
          <t xml:space="preserve">See note on CFC-11
</t>
        </r>
      </text>
    </comment>
    <comment ref="I184" authorId="0" shapeId="0" xr:uid="{6DFE5809-062A-444F-A93B-4ED82CA424E5}">
      <text>
        <r>
          <rPr>
            <sz val="9"/>
            <color indexed="81"/>
            <rFont val="Tahoma"/>
            <family val="2"/>
          </rPr>
          <t xml:space="preserve">See note on CFC-11
</t>
        </r>
      </text>
    </comment>
    <comment ref="J184" authorId="0" shapeId="0" xr:uid="{664636D5-CB2D-4E78-AC0E-2AEF7944AEEA}">
      <text>
        <r>
          <rPr>
            <sz val="9"/>
            <color indexed="81"/>
            <rFont val="Tahoma"/>
            <family val="2"/>
          </rPr>
          <t xml:space="preserve">See notes on CFC11
</t>
        </r>
      </text>
    </comment>
    <comment ref="A185" authorId="0" shapeId="0" xr:uid="{5E8E4331-26FE-4953-B04E-D73FA07A4DF8}">
      <text>
        <r>
          <rPr>
            <sz val="9"/>
            <color indexed="81"/>
            <rFont val="Tahoma"/>
            <family val="2"/>
          </rPr>
          <t xml:space="preserve">CH2FCClFCCl2F,
1,1,2-Trichloro-1,2,3-trifluoropropane
</t>
        </r>
      </text>
    </comment>
    <comment ref="C185" authorId="0" shapeId="0" xr:uid="{503DD8F6-8FC4-412D-AE62-120D295D8C20}">
      <text>
        <r>
          <rPr>
            <sz val="9"/>
            <color indexed="81"/>
            <rFont val="Tahoma"/>
            <family val="2"/>
          </rPr>
          <t>https://csl.noaa.gov/groups/csl5/datasets/data/hcfcs/Summary%20HCFC-233.pdf</t>
        </r>
      </text>
    </comment>
    <comment ref="D185" authorId="0" shapeId="0" xr:uid="{F24E7DED-250C-48DB-BB5D-6D5AB1753CD8}">
      <text>
        <r>
          <rPr>
            <sz val="9"/>
            <color indexed="81"/>
            <rFont val="Tahoma"/>
            <family val="2"/>
          </rPr>
          <t xml:space="preserve">Uncertainty estimated from difference between well-mixed (319) and lifetime adjusted (288) GWP </t>
        </r>
      </text>
    </comment>
    <comment ref="E185" authorId="0" shapeId="0" xr:uid="{EA0786F3-DDD1-4830-ACB4-C5CD1318FD59}">
      <text>
        <r>
          <rPr>
            <sz val="9"/>
            <color indexed="81"/>
            <rFont val="Tahoma"/>
            <family val="2"/>
          </rPr>
          <t>https://csl.noaa.gov/groups/csl5/datasets/data/hcfcs/Summary%20HCFC-233.pdf</t>
        </r>
      </text>
    </comment>
    <comment ref="F185" authorId="0" shapeId="0" xr:uid="{3FB7E423-5E0F-4182-91C5-FCED1E71BA65}">
      <text>
        <r>
          <rPr>
            <sz val="9"/>
            <color indexed="81"/>
            <rFont val="Tahoma"/>
            <family val="2"/>
          </rPr>
          <t>Assumed to be subject to the same kind of uncertainties as the GWP estimate</t>
        </r>
        <r>
          <rPr>
            <sz val="9"/>
            <color indexed="81"/>
            <rFont val="Tahoma"/>
            <family val="2"/>
          </rPr>
          <t xml:space="preserve">
</t>
        </r>
      </text>
    </comment>
    <comment ref="G185" authorId="0" shapeId="0" xr:uid="{58EF4758-B419-4C63-95F7-B5A767D1BD63}">
      <text>
        <r>
          <rPr>
            <sz val="9"/>
            <color indexed="81"/>
            <rFont val="Tahoma"/>
            <family val="2"/>
          </rPr>
          <t xml:space="preserve">See note on CFC-11
</t>
        </r>
      </text>
    </comment>
    <comment ref="I185" authorId="0" shapeId="0" xr:uid="{37ABEAA6-2616-47DD-95EE-1B9E8DF9BC5F}">
      <text>
        <r>
          <rPr>
            <sz val="9"/>
            <color indexed="81"/>
            <rFont val="Tahoma"/>
            <family val="2"/>
          </rPr>
          <t xml:space="preserve">See note on CFC-11
</t>
        </r>
      </text>
    </comment>
    <comment ref="J185" authorId="0" shapeId="0" xr:uid="{0338C6A9-9181-4FC9-BD9D-4AB6E643D72C}">
      <text>
        <r>
          <rPr>
            <sz val="9"/>
            <color indexed="81"/>
            <rFont val="Tahoma"/>
            <family val="2"/>
          </rPr>
          <t xml:space="preserve">See notes on CFC11
</t>
        </r>
      </text>
    </comment>
    <comment ref="A186" authorId="0" shapeId="0" xr:uid="{DA98951B-50B8-4FBB-96BF-42B6B307BE1C}">
      <text>
        <r>
          <rPr>
            <sz val="9"/>
            <color indexed="81"/>
            <rFont val="Tahoma"/>
            <family val="2"/>
          </rPr>
          <t xml:space="preserve">CHCl2CF2CHClF,
1,1,3-Trichloro-2,2,3-trifluoropropane
</t>
        </r>
      </text>
    </comment>
    <comment ref="C186" authorId="0" shapeId="0" xr:uid="{340DA949-63B6-457B-AD77-D8A19BF95485}">
      <text>
        <r>
          <rPr>
            <sz val="9"/>
            <color indexed="81"/>
            <rFont val="Tahoma"/>
            <family val="2"/>
          </rPr>
          <t>https://csl.noaa.gov/groups/csl5/datasets/data/hcfcs/Summary%20HCFC-233.pdf</t>
        </r>
      </text>
    </comment>
    <comment ref="D186" authorId="0" shapeId="0" xr:uid="{D0CE6CE0-F92E-4E6A-98FF-A6202919E991}">
      <text>
        <r>
          <rPr>
            <sz val="9"/>
            <color indexed="81"/>
            <rFont val="Tahoma"/>
            <family val="2"/>
          </rPr>
          <t xml:space="preserve">Uncertainty estimated from difference between well-mixed (86) and lifetime adjusted (67) GWP </t>
        </r>
      </text>
    </comment>
    <comment ref="E186" authorId="0" shapeId="0" xr:uid="{976DDEEB-6A84-4E3D-A481-E7A261F16260}">
      <text>
        <r>
          <rPr>
            <sz val="9"/>
            <color indexed="81"/>
            <rFont val="Tahoma"/>
            <family val="2"/>
          </rPr>
          <t>https://csl.noaa.gov/groups/csl5/datasets/data/hcfcs/Summary%20HCFC-233.pdf</t>
        </r>
      </text>
    </comment>
    <comment ref="F186" authorId="0" shapeId="0" xr:uid="{73E7392F-F46B-42DC-9428-DABFB199A61F}">
      <text>
        <r>
          <rPr>
            <sz val="9"/>
            <color indexed="81"/>
            <rFont val="Tahoma"/>
            <family val="2"/>
          </rPr>
          <t>Assumed to be subject to the same kind of uncertainties as the GWP estimate</t>
        </r>
        <r>
          <rPr>
            <sz val="9"/>
            <color indexed="81"/>
            <rFont val="Tahoma"/>
            <family val="2"/>
          </rPr>
          <t xml:space="preserve">
</t>
        </r>
      </text>
    </comment>
    <comment ref="G186" authorId="0" shapeId="0" xr:uid="{9523CEE2-8B72-43CA-A670-2DEE03ADD2F0}">
      <text>
        <r>
          <rPr>
            <sz val="9"/>
            <color indexed="81"/>
            <rFont val="Tahoma"/>
            <family val="2"/>
          </rPr>
          <t xml:space="preserve">See note on CFC-11
</t>
        </r>
      </text>
    </comment>
    <comment ref="I186" authorId="0" shapeId="0" xr:uid="{911929F5-3019-4086-9728-90980CE53C40}">
      <text>
        <r>
          <rPr>
            <sz val="9"/>
            <color indexed="81"/>
            <rFont val="Tahoma"/>
            <family val="2"/>
          </rPr>
          <t xml:space="preserve">See note on CFC-11
</t>
        </r>
      </text>
    </comment>
    <comment ref="J186" authorId="0" shapeId="0" xr:uid="{B9E95C56-0CE3-4232-BC8D-06DB992B9BA2}">
      <text>
        <r>
          <rPr>
            <sz val="9"/>
            <color indexed="81"/>
            <rFont val="Tahoma"/>
            <family val="2"/>
          </rPr>
          <t xml:space="preserve">See notes on CFC11
</t>
        </r>
      </text>
    </comment>
    <comment ref="A187" authorId="0" shapeId="0" xr:uid="{BC8D967B-2D11-4830-A4A9-862EF0BB86B6}">
      <text>
        <r>
          <rPr>
            <sz val="9"/>
            <color indexed="81"/>
            <rFont val="Tahoma"/>
            <family val="2"/>
          </rPr>
          <t xml:space="preserve">CH2ClCF2CCl2F,
1,1,3-Trichloro-1,2,2-trifluoropropane
</t>
        </r>
      </text>
    </comment>
    <comment ref="C187" authorId="0" shapeId="0" xr:uid="{34F13679-E80D-4FFF-ADAA-F9A9B39CD070}">
      <text>
        <r>
          <rPr>
            <sz val="9"/>
            <color indexed="81"/>
            <rFont val="Tahoma"/>
            <family val="2"/>
          </rPr>
          <t>https://csl.noaa.gov/groups/csl5/datasets/data/hcfcs/Summary%20HCFC-233.pdf</t>
        </r>
      </text>
    </comment>
    <comment ref="D187" authorId="0" shapeId="0" xr:uid="{10509605-D9CB-4410-AE50-F999443D8A85}">
      <text>
        <r>
          <rPr>
            <sz val="9"/>
            <color indexed="81"/>
            <rFont val="Tahoma"/>
            <family val="2"/>
          </rPr>
          <t xml:space="preserve">Uncertainty estimated from difference between well-mixed (378) and lifetime adjusted (347) GWP </t>
        </r>
      </text>
    </comment>
    <comment ref="E187" authorId="0" shapeId="0" xr:uid="{94DFA573-81BE-4A5D-9988-A2F37D823D29}">
      <text>
        <r>
          <rPr>
            <sz val="9"/>
            <color indexed="81"/>
            <rFont val="Tahoma"/>
            <family val="2"/>
          </rPr>
          <t>https://csl.noaa.gov/groups/csl5/datasets/data/hcfcs/Summary%20HCFC-233.pdf</t>
        </r>
      </text>
    </comment>
    <comment ref="F187" authorId="0" shapeId="0" xr:uid="{C2773B71-BBAD-4028-98A7-A6019CCE45B1}">
      <text>
        <r>
          <rPr>
            <sz val="9"/>
            <color indexed="81"/>
            <rFont val="Tahoma"/>
            <family val="2"/>
          </rPr>
          <t>Assumed to be subject to the same kind of uncertainties as the GWP estimate</t>
        </r>
        <r>
          <rPr>
            <sz val="9"/>
            <color indexed="81"/>
            <rFont val="Tahoma"/>
            <family val="2"/>
          </rPr>
          <t xml:space="preserve">
</t>
        </r>
      </text>
    </comment>
    <comment ref="G187" authorId="0" shapeId="0" xr:uid="{E42CF36B-D94E-4C3A-98BC-B45726BAF518}">
      <text>
        <r>
          <rPr>
            <sz val="9"/>
            <color indexed="81"/>
            <rFont val="Tahoma"/>
            <family val="2"/>
          </rPr>
          <t xml:space="preserve">See note on CFC-11
</t>
        </r>
      </text>
    </comment>
    <comment ref="I187" authorId="0" shapeId="0" xr:uid="{8A49D727-D026-4C0E-9C53-6C749C1BA549}">
      <text>
        <r>
          <rPr>
            <sz val="9"/>
            <color indexed="81"/>
            <rFont val="Tahoma"/>
            <family val="2"/>
          </rPr>
          <t xml:space="preserve">See note on CFC-11
</t>
        </r>
      </text>
    </comment>
    <comment ref="J187" authorId="0" shapeId="0" xr:uid="{2D4BB1D0-6548-47C2-8E60-2B430082C7FD}">
      <text>
        <r>
          <rPr>
            <sz val="9"/>
            <color indexed="81"/>
            <rFont val="Tahoma"/>
            <family val="2"/>
          </rPr>
          <t xml:space="preserve">See notes on CFC11
</t>
        </r>
      </text>
    </comment>
    <comment ref="A188" authorId="0" shapeId="0" xr:uid="{B112B9B8-CE1E-43E4-8AAE-9A50C3229297}">
      <text>
        <r>
          <rPr>
            <sz val="9"/>
            <color indexed="81"/>
            <rFont val="Tahoma"/>
            <family val="2"/>
          </rPr>
          <t xml:space="preserve">CH2FCF2CCl3,
1,1,1-Trichloro-2,2,3-trifluoropropane
</t>
        </r>
      </text>
    </comment>
    <comment ref="C188" authorId="0" shapeId="0" xr:uid="{261B4D59-B2A9-4BB8-B688-8370D19387B8}">
      <text>
        <r>
          <rPr>
            <sz val="9"/>
            <color indexed="81"/>
            <rFont val="Tahoma"/>
            <family val="2"/>
          </rPr>
          <t>https://csl.noaa.gov/groups/csl5/datasets/data/hcfcs/Summary%20HCFC-233.pdf</t>
        </r>
      </text>
    </comment>
    <comment ref="D188" authorId="0" shapeId="0" xr:uid="{7E834E5B-62F8-4C75-9CA8-5742BCA1C26C}">
      <text>
        <r>
          <rPr>
            <sz val="9"/>
            <color indexed="81"/>
            <rFont val="Tahoma"/>
            <family val="2"/>
          </rPr>
          <t xml:space="preserve">Uncertainty estimated from difference between well-mixed (499) and lifetime adjusted (466) GWP </t>
        </r>
      </text>
    </comment>
    <comment ref="E188" authorId="0" shapeId="0" xr:uid="{EFE2098B-8E3F-47DD-98A0-3DD4558D0A04}">
      <text>
        <r>
          <rPr>
            <sz val="9"/>
            <color indexed="81"/>
            <rFont val="Tahoma"/>
            <family val="2"/>
          </rPr>
          <t>https://csl.noaa.gov/groups/csl5/datasets/data/hcfcs/Summary%20HCFC-233.pdf</t>
        </r>
      </text>
    </comment>
    <comment ref="F188" authorId="0" shapeId="0" xr:uid="{B2DF4E96-1970-4A5E-B6CE-03E5419294AC}">
      <text>
        <r>
          <rPr>
            <sz val="9"/>
            <color indexed="81"/>
            <rFont val="Tahoma"/>
            <family val="2"/>
          </rPr>
          <t>Assumed to be subject to the same kind of uncertainties as the GWP estimate</t>
        </r>
        <r>
          <rPr>
            <sz val="9"/>
            <color indexed="81"/>
            <rFont val="Tahoma"/>
            <family val="2"/>
          </rPr>
          <t xml:space="preserve">
</t>
        </r>
      </text>
    </comment>
    <comment ref="G188" authorId="0" shapeId="0" xr:uid="{6212BE71-A323-4F80-8325-EDAF254FCBCD}">
      <text>
        <r>
          <rPr>
            <sz val="9"/>
            <color indexed="81"/>
            <rFont val="Tahoma"/>
            <family val="2"/>
          </rPr>
          <t xml:space="preserve">See note on CFC-11
</t>
        </r>
      </text>
    </comment>
    <comment ref="I188" authorId="0" shapeId="0" xr:uid="{1C49E400-4698-456C-A3FC-356D21B6284C}">
      <text>
        <r>
          <rPr>
            <sz val="9"/>
            <color indexed="81"/>
            <rFont val="Tahoma"/>
            <family val="2"/>
          </rPr>
          <t xml:space="preserve">See note on CFC-11
</t>
        </r>
      </text>
    </comment>
    <comment ref="J188" authorId="0" shapeId="0" xr:uid="{4B60BE4C-AB48-402C-8583-2F51B254A698}">
      <text>
        <r>
          <rPr>
            <sz val="9"/>
            <color indexed="81"/>
            <rFont val="Tahoma"/>
            <family val="2"/>
          </rPr>
          <t xml:space="preserve">See notes on CFC11
</t>
        </r>
      </text>
    </comment>
    <comment ref="A189" authorId="0" shapeId="0" xr:uid="{32388350-BED4-48F8-8EA1-4C997E2F5A25}">
      <text>
        <r>
          <rPr>
            <sz val="9"/>
            <color indexed="81"/>
            <rFont val="Tahoma"/>
            <family val="2"/>
          </rPr>
          <t xml:space="preserve">CHCl2CHClCF3,
2,3,3-Trichloro-1,1,1-trifluoropropane
</t>
        </r>
      </text>
    </comment>
    <comment ref="C189" authorId="0" shapeId="0" xr:uid="{02DE0DD5-431B-4C4B-B946-6C7A7D64DA76}">
      <text>
        <r>
          <rPr>
            <sz val="9"/>
            <color indexed="81"/>
            <rFont val="Tahoma"/>
            <family val="2"/>
          </rPr>
          <t>https://csl.noaa.gov/groups/csl5/datasets/data/hcfcs/Summary%20HCFC-233.pdf</t>
        </r>
      </text>
    </comment>
    <comment ref="D189" authorId="0" shapeId="0" xr:uid="{D6E7704C-40B3-42F8-A721-23B7A2D2D7F8}">
      <text>
        <r>
          <rPr>
            <sz val="9"/>
            <color indexed="81"/>
            <rFont val="Tahoma"/>
            <family val="2"/>
          </rPr>
          <t xml:space="preserve">Uncertainty estimated from difference between well-mixed (53) and lifetime adjusted (38) GWP </t>
        </r>
      </text>
    </comment>
    <comment ref="E189" authorId="0" shapeId="0" xr:uid="{1E310D58-4946-4B8D-986B-AE4AF1BA5864}">
      <text>
        <r>
          <rPr>
            <sz val="9"/>
            <color indexed="81"/>
            <rFont val="Tahoma"/>
            <family val="2"/>
          </rPr>
          <t>https://csl.noaa.gov/groups/csl5/datasets/data/hcfcs/Summary%20HCFC-233.pdf</t>
        </r>
      </text>
    </comment>
    <comment ref="F189" authorId="0" shapeId="0" xr:uid="{5CC9DB80-4DBD-4B91-9E54-975088B4131A}">
      <text>
        <r>
          <rPr>
            <sz val="9"/>
            <color indexed="81"/>
            <rFont val="Tahoma"/>
            <family val="2"/>
          </rPr>
          <t>Assumed to be subject to the same kind of uncertainties as the GWP estimate</t>
        </r>
        <r>
          <rPr>
            <sz val="9"/>
            <color indexed="81"/>
            <rFont val="Tahoma"/>
            <family val="2"/>
          </rPr>
          <t xml:space="preserve">
</t>
        </r>
      </text>
    </comment>
    <comment ref="G189" authorId="0" shapeId="0" xr:uid="{6275C36C-4A3D-464D-9693-494581B64EA2}">
      <text>
        <r>
          <rPr>
            <sz val="9"/>
            <color indexed="81"/>
            <rFont val="Tahoma"/>
            <family val="2"/>
          </rPr>
          <t xml:space="preserve">See note on CFC-11
</t>
        </r>
      </text>
    </comment>
    <comment ref="I189" authorId="0" shapeId="0" xr:uid="{E798FE1E-938E-45A2-84E4-1C7AB6F32197}">
      <text>
        <r>
          <rPr>
            <sz val="9"/>
            <color indexed="81"/>
            <rFont val="Tahoma"/>
            <family val="2"/>
          </rPr>
          <t xml:space="preserve">See note on CFC-11
</t>
        </r>
      </text>
    </comment>
    <comment ref="J189" authorId="0" shapeId="0" xr:uid="{08456A9D-C71D-467B-AE29-3C9E175AB55D}">
      <text>
        <r>
          <rPr>
            <sz val="9"/>
            <color indexed="81"/>
            <rFont val="Tahoma"/>
            <family val="2"/>
          </rPr>
          <t xml:space="preserve">See notes on CFC11
</t>
        </r>
      </text>
    </comment>
    <comment ref="A190" authorId="0" shapeId="0" xr:uid="{539C17D7-2EDD-4841-8887-6EEFADB1CC35}">
      <text>
        <r>
          <rPr>
            <sz val="9"/>
            <color indexed="81"/>
            <rFont val="Tahoma"/>
            <family val="2"/>
          </rPr>
          <t xml:space="preserve">CHClFCHClCClF2,
1,2,3-Trichloro-1,1,3-trifluoropropane
</t>
        </r>
      </text>
    </comment>
    <comment ref="C190" authorId="0" shapeId="0" xr:uid="{3456E97B-5951-4156-9903-502B48C902F7}">
      <text>
        <r>
          <rPr>
            <sz val="9"/>
            <color indexed="81"/>
            <rFont val="Tahoma"/>
            <family val="2"/>
          </rPr>
          <t>https://csl.noaa.gov/groups/csl5/datasets/data/hcfcs/Summary%20HCFC-233.pdf</t>
        </r>
      </text>
    </comment>
    <comment ref="D190" authorId="0" shapeId="0" xr:uid="{42DB1206-EC92-4E21-B3CB-D59159251212}">
      <text>
        <r>
          <rPr>
            <sz val="9"/>
            <color indexed="81"/>
            <rFont val="Tahoma"/>
            <family val="2"/>
          </rPr>
          <t xml:space="preserve">Uncertainty estimated from difference between well-mixed (198) and lifetime adjusted (171) GWP </t>
        </r>
      </text>
    </comment>
    <comment ref="E190" authorId="0" shapeId="0" xr:uid="{7A75F190-8284-4752-98D3-4F5C05180429}">
      <text>
        <r>
          <rPr>
            <sz val="9"/>
            <color indexed="81"/>
            <rFont val="Tahoma"/>
            <family val="2"/>
          </rPr>
          <t>https://csl.noaa.gov/groups/csl5/datasets/data/hcfcs/Summary%20HCFC-233.pdf</t>
        </r>
      </text>
    </comment>
    <comment ref="F190" authorId="0" shapeId="0" xr:uid="{12F0365C-57A0-4220-AFB6-FD077398934B}">
      <text>
        <r>
          <rPr>
            <sz val="9"/>
            <color indexed="81"/>
            <rFont val="Tahoma"/>
            <family val="2"/>
          </rPr>
          <t>Assumed to be subject to the same kind of uncertainties as the GWP estimate</t>
        </r>
        <r>
          <rPr>
            <sz val="9"/>
            <color indexed="81"/>
            <rFont val="Tahoma"/>
            <family val="2"/>
          </rPr>
          <t xml:space="preserve">
</t>
        </r>
      </text>
    </comment>
    <comment ref="G190" authorId="0" shapeId="0" xr:uid="{795FD881-F944-461A-A755-3FA9F0D195C9}">
      <text>
        <r>
          <rPr>
            <sz val="9"/>
            <color indexed="81"/>
            <rFont val="Tahoma"/>
            <family val="2"/>
          </rPr>
          <t xml:space="preserve">See note on CFC-11
</t>
        </r>
      </text>
    </comment>
    <comment ref="I190" authorId="0" shapeId="0" xr:uid="{B5AB76E7-9FEF-4DE2-9B66-D10184BD29FA}">
      <text>
        <r>
          <rPr>
            <sz val="9"/>
            <color indexed="81"/>
            <rFont val="Tahoma"/>
            <family val="2"/>
          </rPr>
          <t xml:space="preserve">See note on CFC-11
</t>
        </r>
      </text>
    </comment>
    <comment ref="J190" authorId="0" shapeId="0" xr:uid="{01DC4E5F-D3B6-480D-B4AB-955CD7F9A309}">
      <text>
        <r>
          <rPr>
            <sz val="9"/>
            <color indexed="81"/>
            <rFont val="Tahoma"/>
            <family val="2"/>
          </rPr>
          <t xml:space="preserve">See notes on CFC11
</t>
        </r>
      </text>
    </comment>
    <comment ref="A191" authorId="0" shapeId="0" xr:uid="{544D2388-7D67-47A2-B0DA-A18D1F065D88}">
      <text>
        <r>
          <rPr>
            <sz val="9"/>
            <color indexed="81"/>
            <rFont val="Tahoma"/>
            <family val="2"/>
          </rPr>
          <t xml:space="preserve">CHF2CHClCCl2F,
1,1,2-Trichloro-1,3,3-trifluoropropane
</t>
        </r>
      </text>
    </comment>
    <comment ref="C191" authorId="0" shapeId="0" xr:uid="{280A6AD9-D56D-441C-B943-A47C83A77FFC}">
      <text>
        <r>
          <rPr>
            <sz val="9"/>
            <color indexed="81"/>
            <rFont val="Tahoma"/>
            <family val="2"/>
          </rPr>
          <t>https://csl.noaa.gov/groups/csl5/datasets/data/hcfcs/Summary%20HCFC-233.pdf</t>
        </r>
      </text>
    </comment>
    <comment ref="D191" authorId="0" shapeId="0" xr:uid="{99E334FA-4DD9-499B-B40F-1C4485DB014B}">
      <text>
        <r>
          <rPr>
            <sz val="9"/>
            <color indexed="81"/>
            <rFont val="Tahoma"/>
            <family val="2"/>
          </rPr>
          <t xml:space="preserve">Uncertainty estimated from difference between well-mixed (293) and lifetime adjusted (263) GWP </t>
        </r>
      </text>
    </comment>
    <comment ref="E191" authorId="0" shapeId="0" xr:uid="{7C503E47-9D6D-4D0E-B471-99EA105D7DFC}">
      <text>
        <r>
          <rPr>
            <sz val="9"/>
            <color indexed="81"/>
            <rFont val="Tahoma"/>
            <family val="2"/>
          </rPr>
          <t>https://csl.noaa.gov/groups/csl5/datasets/data/hcfcs/Summary%20HCFC-233.pdf</t>
        </r>
      </text>
    </comment>
    <comment ref="F191" authorId="0" shapeId="0" xr:uid="{FA09339F-157D-4CB5-9DE7-775E438AD017}">
      <text>
        <r>
          <rPr>
            <sz val="9"/>
            <color indexed="81"/>
            <rFont val="Tahoma"/>
            <family val="2"/>
          </rPr>
          <t>Assumed to be subject to the same kind of uncertainties as the GWP estimate</t>
        </r>
        <r>
          <rPr>
            <sz val="9"/>
            <color indexed="81"/>
            <rFont val="Tahoma"/>
            <family val="2"/>
          </rPr>
          <t xml:space="preserve">
</t>
        </r>
      </text>
    </comment>
    <comment ref="G191" authorId="0" shapeId="0" xr:uid="{2EA653B7-5025-45F4-AE87-EC46E3A59A0E}">
      <text>
        <r>
          <rPr>
            <sz val="9"/>
            <color indexed="81"/>
            <rFont val="Tahoma"/>
            <family val="2"/>
          </rPr>
          <t xml:space="preserve">See note on CFC-11
</t>
        </r>
      </text>
    </comment>
    <comment ref="I191" authorId="0" shapeId="0" xr:uid="{A559F7CF-75F8-4072-8246-53864BDE24B1}">
      <text>
        <r>
          <rPr>
            <sz val="9"/>
            <color indexed="81"/>
            <rFont val="Tahoma"/>
            <family val="2"/>
          </rPr>
          <t xml:space="preserve">See note on CFC-11
</t>
        </r>
      </text>
    </comment>
    <comment ref="J191" authorId="0" shapeId="0" xr:uid="{0B0B8D30-ACA7-434D-B6D2-CF146519C4D7}">
      <text>
        <r>
          <rPr>
            <sz val="9"/>
            <color indexed="81"/>
            <rFont val="Tahoma"/>
            <family val="2"/>
          </rPr>
          <t xml:space="preserve">See notes on CFC11
</t>
        </r>
      </text>
    </comment>
    <comment ref="A192" authorId="0" shapeId="0" xr:uid="{030EB0AD-7266-40FD-8E4B-2D0D2BF8CC82}">
      <text>
        <r>
          <rPr>
            <sz val="9"/>
            <color indexed="81"/>
            <rFont val="Tahoma"/>
            <family val="2"/>
          </rPr>
          <t xml:space="preserve">CHCl2CHFCClF2,
1,1,3-Trichloro-2,3,3-trifluoropropane
</t>
        </r>
      </text>
    </comment>
    <comment ref="C192" authorId="0" shapeId="0" xr:uid="{4558FEF4-7038-4C88-AA36-FE56D6959CBC}">
      <text>
        <r>
          <rPr>
            <sz val="9"/>
            <color indexed="81"/>
            <rFont val="Tahoma"/>
            <family val="2"/>
          </rPr>
          <t>https://csl.noaa.gov/groups/csl5/datasets/data/hcfcs/Summary%20HCFC-233.pdf</t>
        </r>
      </text>
    </comment>
    <comment ref="D192" authorId="0" shapeId="0" xr:uid="{E22E487D-507F-4ECE-AF9B-8DCA6868A935}">
      <text>
        <r>
          <rPr>
            <sz val="9"/>
            <color indexed="81"/>
            <rFont val="Tahoma"/>
            <family val="2"/>
          </rPr>
          <t xml:space="preserve">Uncertainty estimated from difference between well-mixed (74) and lifetime adjusted (54) GWP </t>
        </r>
      </text>
    </comment>
    <comment ref="E192" authorId="0" shapeId="0" xr:uid="{3279306B-F43B-46B0-BFD0-0A903D53879C}">
      <text>
        <r>
          <rPr>
            <sz val="9"/>
            <color indexed="81"/>
            <rFont val="Tahoma"/>
            <family val="2"/>
          </rPr>
          <t>https://csl.noaa.gov/groups/csl5/datasets/data/hcfcs/Summary%20HCFC-233.pdf</t>
        </r>
      </text>
    </comment>
    <comment ref="F192" authorId="0" shapeId="0" xr:uid="{C35E1733-9E1C-4DCD-8C77-F8FE1F699948}">
      <text>
        <r>
          <rPr>
            <sz val="9"/>
            <color indexed="81"/>
            <rFont val="Tahoma"/>
            <family val="2"/>
          </rPr>
          <t>Assumed to be subject to the same kind of uncertainties as the GWP estimate</t>
        </r>
        <r>
          <rPr>
            <sz val="9"/>
            <color indexed="81"/>
            <rFont val="Tahoma"/>
            <family val="2"/>
          </rPr>
          <t xml:space="preserve">
</t>
        </r>
      </text>
    </comment>
    <comment ref="G192" authorId="0" shapeId="0" xr:uid="{49693204-5033-4ABE-9A54-D195F04255DC}">
      <text>
        <r>
          <rPr>
            <sz val="9"/>
            <color indexed="81"/>
            <rFont val="Tahoma"/>
            <family val="2"/>
          </rPr>
          <t xml:space="preserve">See note on CFC-11
</t>
        </r>
      </text>
    </comment>
    <comment ref="I192" authorId="0" shapeId="0" xr:uid="{0459A7CF-BA4A-4D39-99F9-4D2B410AC036}">
      <text>
        <r>
          <rPr>
            <sz val="9"/>
            <color indexed="81"/>
            <rFont val="Tahoma"/>
            <family val="2"/>
          </rPr>
          <t xml:space="preserve">See note on CFC-11
</t>
        </r>
      </text>
    </comment>
    <comment ref="J192" authorId="0" shapeId="0" xr:uid="{E283F742-5CB6-4D2D-A3A3-47671D799D2F}">
      <text>
        <r>
          <rPr>
            <sz val="9"/>
            <color indexed="81"/>
            <rFont val="Tahoma"/>
            <family val="2"/>
          </rPr>
          <t xml:space="preserve">See notes on CFC11
</t>
        </r>
      </text>
    </comment>
    <comment ref="A193" authorId="0" shapeId="0" xr:uid="{A19F6E71-CE72-4493-8F93-7EE791162BB3}">
      <text>
        <r>
          <rPr>
            <sz val="9"/>
            <color indexed="81"/>
            <rFont val="Tahoma"/>
            <family val="2"/>
          </rPr>
          <t xml:space="preserve">CHClFCHFCCl2F,
1,1,3-Trichloro-1,2,3-trifluoropropane
</t>
        </r>
      </text>
    </comment>
    <comment ref="C193" authorId="0" shapeId="0" xr:uid="{83E92EB0-7DB0-4A28-9579-9902153279F7}">
      <text>
        <r>
          <rPr>
            <sz val="9"/>
            <color indexed="81"/>
            <rFont val="Tahoma"/>
            <family val="2"/>
          </rPr>
          <t>https://csl.noaa.gov/groups/csl5/datasets/data/hcfcs/Summary%20HCFC-233.pdf</t>
        </r>
      </text>
    </comment>
    <comment ref="D193" authorId="0" shapeId="0" xr:uid="{45D29AC5-9A9A-487C-818B-0C6A6060F0F4}">
      <text>
        <r>
          <rPr>
            <sz val="9"/>
            <color indexed="81"/>
            <rFont val="Tahoma"/>
            <family val="2"/>
          </rPr>
          <t xml:space="preserve">Uncertainty estimated from difference between well-mixed (180) and lifetime adjusted (155) GWP </t>
        </r>
      </text>
    </comment>
    <comment ref="E193" authorId="0" shapeId="0" xr:uid="{62C57676-2BBD-4A7E-B0D3-47C0063BED14}">
      <text>
        <r>
          <rPr>
            <sz val="9"/>
            <color indexed="81"/>
            <rFont val="Tahoma"/>
            <family val="2"/>
          </rPr>
          <t>https://csl.noaa.gov/groups/csl5/datasets/data/hcfcs/Summary%20HCFC-233.pdf</t>
        </r>
      </text>
    </comment>
    <comment ref="F193" authorId="0" shapeId="0" xr:uid="{48C20919-E1E9-48F0-9DDF-380CC22022AB}">
      <text>
        <r>
          <rPr>
            <sz val="9"/>
            <color indexed="81"/>
            <rFont val="Tahoma"/>
            <family val="2"/>
          </rPr>
          <t>Assumed to be subject to the same kind of uncertainties as the GWP estimate</t>
        </r>
        <r>
          <rPr>
            <sz val="9"/>
            <color indexed="81"/>
            <rFont val="Tahoma"/>
            <family val="2"/>
          </rPr>
          <t xml:space="preserve">
</t>
        </r>
      </text>
    </comment>
    <comment ref="G193" authorId="0" shapeId="0" xr:uid="{6F5CC73D-C7F7-4C38-ACE1-6C8618F605A2}">
      <text>
        <r>
          <rPr>
            <sz val="9"/>
            <color indexed="81"/>
            <rFont val="Tahoma"/>
            <family val="2"/>
          </rPr>
          <t xml:space="preserve">See note on CFC-11
</t>
        </r>
      </text>
    </comment>
    <comment ref="I193" authorId="0" shapeId="0" xr:uid="{59AFE2AA-7885-4B3C-A6BE-6D2FD5849CDB}">
      <text>
        <r>
          <rPr>
            <sz val="9"/>
            <color indexed="81"/>
            <rFont val="Tahoma"/>
            <family val="2"/>
          </rPr>
          <t xml:space="preserve">See note on CFC-11
</t>
        </r>
      </text>
    </comment>
    <comment ref="J193" authorId="0" shapeId="0" xr:uid="{879AD6F0-B268-4159-B030-1EF3CA0A3D73}">
      <text>
        <r>
          <rPr>
            <sz val="9"/>
            <color indexed="81"/>
            <rFont val="Tahoma"/>
            <family val="2"/>
          </rPr>
          <t xml:space="preserve">See notes on CFC11
</t>
        </r>
      </text>
    </comment>
    <comment ref="A194" authorId="0" shapeId="0" xr:uid="{E4C4ECF5-F0BD-48AD-B014-10FDF8F43D2D}">
      <text>
        <r>
          <rPr>
            <sz val="9"/>
            <color indexed="81"/>
            <rFont val="Tahoma"/>
            <family val="2"/>
          </rPr>
          <t xml:space="preserve">CHF2CHFCCl3,
1,1,1-Trichloro-2,3,3-trifluoropropane
</t>
        </r>
      </text>
    </comment>
    <comment ref="C194" authorId="0" shapeId="0" xr:uid="{D42EF752-A71C-4009-95E0-A1A273B53045}">
      <text>
        <r>
          <rPr>
            <sz val="9"/>
            <color indexed="81"/>
            <rFont val="Tahoma"/>
            <family val="2"/>
          </rPr>
          <t>https://csl.noaa.gov/groups/csl5/datasets/data/hcfcs/Summary%20HCFC-233.pdf</t>
        </r>
      </text>
    </comment>
    <comment ref="D194" authorId="0" shapeId="0" xr:uid="{10F62DD7-1353-499B-967F-F3EB1B6E8403}">
      <text>
        <r>
          <rPr>
            <sz val="9"/>
            <color indexed="81"/>
            <rFont val="Tahoma"/>
            <family val="2"/>
          </rPr>
          <t xml:space="preserve">Uncertainty estimated from difference between well-mixed (324) and lifetime adjusted (295) GWP </t>
        </r>
      </text>
    </comment>
    <comment ref="E194" authorId="0" shapeId="0" xr:uid="{17EF8D56-349C-478F-8BDD-E22B859712E2}">
      <text>
        <r>
          <rPr>
            <sz val="9"/>
            <color indexed="81"/>
            <rFont val="Tahoma"/>
            <family val="2"/>
          </rPr>
          <t>https://csl.noaa.gov/groups/csl5/datasets/data/hcfcs/Summary%20HCFC-233.pdf</t>
        </r>
      </text>
    </comment>
    <comment ref="F194" authorId="0" shapeId="0" xr:uid="{3E7E4484-8FAE-4502-A124-51D31952822A}">
      <text>
        <r>
          <rPr>
            <sz val="9"/>
            <color indexed="81"/>
            <rFont val="Tahoma"/>
            <family val="2"/>
          </rPr>
          <t>Assumed to be subject to the same kind of uncertainties as the GWP estimate</t>
        </r>
        <r>
          <rPr>
            <sz val="9"/>
            <color indexed="81"/>
            <rFont val="Tahoma"/>
            <family val="2"/>
          </rPr>
          <t xml:space="preserve">
</t>
        </r>
      </text>
    </comment>
    <comment ref="G194" authorId="0" shapeId="0" xr:uid="{74869787-BA79-4829-B8D5-0E34CFAFC5C4}">
      <text>
        <r>
          <rPr>
            <sz val="9"/>
            <color indexed="81"/>
            <rFont val="Tahoma"/>
            <family val="2"/>
          </rPr>
          <t xml:space="preserve">See note on CFC-11
</t>
        </r>
      </text>
    </comment>
    <comment ref="I194" authorId="0" shapeId="0" xr:uid="{BB02A06A-88B8-4701-A555-FA820E101584}">
      <text>
        <r>
          <rPr>
            <sz val="9"/>
            <color indexed="81"/>
            <rFont val="Tahoma"/>
            <family val="2"/>
          </rPr>
          <t xml:space="preserve">See note on CFC-11
</t>
        </r>
      </text>
    </comment>
    <comment ref="J194" authorId="0" shapeId="0" xr:uid="{0ED21441-542B-4A41-B2E7-9A507D8EF07A}">
      <text>
        <r>
          <rPr>
            <sz val="9"/>
            <color indexed="81"/>
            <rFont val="Tahoma"/>
            <family val="2"/>
          </rPr>
          <t xml:space="preserve">See notes on CFC11
</t>
        </r>
      </text>
    </comment>
    <comment ref="A195" authorId="0" shapeId="0" xr:uid="{89688B9A-0C1D-43E7-BAA3-EEA1CB8ADDD6}">
      <text>
        <r>
          <rPr>
            <sz val="9"/>
            <color indexed="81"/>
            <rFont val="Tahoma"/>
            <family val="2"/>
          </rPr>
          <t xml:space="preserve">CCl2FCH2CClF2,
1,1,3-Trichloro-1,3,3-trifluoropropane
</t>
        </r>
      </text>
    </comment>
    <comment ref="C195" authorId="0" shapeId="0" xr:uid="{AC3F8948-6163-4384-90BA-0904E424AA63}">
      <text>
        <r>
          <rPr>
            <sz val="9"/>
            <color indexed="81"/>
            <rFont val="Tahoma"/>
            <family val="2"/>
          </rPr>
          <t>https://csl.noaa.gov/groups/csl5/datasets/data/hcfcs/Summary%20HCFC-233.pdf</t>
        </r>
      </text>
    </comment>
    <comment ref="D195" authorId="0" shapeId="0" xr:uid="{CD40A26A-A85A-4DCA-9CB8-A221F923AF92}">
      <text>
        <r>
          <rPr>
            <sz val="9"/>
            <color indexed="81"/>
            <rFont val="Tahoma"/>
            <family val="2"/>
          </rPr>
          <t xml:space="preserve">Uncertainty estimated from difference between well-mixed (1547) and lifetime adjusted (1496) GWP </t>
        </r>
      </text>
    </comment>
    <comment ref="E195" authorId="0" shapeId="0" xr:uid="{FF5E34F1-BD8B-43E2-A464-29DB5A7158B8}">
      <text>
        <r>
          <rPr>
            <sz val="9"/>
            <color indexed="81"/>
            <rFont val="Tahoma"/>
            <family val="2"/>
          </rPr>
          <t>https://csl.noaa.gov/groups/csl5/datasets/data/hcfcs/Summary%20HCFC-233.pdf</t>
        </r>
      </text>
    </comment>
    <comment ref="F195" authorId="0" shapeId="0" xr:uid="{A63A384C-D634-46D0-8973-5B48EAD0E90F}">
      <text>
        <r>
          <rPr>
            <sz val="9"/>
            <color indexed="81"/>
            <rFont val="Tahoma"/>
            <family val="2"/>
          </rPr>
          <t>Assumed to be subject to the same kind of uncertainties as the GWP estimate</t>
        </r>
        <r>
          <rPr>
            <sz val="9"/>
            <color indexed="81"/>
            <rFont val="Tahoma"/>
            <family val="2"/>
          </rPr>
          <t xml:space="preserve">
</t>
        </r>
      </text>
    </comment>
    <comment ref="G195" authorId="0" shapeId="0" xr:uid="{B4350680-8559-42A8-B490-6D62A4A2148C}">
      <text>
        <r>
          <rPr>
            <sz val="9"/>
            <color indexed="81"/>
            <rFont val="Tahoma"/>
            <family val="2"/>
          </rPr>
          <t xml:space="preserve">See note on CFC-11
</t>
        </r>
      </text>
    </comment>
    <comment ref="I195" authorId="0" shapeId="0" xr:uid="{86BE5D6F-DEDE-4ECB-8ACE-003612C70F77}">
      <text>
        <r>
          <rPr>
            <sz val="9"/>
            <color indexed="81"/>
            <rFont val="Tahoma"/>
            <family val="2"/>
          </rPr>
          <t xml:space="preserve">See note on CFC-11
</t>
        </r>
      </text>
    </comment>
    <comment ref="J195" authorId="0" shapeId="0" xr:uid="{63784A6B-1EB3-4253-980B-8CCD47559804}">
      <text>
        <r>
          <rPr>
            <sz val="9"/>
            <color indexed="81"/>
            <rFont val="Tahoma"/>
            <family val="2"/>
          </rPr>
          <t xml:space="preserve">See notes on CFC11
</t>
        </r>
      </text>
    </comment>
    <comment ref="A196" authorId="0" shapeId="0" xr:uid="{9AD39DD4-9205-4B9B-A0DD-62819AEE5873}">
      <text>
        <r>
          <rPr>
            <sz val="9"/>
            <color indexed="81"/>
            <rFont val="Tahoma"/>
            <family val="2"/>
          </rPr>
          <t xml:space="preserve">CHF2CCl2CHF2,
2,2-Dichloro-1,1,3,3-tetrafluoropropane
</t>
        </r>
      </text>
    </comment>
    <comment ref="C196" authorId="0" shapeId="0" xr:uid="{7F45DDF5-7D31-4641-9809-76BCD0A42CCE}">
      <text>
        <r>
          <rPr>
            <sz val="9"/>
            <color indexed="81"/>
            <rFont val="Tahoma"/>
            <family val="2"/>
          </rPr>
          <t>https://csl.noaa.gov/groups/csl5/datasets/data/hcfcs/Summary%20HCFC-234.pdf</t>
        </r>
      </text>
    </comment>
    <comment ref="D196" authorId="0" shapeId="0" xr:uid="{0921CCF8-D6DA-41CE-B935-0189F298CA48}">
      <text>
        <r>
          <rPr>
            <sz val="9"/>
            <color indexed="81"/>
            <rFont val="Tahoma"/>
            <family val="2"/>
          </rPr>
          <t xml:space="preserve">Uncertainty estimated from difference between well-mixed (455) and lifetime adjusted (426) GWP </t>
        </r>
      </text>
    </comment>
    <comment ref="E196" authorId="0" shapeId="0" xr:uid="{C970F085-A9B5-4BE7-BB10-1229B0E9B462}">
      <text>
        <r>
          <rPr>
            <sz val="9"/>
            <color indexed="81"/>
            <rFont val="Tahoma"/>
            <family val="2"/>
          </rPr>
          <t>https://csl.noaa.gov/groups/csl5/datasets/data/hcfcs/Summary%20HCFC-234.pdf</t>
        </r>
      </text>
    </comment>
    <comment ref="F196" authorId="0" shapeId="0" xr:uid="{F75F5778-4836-473B-8E28-42A3864FD50D}">
      <text>
        <r>
          <rPr>
            <sz val="9"/>
            <color indexed="81"/>
            <rFont val="Tahoma"/>
            <family val="2"/>
          </rPr>
          <t>Assumed to be subject to the same kind of uncertainties as the GWP estimate</t>
        </r>
        <r>
          <rPr>
            <sz val="9"/>
            <color indexed="81"/>
            <rFont val="Tahoma"/>
            <family val="2"/>
          </rPr>
          <t xml:space="preserve">
</t>
        </r>
      </text>
    </comment>
    <comment ref="G196" authorId="0" shapeId="0" xr:uid="{814E03D8-F84A-4F80-958A-05457987DCEC}">
      <text>
        <r>
          <rPr>
            <sz val="9"/>
            <color indexed="81"/>
            <rFont val="Tahoma"/>
            <family val="2"/>
          </rPr>
          <t xml:space="preserve">See note on CFC-11
</t>
        </r>
      </text>
    </comment>
    <comment ref="I196" authorId="0" shapeId="0" xr:uid="{198C8A9A-A83B-45EC-888A-94F8BB2D87B3}">
      <text>
        <r>
          <rPr>
            <sz val="9"/>
            <color indexed="81"/>
            <rFont val="Tahoma"/>
            <family val="2"/>
          </rPr>
          <t xml:space="preserve">See note on CFC-11
</t>
        </r>
      </text>
    </comment>
    <comment ref="J196" authorId="0" shapeId="0" xr:uid="{62F96291-214D-4F96-8CA1-2F96C07EDB11}">
      <text>
        <r>
          <rPr>
            <sz val="9"/>
            <color indexed="81"/>
            <rFont val="Tahoma"/>
            <family val="2"/>
          </rPr>
          <t xml:space="preserve">See notes on CFC11
</t>
        </r>
      </text>
    </comment>
    <comment ref="A197" authorId="0" shapeId="0" xr:uid="{00EC1284-151C-41D0-ABBA-4D143CD1A2EC}">
      <text>
        <r>
          <rPr>
            <sz val="9"/>
            <color indexed="81"/>
            <rFont val="Tahoma"/>
            <family val="2"/>
          </rPr>
          <t xml:space="preserve">CH2FCCl2CF3,
2,2-Dichloro-1,1,1,3-tetrafluoropropane
</t>
        </r>
      </text>
    </comment>
    <comment ref="C197" authorId="0" shapeId="0" xr:uid="{0C104AF1-3CFB-40E9-B97D-159487E33018}">
      <text>
        <r>
          <rPr>
            <sz val="9"/>
            <color indexed="81"/>
            <rFont val="Tahoma"/>
            <family val="2"/>
          </rPr>
          <t>https://csl.noaa.gov/groups/csl5/datasets/data/hcfcs/Summary%20HCFC-234.pdf</t>
        </r>
      </text>
    </comment>
    <comment ref="D197" authorId="0" shapeId="0" xr:uid="{A03D7F28-92D4-475D-9DE0-1221F3EAAEE2}">
      <text>
        <r>
          <rPr>
            <sz val="9"/>
            <color indexed="81"/>
            <rFont val="Tahoma"/>
            <family val="2"/>
          </rPr>
          <t xml:space="preserve">Uncertainty estimated from difference between well-mixed (295) and lifetime adjusted (267) GWP </t>
        </r>
      </text>
    </comment>
    <comment ref="E197" authorId="0" shapeId="0" xr:uid="{A43C7154-F5A8-4072-B097-81EDE56BB239}">
      <text>
        <r>
          <rPr>
            <sz val="9"/>
            <color indexed="81"/>
            <rFont val="Tahoma"/>
            <family val="2"/>
          </rPr>
          <t>https://csl.noaa.gov/groups/csl5/datasets/data/hcfcs/Summary%20HCFC-234.pdf</t>
        </r>
      </text>
    </comment>
    <comment ref="F197" authorId="0" shapeId="0" xr:uid="{E0ECE7DB-D43D-470E-B053-4AF0D973C779}">
      <text>
        <r>
          <rPr>
            <sz val="9"/>
            <color indexed="81"/>
            <rFont val="Tahoma"/>
            <family val="2"/>
          </rPr>
          <t>Assumed to be subject to the same kind of uncertainties as the GWP estimate</t>
        </r>
        <r>
          <rPr>
            <sz val="9"/>
            <color indexed="81"/>
            <rFont val="Tahoma"/>
            <family val="2"/>
          </rPr>
          <t xml:space="preserve">
</t>
        </r>
      </text>
    </comment>
    <comment ref="G197" authorId="0" shapeId="0" xr:uid="{6F0E0716-538E-4FBC-9317-43A458AD549B}">
      <text>
        <r>
          <rPr>
            <sz val="9"/>
            <color indexed="81"/>
            <rFont val="Tahoma"/>
            <family val="2"/>
          </rPr>
          <t xml:space="preserve">See note on CFC-11
</t>
        </r>
      </text>
    </comment>
    <comment ref="I197" authorId="0" shapeId="0" xr:uid="{75A8478F-0DAD-416D-9E89-9AC3F19D87BE}">
      <text>
        <r>
          <rPr>
            <sz val="9"/>
            <color indexed="81"/>
            <rFont val="Tahoma"/>
            <family val="2"/>
          </rPr>
          <t xml:space="preserve">See note on CFC-11
</t>
        </r>
      </text>
    </comment>
    <comment ref="J197" authorId="0" shapeId="0" xr:uid="{41283154-5266-4440-A10A-410E979AAA5E}">
      <text>
        <r>
          <rPr>
            <sz val="9"/>
            <color indexed="81"/>
            <rFont val="Tahoma"/>
            <family val="2"/>
          </rPr>
          <t xml:space="preserve">See notes on CFC11
</t>
        </r>
      </text>
    </comment>
    <comment ref="A198" authorId="0" shapeId="0" xr:uid="{037809A8-AC15-4839-9EA3-67988234BD48}">
      <text>
        <r>
          <rPr>
            <sz val="9"/>
            <color indexed="81"/>
            <rFont val="Tahoma"/>
            <family val="2"/>
          </rPr>
          <t xml:space="preserve">CHClFCClFCHF2,
1,2-Dichloro-1,2,3,3-tetrafluoropropane
</t>
        </r>
      </text>
    </comment>
    <comment ref="C198" authorId="0" shapeId="0" xr:uid="{FB72A5BE-D91F-49E5-95F4-C7E92E2C0EC4}">
      <text>
        <r>
          <rPr>
            <sz val="9"/>
            <color indexed="81"/>
            <rFont val="Tahoma"/>
            <family val="2"/>
          </rPr>
          <t>https://csl.noaa.gov/groups/csl5/datasets/data/hcfcs/Summary%20HCFC-234.pdf</t>
        </r>
      </text>
    </comment>
    <comment ref="D198" authorId="0" shapeId="0" xr:uid="{6B512752-806F-4C43-8C9B-62E178C73955}">
      <text>
        <r>
          <rPr>
            <sz val="9"/>
            <color indexed="81"/>
            <rFont val="Tahoma"/>
            <family val="2"/>
          </rPr>
          <t xml:space="preserve">Uncertainty estimated from difference between well-mixed (268) and lifetime adjusted (240) GWP </t>
        </r>
      </text>
    </comment>
    <comment ref="E198" authorId="0" shapeId="0" xr:uid="{A70AA40B-6C26-4D75-A463-89BE864DF2C2}">
      <text>
        <r>
          <rPr>
            <sz val="9"/>
            <color indexed="81"/>
            <rFont val="Tahoma"/>
            <family val="2"/>
          </rPr>
          <t>https://csl.noaa.gov/groups/csl5/datasets/data/hcfcs/Summary%20HCFC-234.pdf</t>
        </r>
      </text>
    </comment>
    <comment ref="F198" authorId="0" shapeId="0" xr:uid="{06D33F13-C12B-4E75-BA33-82B098E883F9}">
      <text>
        <r>
          <rPr>
            <sz val="9"/>
            <color indexed="81"/>
            <rFont val="Tahoma"/>
            <family val="2"/>
          </rPr>
          <t>Assumed to be subject to the same kind of uncertainties as the GWP estimate</t>
        </r>
        <r>
          <rPr>
            <sz val="9"/>
            <color indexed="81"/>
            <rFont val="Tahoma"/>
            <family val="2"/>
          </rPr>
          <t xml:space="preserve">
</t>
        </r>
      </text>
    </comment>
    <comment ref="G198" authorId="0" shapeId="0" xr:uid="{E12373A7-7D39-4859-9677-8A4BECD809C0}">
      <text>
        <r>
          <rPr>
            <sz val="9"/>
            <color indexed="81"/>
            <rFont val="Tahoma"/>
            <family val="2"/>
          </rPr>
          <t xml:space="preserve">See note on CFC-11
</t>
        </r>
      </text>
    </comment>
    <comment ref="I198" authorId="0" shapeId="0" xr:uid="{DFCED497-3AE5-4A4E-9B4F-D3E142DD6EBA}">
      <text>
        <r>
          <rPr>
            <sz val="9"/>
            <color indexed="81"/>
            <rFont val="Tahoma"/>
            <family val="2"/>
          </rPr>
          <t xml:space="preserve">See note on CFC-11
</t>
        </r>
      </text>
    </comment>
    <comment ref="J198" authorId="0" shapeId="0" xr:uid="{E9B1F3DD-FB61-47D2-832A-978891FF10C8}">
      <text>
        <r>
          <rPr>
            <sz val="9"/>
            <color indexed="81"/>
            <rFont val="Tahoma"/>
            <family val="2"/>
          </rPr>
          <t xml:space="preserve">See notes on CFC11
</t>
        </r>
      </text>
    </comment>
    <comment ref="A199" authorId="0" shapeId="0" xr:uid="{C9084F75-FA19-408F-A668-F5712B156974}">
      <text>
        <r>
          <rPr>
            <sz val="9"/>
            <color indexed="81"/>
            <rFont val="Tahoma"/>
            <family val="2"/>
          </rPr>
          <t xml:space="preserve">CH2ClCClFCF3,
2,3-Dichloro-1,1,1,2-tetrafluoropropane
</t>
        </r>
      </text>
    </comment>
    <comment ref="C199" authorId="0" shapeId="0" xr:uid="{FA931BBA-51DD-4D40-B58E-BC3765BDF21F}">
      <text>
        <r>
          <rPr>
            <sz val="9"/>
            <color indexed="81"/>
            <rFont val="Tahoma"/>
            <family val="2"/>
          </rPr>
          <t>https://csl.noaa.gov/groups/csl5/datasets/data/hcfcs/Summary%20HCFC-234.pdf</t>
        </r>
      </text>
    </comment>
    <comment ref="D199" authorId="0" shapeId="0" xr:uid="{8522731B-AC61-43F1-AED4-39DD232A344B}">
      <text>
        <r>
          <rPr>
            <sz val="9"/>
            <color indexed="81"/>
            <rFont val="Tahoma"/>
            <family val="2"/>
          </rPr>
          <t xml:space="preserve">Uncertainty estimated from difference between well-mixed (378) and lifetime adjusted (348) GWP </t>
        </r>
      </text>
    </comment>
    <comment ref="E199" authorId="0" shapeId="0" xr:uid="{FD00B634-F709-408D-BC6B-4969440C0017}">
      <text>
        <r>
          <rPr>
            <sz val="9"/>
            <color indexed="81"/>
            <rFont val="Tahoma"/>
            <family val="2"/>
          </rPr>
          <t>https://csl.noaa.gov/groups/csl5/datasets/data/hcfcs/Summary%20HCFC-234.pdf</t>
        </r>
      </text>
    </comment>
    <comment ref="F199" authorId="0" shapeId="0" xr:uid="{E8617754-09E3-49AD-B1B8-EB339C759DEA}">
      <text>
        <r>
          <rPr>
            <sz val="9"/>
            <color indexed="81"/>
            <rFont val="Tahoma"/>
            <family val="2"/>
          </rPr>
          <t>Assumed to be subject to the same kind of uncertainties as the GWP estimate</t>
        </r>
        <r>
          <rPr>
            <sz val="9"/>
            <color indexed="81"/>
            <rFont val="Tahoma"/>
            <family val="2"/>
          </rPr>
          <t xml:space="preserve">
</t>
        </r>
      </text>
    </comment>
    <comment ref="G199" authorId="0" shapeId="0" xr:uid="{946EE8B7-1B93-4E1B-95AC-303DC4D90CEF}">
      <text>
        <r>
          <rPr>
            <sz val="9"/>
            <color indexed="81"/>
            <rFont val="Tahoma"/>
            <family val="2"/>
          </rPr>
          <t xml:space="preserve">See note on CFC-11
</t>
        </r>
      </text>
    </comment>
    <comment ref="I199" authorId="0" shapeId="0" xr:uid="{A404DD2E-51EC-4BE6-9689-6B15ED1B200C}">
      <text>
        <r>
          <rPr>
            <sz val="9"/>
            <color indexed="81"/>
            <rFont val="Tahoma"/>
            <family val="2"/>
          </rPr>
          <t xml:space="preserve">See note on CFC-11
</t>
        </r>
      </text>
    </comment>
    <comment ref="J199" authorId="0" shapeId="0" xr:uid="{B6E9E052-AF99-4353-A384-315B989AB9D9}">
      <text>
        <r>
          <rPr>
            <sz val="9"/>
            <color indexed="81"/>
            <rFont val="Tahoma"/>
            <family val="2"/>
          </rPr>
          <t xml:space="preserve">See notes on CFC11
</t>
        </r>
      </text>
    </comment>
    <comment ref="A200" authorId="0" shapeId="0" xr:uid="{29CFEC0F-7B61-4E5B-BADC-B5352DB2C56D}">
      <text>
        <r>
          <rPr>
            <sz val="9"/>
            <color indexed="81"/>
            <rFont val="Tahoma"/>
            <family val="2"/>
          </rPr>
          <t xml:space="preserve">CH2FCClFCClF2,
1,2-Dichloro-1,1,2,3-tetrafluoropropane
</t>
        </r>
      </text>
    </comment>
    <comment ref="C200" authorId="0" shapeId="0" xr:uid="{6D983498-EBB3-4F6A-BB50-B014666FDFB9}">
      <text>
        <r>
          <rPr>
            <sz val="9"/>
            <color indexed="81"/>
            <rFont val="Tahoma"/>
            <family val="2"/>
          </rPr>
          <t>https://csl.noaa.gov/groups/csl5/datasets/data/hcfcs/Summary%20HCFC-234.pdf</t>
        </r>
      </text>
    </comment>
    <comment ref="D200" authorId="0" shapeId="0" xr:uid="{48F81251-6EF1-4C8E-AEB7-62622DB69B12}">
      <text>
        <r>
          <rPr>
            <sz val="9"/>
            <color indexed="81"/>
            <rFont val="Tahoma"/>
            <family val="2"/>
          </rPr>
          <t xml:space="preserve">Uncertainty estimated from difference between well-mixed (686) and lifetime adjusted (645) GWP </t>
        </r>
      </text>
    </comment>
    <comment ref="E200" authorId="0" shapeId="0" xr:uid="{2BB013DD-55AB-4D57-8A43-D119124836B4}">
      <text>
        <r>
          <rPr>
            <sz val="9"/>
            <color indexed="81"/>
            <rFont val="Tahoma"/>
            <family val="2"/>
          </rPr>
          <t>https://csl.noaa.gov/groups/csl5/datasets/data/hcfcs/Summary%20HCFC-234.pdf</t>
        </r>
      </text>
    </comment>
    <comment ref="F200" authorId="0" shapeId="0" xr:uid="{26CE16FF-FD8C-41B2-A0BB-53B282C2B5B4}">
      <text>
        <r>
          <rPr>
            <sz val="9"/>
            <color indexed="81"/>
            <rFont val="Tahoma"/>
            <family val="2"/>
          </rPr>
          <t>Assumed to be subject to the same kind of uncertainties as the GWP estimate</t>
        </r>
        <r>
          <rPr>
            <sz val="9"/>
            <color indexed="81"/>
            <rFont val="Tahoma"/>
            <family val="2"/>
          </rPr>
          <t xml:space="preserve">
</t>
        </r>
      </text>
    </comment>
    <comment ref="G200" authorId="0" shapeId="0" xr:uid="{B5E09697-8B3F-4FA8-B7E4-17BF2D085CB7}">
      <text>
        <r>
          <rPr>
            <sz val="9"/>
            <color indexed="81"/>
            <rFont val="Tahoma"/>
            <family val="2"/>
          </rPr>
          <t xml:space="preserve">See note on CFC-11
</t>
        </r>
      </text>
    </comment>
    <comment ref="I200" authorId="0" shapeId="0" xr:uid="{A7626EEC-3BF1-4481-9162-9DF5E7DBB7A7}">
      <text>
        <r>
          <rPr>
            <sz val="9"/>
            <color indexed="81"/>
            <rFont val="Tahoma"/>
            <family val="2"/>
          </rPr>
          <t xml:space="preserve">See note on CFC-11
</t>
        </r>
      </text>
    </comment>
    <comment ref="J200" authorId="0" shapeId="0" xr:uid="{22B4C75A-EDB1-40EE-B006-41B1C7DAEC25}">
      <text>
        <r>
          <rPr>
            <sz val="9"/>
            <color indexed="81"/>
            <rFont val="Tahoma"/>
            <family val="2"/>
          </rPr>
          <t xml:space="preserve">See notes on CFC11
</t>
        </r>
      </text>
    </comment>
    <comment ref="A201" authorId="0" shapeId="0" xr:uid="{D2D5AB3F-9A86-4B4F-B8D8-22D60E6A84DB}">
      <text>
        <r>
          <rPr>
            <sz val="9"/>
            <color indexed="81"/>
            <rFont val="Tahoma"/>
            <family val="2"/>
          </rPr>
          <t xml:space="preserve">CHClFCF2CHClF,
1,3-Dichloro-1,2,2,3-tetrafluoropropane
</t>
        </r>
      </text>
    </comment>
    <comment ref="C201" authorId="0" shapeId="0" xr:uid="{52E698BF-3B06-4E02-9E12-19DB67D40B3D}">
      <text>
        <r>
          <rPr>
            <sz val="9"/>
            <color indexed="81"/>
            <rFont val="Tahoma"/>
            <family val="2"/>
          </rPr>
          <t>https://csl.noaa.gov/groups/csl5/datasets/data/hcfcs/Summary%20HCFC-234.pdf</t>
        </r>
      </text>
    </comment>
    <comment ref="D201" authorId="0" shapeId="0" xr:uid="{A4235FFB-00AC-44FC-AE86-9DFCBE437998}">
      <text>
        <r>
          <rPr>
            <sz val="9"/>
            <color indexed="81"/>
            <rFont val="Tahoma"/>
            <family val="2"/>
          </rPr>
          <t xml:space="preserve">Uncertainty estimated from difference between well-mixed (212) and lifetime adjusted (185) GWP </t>
        </r>
      </text>
    </comment>
    <comment ref="E201" authorId="0" shapeId="0" xr:uid="{D725F0F3-015A-4596-AC4B-9F6767610832}">
      <text>
        <r>
          <rPr>
            <sz val="9"/>
            <color indexed="81"/>
            <rFont val="Tahoma"/>
            <family val="2"/>
          </rPr>
          <t>https://csl.noaa.gov/groups/csl5/datasets/data/hcfcs/Summary%20HCFC-234.pdf</t>
        </r>
      </text>
    </comment>
    <comment ref="F201" authorId="0" shapeId="0" xr:uid="{9937F80B-1813-4ADB-8571-E1A9CAF96394}">
      <text>
        <r>
          <rPr>
            <sz val="9"/>
            <color indexed="81"/>
            <rFont val="Tahoma"/>
            <family val="2"/>
          </rPr>
          <t>Assumed to be subject to the same kind of uncertainties as the GWP estimate</t>
        </r>
        <r>
          <rPr>
            <sz val="9"/>
            <color indexed="81"/>
            <rFont val="Tahoma"/>
            <family val="2"/>
          </rPr>
          <t xml:space="preserve">
</t>
        </r>
      </text>
    </comment>
    <comment ref="G201" authorId="0" shapeId="0" xr:uid="{EA1C54E8-3CD1-424D-A8C9-5617EF447DE1}">
      <text>
        <r>
          <rPr>
            <sz val="9"/>
            <color indexed="81"/>
            <rFont val="Tahoma"/>
            <family val="2"/>
          </rPr>
          <t xml:space="preserve">See note on CFC-11
</t>
        </r>
      </text>
    </comment>
    <comment ref="I201" authorId="0" shapeId="0" xr:uid="{8400A742-529A-45B3-B81F-52219829B5EA}">
      <text>
        <r>
          <rPr>
            <sz val="9"/>
            <color indexed="81"/>
            <rFont val="Tahoma"/>
            <family val="2"/>
          </rPr>
          <t xml:space="preserve">See note on CFC-11
</t>
        </r>
      </text>
    </comment>
    <comment ref="J201" authorId="0" shapeId="0" xr:uid="{EF7081CB-0345-4C3D-AAE8-ACE05848F951}">
      <text>
        <r>
          <rPr>
            <sz val="9"/>
            <color indexed="81"/>
            <rFont val="Tahoma"/>
            <family val="2"/>
          </rPr>
          <t xml:space="preserve">See notes on CFC11
</t>
        </r>
      </text>
    </comment>
    <comment ref="A202" authorId="0" shapeId="0" xr:uid="{600A6A7A-99E7-4B51-893B-52BD6C7F2C92}">
      <text>
        <r>
          <rPr>
            <sz val="9"/>
            <color indexed="81"/>
            <rFont val="Tahoma"/>
            <family val="2"/>
          </rPr>
          <t>CHCl2CF2CHF2
1,1-Dichloro-2,2,3,3-tetrafluoropropane</t>
        </r>
      </text>
    </comment>
    <comment ref="C202" authorId="0" shapeId="0" xr:uid="{D3B84EDC-3895-4BB8-9D72-B1C719D9871C}">
      <text>
        <r>
          <rPr>
            <sz val="9"/>
            <color indexed="81"/>
            <rFont val="Tahoma"/>
            <family val="2"/>
          </rPr>
          <t>https://csl.noaa.gov/groups/csl5/datasets/data/hcfcs/Summary%20HCFC-234.pdf</t>
        </r>
      </text>
    </comment>
    <comment ref="D202" authorId="0" shapeId="0" xr:uid="{062F95C3-B7F9-4BAC-BA05-486B218F0F95}">
      <text>
        <r>
          <rPr>
            <sz val="9"/>
            <color indexed="81"/>
            <rFont val="Tahoma"/>
            <family val="2"/>
          </rPr>
          <t xml:space="preserve">Uncertainty estimated from difference between well-mixed (132) and lifetime adjusted (108) GWP </t>
        </r>
      </text>
    </comment>
    <comment ref="E202" authorId="0" shapeId="0" xr:uid="{B0D5F7D5-D8CF-4805-934F-826350DBB99F}">
      <text>
        <r>
          <rPr>
            <sz val="9"/>
            <color indexed="81"/>
            <rFont val="Tahoma"/>
            <family val="2"/>
          </rPr>
          <t>https://csl.noaa.gov/groups/csl5/datasets/data/hcfcs/Summary%20HCFC-234.pdf</t>
        </r>
      </text>
    </comment>
    <comment ref="F202" authorId="0" shapeId="0" xr:uid="{8C6E8BB9-9452-408B-8036-173FDB31EF93}">
      <text>
        <r>
          <rPr>
            <sz val="9"/>
            <color indexed="81"/>
            <rFont val="Tahoma"/>
            <family val="2"/>
          </rPr>
          <t>Assumed to be subject to the same kind of uncertainties as the GWP estimate</t>
        </r>
        <r>
          <rPr>
            <sz val="9"/>
            <color indexed="81"/>
            <rFont val="Tahoma"/>
            <family val="2"/>
          </rPr>
          <t xml:space="preserve">
</t>
        </r>
      </text>
    </comment>
    <comment ref="G202" authorId="0" shapeId="0" xr:uid="{2186D720-C4F0-4AF6-87C4-2224D140DFA4}">
      <text>
        <r>
          <rPr>
            <sz val="9"/>
            <color indexed="81"/>
            <rFont val="Tahoma"/>
            <family val="2"/>
          </rPr>
          <t xml:space="preserve">See note on CFC-11
</t>
        </r>
      </text>
    </comment>
    <comment ref="I202" authorId="0" shapeId="0" xr:uid="{77901DA1-9E8B-4B39-96D3-016D547AB512}">
      <text>
        <r>
          <rPr>
            <sz val="9"/>
            <color indexed="81"/>
            <rFont val="Tahoma"/>
            <family val="2"/>
          </rPr>
          <t xml:space="preserve">See note on CFC-11
</t>
        </r>
      </text>
    </comment>
    <comment ref="J202" authorId="0" shapeId="0" xr:uid="{AB74EA82-D263-496D-9CC5-2AAD24ED91A9}">
      <text>
        <r>
          <rPr>
            <sz val="9"/>
            <color indexed="81"/>
            <rFont val="Tahoma"/>
            <family val="2"/>
          </rPr>
          <t xml:space="preserve">See notes on CFC11
</t>
        </r>
      </text>
    </comment>
    <comment ref="A203" authorId="0" shapeId="0" xr:uid="{91C28789-4D01-470E-8BB8-2D0F57D4D380}">
      <text>
        <r>
          <rPr>
            <sz val="9"/>
            <color indexed="81"/>
            <rFont val="Tahoma"/>
            <family val="2"/>
          </rPr>
          <t xml:space="preserve">CH2ClCF2CClF2,
1,3-Dichloro-1,1,2,2-tetrafluoropropane
</t>
        </r>
      </text>
    </comment>
    <comment ref="C203" authorId="0" shapeId="0" xr:uid="{D3CAE6F5-B910-4C47-8B3E-D5F43261DFF4}">
      <text>
        <r>
          <rPr>
            <sz val="9"/>
            <color indexed="81"/>
            <rFont val="Tahoma"/>
            <family val="2"/>
          </rPr>
          <t>https://csl.noaa.gov/groups/csl5/datasets/data/hcfcs/Summary%20HCFC-234.pdf</t>
        </r>
      </text>
    </comment>
    <comment ref="D203" authorId="0" shapeId="0" xr:uid="{3EB9BA1D-BCB5-427A-A3AD-F4AE631416A8}">
      <text>
        <r>
          <rPr>
            <sz val="9"/>
            <color indexed="81"/>
            <rFont val="Tahoma"/>
            <family val="2"/>
          </rPr>
          <t xml:space="preserve">Uncertainty estimated from difference between well-mixed (876) and lifetime adjusted (834) GWP </t>
        </r>
      </text>
    </comment>
    <comment ref="E203" authorId="0" shapeId="0" xr:uid="{F5F8171C-FA02-4F57-B0D8-BB744B1E7A05}">
      <text>
        <r>
          <rPr>
            <sz val="9"/>
            <color indexed="81"/>
            <rFont val="Tahoma"/>
            <family val="2"/>
          </rPr>
          <t>https://csl.noaa.gov/groups/csl5/datasets/data/hcfcs/Summary%20HCFC-234.pdf</t>
        </r>
      </text>
    </comment>
    <comment ref="F203" authorId="0" shapeId="0" xr:uid="{2AB3B58C-EC76-48BA-914C-07D885F41FC8}">
      <text>
        <r>
          <rPr>
            <sz val="9"/>
            <color indexed="81"/>
            <rFont val="Tahoma"/>
            <family val="2"/>
          </rPr>
          <t>Assumed to be subject to the same kind of uncertainties as the GWP estimate</t>
        </r>
        <r>
          <rPr>
            <sz val="9"/>
            <color indexed="81"/>
            <rFont val="Tahoma"/>
            <family val="2"/>
          </rPr>
          <t xml:space="preserve">
</t>
        </r>
      </text>
    </comment>
    <comment ref="G203" authorId="0" shapeId="0" xr:uid="{F49513B4-42F9-4D8F-9AD4-216112F5FE98}">
      <text>
        <r>
          <rPr>
            <sz val="9"/>
            <color indexed="81"/>
            <rFont val="Tahoma"/>
            <family val="2"/>
          </rPr>
          <t xml:space="preserve">See note on CFC-11
</t>
        </r>
      </text>
    </comment>
    <comment ref="I203" authorId="0" shapeId="0" xr:uid="{C54FB427-1E9D-4C5F-95F1-7A2DE75315F3}">
      <text>
        <r>
          <rPr>
            <sz val="9"/>
            <color indexed="81"/>
            <rFont val="Tahoma"/>
            <family val="2"/>
          </rPr>
          <t xml:space="preserve">See note on CFC-11
</t>
        </r>
      </text>
    </comment>
    <comment ref="J203" authorId="0" shapeId="0" xr:uid="{47D00F7D-A2CF-499A-9DBC-70854C94E5C9}">
      <text>
        <r>
          <rPr>
            <sz val="9"/>
            <color indexed="81"/>
            <rFont val="Tahoma"/>
            <family val="2"/>
          </rPr>
          <t xml:space="preserve">See notes on CFC11
</t>
        </r>
      </text>
    </comment>
    <comment ref="A204" authorId="0" shapeId="0" xr:uid="{03C87E63-55B9-455D-9AC1-071A9A87EECB}">
      <text>
        <r>
          <rPr>
            <sz val="9"/>
            <color indexed="81"/>
            <rFont val="Tahoma"/>
            <family val="2"/>
          </rPr>
          <t xml:space="preserve">CH2FCF2CCl2F,
1,1-Dichloro-1,2,2,3-tetrafluoropropane
</t>
        </r>
      </text>
    </comment>
    <comment ref="C204" authorId="0" shapeId="0" xr:uid="{8DF2A104-C100-41BD-9B98-4F823875CEF6}">
      <text>
        <r>
          <rPr>
            <sz val="9"/>
            <color indexed="81"/>
            <rFont val="Tahoma"/>
            <family val="2"/>
          </rPr>
          <t>https://csl.noaa.gov/groups/csl5/datasets/data/hcfcs/Summary%20HCFC-234.pdf</t>
        </r>
      </text>
    </comment>
    <comment ref="D204" authorId="0" shapeId="0" xr:uid="{CD5F8B84-B1B3-494D-84A0-E1E422AF05F7}">
      <text>
        <r>
          <rPr>
            <sz val="9"/>
            <color indexed="81"/>
            <rFont val="Tahoma"/>
            <family val="2"/>
          </rPr>
          <t xml:space="preserve">Uncertainty estimated from difference between well-mixed (656) and lifetime adjusted (615) GWP </t>
        </r>
      </text>
    </comment>
    <comment ref="E204" authorId="0" shapeId="0" xr:uid="{1962B038-2AFA-4EF1-A422-83B2C95FD2CD}">
      <text>
        <r>
          <rPr>
            <sz val="9"/>
            <color indexed="81"/>
            <rFont val="Tahoma"/>
            <family val="2"/>
          </rPr>
          <t>https://csl.noaa.gov/groups/csl5/datasets/data/hcfcs/Summary%20HCFC-234.pdf</t>
        </r>
      </text>
    </comment>
    <comment ref="F204" authorId="0" shapeId="0" xr:uid="{D9444B34-291F-4548-B862-708215752E38}">
      <text>
        <r>
          <rPr>
            <sz val="9"/>
            <color indexed="81"/>
            <rFont val="Tahoma"/>
            <family val="2"/>
          </rPr>
          <t>Assumed to be subject to the same kind of uncertainties as the GWP estimate</t>
        </r>
        <r>
          <rPr>
            <sz val="9"/>
            <color indexed="81"/>
            <rFont val="Tahoma"/>
            <family val="2"/>
          </rPr>
          <t xml:space="preserve">
</t>
        </r>
      </text>
    </comment>
    <comment ref="G204" authorId="0" shapeId="0" xr:uid="{6C99C8E3-F796-453C-AA69-AA2D5DCCE10C}">
      <text>
        <r>
          <rPr>
            <sz val="9"/>
            <color indexed="81"/>
            <rFont val="Tahoma"/>
            <family val="2"/>
          </rPr>
          <t xml:space="preserve">See note on CFC-11
</t>
        </r>
      </text>
    </comment>
    <comment ref="I204" authorId="0" shapeId="0" xr:uid="{C6727C3F-B1A3-4424-9D0B-A7B2CCDD8970}">
      <text>
        <r>
          <rPr>
            <sz val="9"/>
            <color indexed="81"/>
            <rFont val="Tahoma"/>
            <family val="2"/>
          </rPr>
          <t xml:space="preserve">See note on CFC-11
</t>
        </r>
      </text>
    </comment>
    <comment ref="J204" authorId="0" shapeId="0" xr:uid="{36B3A5F4-934A-4EF1-A9B5-3359B1EBC123}">
      <text>
        <r>
          <rPr>
            <sz val="9"/>
            <color indexed="81"/>
            <rFont val="Tahoma"/>
            <family val="2"/>
          </rPr>
          <t xml:space="preserve">See notes on CFC11
</t>
        </r>
      </text>
    </comment>
    <comment ref="A205" authorId="0" shapeId="0" xr:uid="{726BC847-DC2D-40D5-9983-4565E851C8AD}">
      <text>
        <r>
          <rPr>
            <sz val="9"/>
            <color indexed="81"/>
            <rFont val="Tahoma"/>
            <family val="2"/>
          </rPr>
          <t xml:space="preserve">CHClFCHClCF3,
2,3-Dichloro-1,1,1,3-tetrafluoropropane
</t>
        </r>
      </text>
    </comment>
    <comment ref="C205" authorId="0" shapeId="0" xr:uid="{34C0CC65-B429-41D6-8E5D-924906234AEA}">
      <text>
        <r>
          <rPr>
            <sz val="9"/>
            <color indexed="81"/>
            <rFont val="Tahoma"/>
            <family val="2"/>
          </rPr>
          <t>https://csl.noaa.gov/groups/csl5/datasets/data/hcfcs/Summary%20HCFC-234.pdf</t>
        </r>
      </text>
    </comment>
    <comment ref="D205" authorId="0" shapeId="0" xr:uid="{9E30CE51-1A0F-4A93-B293-72E8F810E694}">
      <text>
        <r>
          <rPr>
            <sz val="9"/>
            <color indexed="81"/>
            <rFont val="Tahoma"/>
            <family val="2"/>
          </rPr>
          <t xml:space="preserve">Uncertainty estimated from difference between well-mixed (204) and lifetime adjusted (178) GWP </t>
        </r>
      </text>
    </comment>
    <comment ref="E205" authorId="0" shapeId="0" xr:uid="{C09EB8D3-EF66-4F91-B998-BEF2258FB4BE}">
      <text>
        <r>
          <rPr>
            <sz val="9"/>
            <color indexed="81"/>
            <rFont val="Tahoma"/>
            <family val="2"/>
          </rPr>
          <t>https://csl.noaa.gov/groups/csl5/datasets/data/hcfcs/Summary%20HCFC-234.pdf</t>
        </r>
      </text>
    </comment>
    <comment ref="F205" authorId="0" shapeId="0" xr:uid="{B0993787-1655-47E3-8651-4DFC72786097}">
      <text>
        <r>
          <rPr>
            <sz val="9"/>
            <color indexed="81"/>
            <rFont val="Tahoma"/>
            <family val="2"/>
          </rPr>
          <t>Assumed to be subject to the same kind of uncertainties as the GWP estimate</t>
        </r>
        <r>
          <rPr>
            <sz val="9"/>
            <color indexed="81"/>
            <rFont val="Tahoma"/>
            <family val="2"/>
          </rPr>
          <t xml:space="preserve">
</t>
        </r>
      </text>
    </comment>
    <comment ref="G205" authorId="0" shapeId="0" xr:uid="{85754CD8-3066-45A4-95FE-273D78EE38E0}">
      <text>
        <r>
          <rPr>
            <sz val="9"/>
            <color indexed="81"/>
            <rFont val="Tahoma"/>
            <family val="2"/>
          </rPr>
          <t xml:space="preserve">See note on CFC-11
</t>
        </r>
      </text>
    </comment>
    <comment ref="I205" authorId="0" shapeId="0" xr:uid="{265F1F35-B690-42D2-B3D8-4DCC9D594ED4}">
      <text>
        <r>
          <rPr>
            <sz val="9"/>
            <color indexed="81"/>
            <rFont val="Tahoma"/>
            <family val="2"/>
          </rPr>
          <t xml:space="preserve">See note on CFC-11
</t>
        </r>
      </text>
    </comment>
    <comment ref="J205" authorId="0" shapeId="0" xr:uid="{2D1FA160-C6BE-4704-B0D4-D282A98A132E}">
      <text>
        <r>
          <rPr>
            <sz val="9"/>
            <color indexed="81"/>
            <rFont val="Tahoma"/>
            <family val="2"/>
          </rPr>
          <t xml:space="preserve">See notes on CFC11
</t>
        </r>
      </text>
    </comment>
    <comment ref="A206" authorId="0" shapeId="0" xr:uid="{41C6147F-4E45-4D8E-8A05-46EF74C04A29}">
      <text>
        <r>
          <rPr>
            <sz val="9"/>
            <color indexed="81"/>
            <rFont val="Tahoma"/>
            <family val="2"/>
          </rPr>
          <t xml:space="preserve">CHF2CHClCClF2,
1,2-Dichloro-1,1,3,3-tetrafluoropropane
</t>
        </r>
      </text>
    </comment>
    <comment ref="C206" authorId="0" shapeId="0" xr:uid="{D9B448C7-2189-4EC5-8BCA-B19275476CCE}">
      <text>
        <r>
          <rPr>
            <sz val="9"/>
            <color indexed="81"/>
            <rFont val="Tahoma"/>
            <family val="2"/>
          </rPr>
          <t>https://csl.noaa.gov/groups/csl5/datasets/data/hcfcs/Summary%20HCFC-234.pdf</t>
        </r>
      </text>
    </comment>
    <comment ref="D206" authorId="0" shapeId="0" xr:uid="{84BBD3CE-F6A8-4F35-8004-030DAA6A9AA9}">
      <text>
        <r>
          <rPr>
            <sz val="9"/>
            <color indexed="81"/>
            <rFont val="Tahoma"/>
            <family val="2"/>
          </rPr>
          <t xml:space="preserve">Uncertainty estimated from difference between well-mixed (546) and lifetime adjusted (508) GWP </t>
        </r>
      </text>
    </comment>
    <comment ref="E206" authorId="0" shapeId="0" xr:uid="{F3D774ED-26C5-46EB-99E8-9E599B9721BE}">
      <text>
        <r>
          <rPr>
            <sz val="9"/>
            <color indexed="81"/>
            <rFont val="Tahoma"/>
            <family val="2"/>
          </rPr>
          <t>https://csl.noaa.gov/groups/csl5/datasets/data/hcfcs/Summary%20HCFC-234.pdf</t>
        </r>
      </text>
    </comment>
    <comment ref="F206" authorId="0" shapeId="0" xr:uid="{489ED799-60F2-4CB8-9504-C114BE401031}">
      <text>
        <r>
          <rPr>
            <sz val="9"/>
            <color indexed="81"/>
            <rFont val="Tahoma"/>
            <family val="2"/>
          </rPr>
          <t>Assumed to be subject to the same kind of uncertainties as the GWP estimate</t>
        </r>
        <r>
          <rPr>
            <sz val="9"/>
            <color indexed="81"/>
            <rFont val="Tahoma"/>
            <family val="2"/>
          </rPr>
          <t xml:space="preserve">
</t>
        </r>
      </text>
    </comment>
    <comment ref="G206" authorId="0" shapeId="0" xr:uid="{ACBCDFC2-AEDF-41A0-9F02-6BBBF93270A2}">
      <text>
        <r>
          <rPr>
            <sz val="9"/>
            <color indexed="81"/>
            <rFont val="Tahoma"/>
            <family val="2"/>
          </rPr>
          <t xml:space="preserve">See note on CFC-11
</t>
        </r>
      </text>
    </comment>
    <comment ref="I206" authorId="0" shapeId="0" xr:uid="{0B8E6328-E2D6-4CCF-876D-7387276EBBA6}">
      <text>
        <r>
          <rPr>
            <sz val="9"/>
            <color indexed="81"/>
            <rFont val="Tahoma"/>
            <family val="2"/>
          </rPr>
          <t xml:space="preserve">See note on CFC-11
</t>
        </r>
      </text>
    </comment>
    <comment ref="J206" authorId="0" shapeId="0" xr:uid="{C5B0EA56-0D7A-4D85-9A5F-45AD9A0B2907}">
      <text>
        <r>
          <rPr>
            <sz val="9"/>
            <color indexed="81"/>
            <rFont val="Tahoma"/>
            <family val="2"/>
          </rPr>
          <t xml:space="preserve">See notes on CFC11
</t>
        </r>
      </text>
    </comment>
    <comment ref="A207" authorId="0" shapeId="0" xr:uid="{54C757BC-EA88-4022-9FA9-F8844242F923}">
      <text>
        <r>
          <rPr>
            <sz val="9"/>
            <color indexed="81"/>
            <rFont val="Tahoma"/>
            <family val="2"/>
          </rPr>
          <t>CHCl2CHFCF3,
3,3-Dichloro-1,1,1,2-tetrafluoropropane</t>
        </r>
      </text>
    </comment>
    <comment ref="C207" authorId="0" shapeId="0" xr:uid="{08D312E2-33F1-458A-9E7D-60370E5730D1}">
      <text>
        <r>
          <rPr>
            <sz val="9"/>
            <color indexed="81"/>
            <rFont val="Tahoma"/>
            <family val="2"/>
          </rPr>
          <t>https://csl.noaa.gov/groups/csl5/datasets/data/hcfcs/Summary%20HCFC-234.pdf</t>
        </r>
      </text>
    </comment>
    <comment ref="D207" authorId="0" shapeId="0" xr:uid="{3E0D138B-F97E-4142-8D4C-5EC3894AADA2}">
      <text>
        <r>
          <rPr>
            <sz val="9"/>
            <color indexed="81"/>
            <rFont val="Tahoma"/>
            <family val="2"/>
          </rPr>
          <t xml:space="preserve">Uncertainty estimated from difference between well-mixed (74) and lifetime adjusted (55) GWP </t>
        </r>
      </text>
    </comment>
    <comment ref="E207" authorId="0" shapeId="0" xr:uid="{CBBEF069-85E7-446B-8768-CDFBEEF7F506}">
      <text>
        <r>
          <rPr>
            <sz val="9"/>
            <color indexed="81"/>
            <rFont val="Tahoma"/>
            <family val="2"/>
          </rPr>
          <t>https://csl.noaa.gov/groups/csl5/datasets/data/hcfcs/Summary%20HCFC-234.pdf</t>
        </r>
      </text>
    </comment>
    <comment ref="F207" authorId="0" shapeId="0" xr:uid="{E54A7258-FD58-49F3-B53C-D381D648AC8F}">
      <text>
        <r>
          <rPr>
            <sz val="9"/>
            <color indexed="81"/>
            <rFont val="Tahoma"/>
            <family val="2"/>
          </rPr>
          <t>Assumed to be subject to the same kind of uncertainties as the GWP estimate</t>
        </r>
        <r>
          <rPr>
            <sz val="9"/>
            <color indexed="81"/>
            <rFont val="Tahoma"/>
            <family val="2"/>
          </rPr>
          <t xml:space="preserve">
</t>
        </r>
      </text>
    </comment>
    <comment ref="G207" authorId="0" shapeId="0" xr:uid="{3741634B-A30B-4F63-AE76-87F58E53D93F}">
      <text>
        <r>
          <rPr>
            <sz val="9"/>
            <color indexed="81"/>
            <rFont val="Tahoma"/>
            <family val="2"/>
          </rPr>
          <t xml:space="preserve">See note on CFC-11
</t>
        </r>
      </text>
    </comment>
    <comment ref="I207" authorId="0" shapeId="0" xr:uid="{63C4FA3C-8CB3-4E2D-8190-7DD0584BB8B4}">
      <text>
        <r>
          <rPr>
            <sz val="9"/>
            <color indexed="81"/>
            <rFont val="Tahoma"/>
            <family val="2"/>
          </rPr>
          <t xml:space="preserve">See note on CFC-11
</t>
        </r>
      </text>
    </comment>
    <comment ref="J207" authorId="0" shapeId="0" xr:uid="{74DFD50E-546C-429B-B59E-100A2FEFA845}">
      <text>
        <r>
          <rPr>
            <sz val="9"/>
            <color indexed="81"/>
            <rFont val="Tahoma"/>
            <family val="2"/>
          </rPr>
          <t xml:space="preserve">See notes on CFC11
</t>
        </r>
      </text>
    </comment>
    <comment ref="A208" authorId="0" shapeId="0" xr:uid="{BFB67E7B-D970-48DF-A210-395B3FC3EFF6}">
      <text>
        <r>
          <rPr>
            <sz val="9"/>
            <color indexed="81"/>
            <rFont val="Tahoma"/>
            <family val="2"/>
          </rPr>
          <t xml:space="preserve">CHClFCHFCClF2,
1,3-Dichloro-1,1,2,3-tetrafluoropropane
</t>
        </r>
      </text>
    </comment>
    <comment ref="C208" authorId="0" shapeId="0" xr:uid="{A228E33C-FEC9-452E-98AA-7626B01A2189}">
      <text>
        <r>
          <rPr>
            <sz val="9"/>
            <color indexed="81"/>
            <rFont val="Tahoma"/>
            <family val="2"/>
          </rPr>
          <t>https://csl.noaa.gov/groups/csl5/datasets/data/hcfcs/Summary%20HCFC-234.pdf</t>
        </r>
      </text>
    </comment>
    <comment ref="D208" authorId="0" shapeId="0" xr:uid="{213AB5CA-72FB-4D3D-856B-711436A0D2C2}">
      <text>
        <r>
          <rPr>
            <sz val="9"/>
            <color indexed="81"/>
            <rFont val="Tahoma"/>
            <family val="2"/>
          </rPr>
          <t xml:space="preserve">Uncertainty estimated from difference between well-mixed (259) and lifetime adjusted (228) GWP </t>
        </r>
      </text>
    </comment>
    <comment ref="E208" authorId="0" shapeId="0" xr:uid="{922E8FDB-EED2-47D4-8502-794CC991A454}">
      <text>
        <r>
          <rPr>
            <sz val="9"/>
            <color indexed="81"/>
            <rFont val="Tahoma"/>
            <family val="2"/>
          </rPr>
          <t>https://csl.noaa.gov/groups/csl5/datasets/data/hcfcs/Summary%20HCFC-234.pdf</t>
        </r>
      </text>
    </comment>
    <comment ref="F208" authorId="0" shapeId="0" xr:uid="{E6E61F22-1505-48BF-98F0-2CAEE8EAE3D1}">
      <text>
        <r>
          <rPr>
            <sz val="9"/>
            <color indexed="81"/>
            <rFont val="Tahoma"/>
            <family val="2"/>
          </rPr>
          <t>Assumed to be subject to the same kind of uncertainties as the GWP estimate</t>
        </r>
        <r>
          <rPr>
            <sz val="9"/>
            <color indexed="81"/>
            <rFont val="Tahoma"/>
            <family val="2"/>
          </rPr>
          <t xml:space="preserve">
</t>
        </r>
      </text>
    </comment>
    <comment ref="G208" authorId="0" shapeId="0" xr:uid="{E346C946-B781-4ACC-AA7C-A610E02A872D}">
      <text>
        <r>
          <rPr>
            <sz val="9"/>
            <color indexed="81"/>
            <rFont val="Tahoma"/>
            <family val="2"/>
          </rPr>
          <t xml:space="preserve">See note on CFC-11
</t>
        </r>
      </text>
    </comment>
    <comment ref="I208" authorId="0" shapeId="0" xr:uid="{722EF4AD-850C-4FE1-BC10-C89E2FB0C5EC}">
      <text>
        <r>
          <rPr>
            <sz val="9"/>
            <color indexed="81"/>
            <rFont val="Tahoma"/>
            <family val="2"/>
          </rPr>
          <t xml:space="preserve">See note on CFC-11
</t>
        </r>
      </text>
    </comment>
    <comment ref="J208" authorId="0" shapeId="0" xr:uid="{E3AF917A-0254-4FBC-8DC5-579AADB22BFC}">
      <text>
        <r>
          <rPr>
            <sz val="9"/>
            <color indexed="81"/>
            <rFont val="Tahoma"/>
            <family val="2"/>
          </rPr>
          <t xml:space="preserve">See notes on CFC11
</t>
        </r>
      </text>
    </comment>
    <comment ref="A209" authorId="0" shapeId="0" xr:uid="{E8A8E87C-6347-4E8D-9D23-FCAF0C1BB45F}">
      <text>
        <r>
          <rPr>
            <sz val="9"/>
            <color indexed="81"/>
            <rFont val="Tahoma"/>
            <family val="2"/>
          </rPr>
          <t xml:space="preserve">CHF2CHFCCl2F,
1,1-Dichloro-1,2,3,3-tetrafluoropropane
</t>
        </r>
      </text>
    </comment>
    <comment ref="C209" authorId="0" shapeId="0" xr:uid="{254FEB0A-46BC-4FC5-B40E-AB7ABFB3B604}">
      <text>
        <r>
          <rPr>
            <sz val="9"/>
            <color indexed="81"/>
            <rFont val="Tahoma"/>
            <family val="2"/>
          </rPr>
          <t>https://csl.noaa.gov/groups/csl5/datasets/data/hcfcs/Summary%20HCFC-234.pdf</t>
        </r>
      </text>
    </comment>
    <comment ref="D209" authorId="0" shapeId="0" xr:uid="{F51401E9-3468-4941-AE0B-267D398D1297}">
      <text>
        <r>
          <rPr>
            <sz val="9"/>
            <color indexed="81"/>
            <rFont val="Tahoma"/>
            <family val="2"/>
          </rPr>
          <t xml:space="preserve">Uncertainty estimated from difference between well-mixed (524) and lifetime adjusted (485) GWP </t>
        </r>
      </text>
    </comment>
    <comment ref="E209" authorId="0" shapeId="0" xr:uid="{33807C08-65C1-479E-8805-9FA64B5F2D8C}">
      <text>
        <r>
          <rPr>
            <sz val="9"/>
            <color indexed="81"/>
            <rFont val="Tahoma"/>
            <family val="2"/>
          </rPr>
          <t>https://csl.noaa.gov/groups/csl5/datasets/data/hcfcs/Summary%20HCFC-234.pdf</t>
        </r>
      </text>
    </comment>
    <comment ref="F209" authorId="0" shapeId="0" xr:uid="{5142006D-E3E6-4992-A0E4-647A8FF0AD86}">
      <text>
        <r>
          <rPr>
            <sz val="9"/>
            <color indexed="81"/>
            <rFont val="Tahoma"/>
            <family val="2"/>
          </rPr>
          <t>Assumed to be subject to the same kind of uncertainties as the GWP estimate</t>
        </r>
        <r>
          <rPr>
            <sz val="9"/>
            <color indexed="81"/>
            <rFont val="Tahoma"/>
            <family val="2"/>
          </rPr>
          <t xml:space="preserve">
</t>
        </r>
      </text>
    </comment>
    <comment ref="G209" authorId="0" shapeId="0" xr:uid="{E9307FC1-0A67-4F08-90FA-63B0883C6AE3}">
      <text>
        <r>
          <rPr>
            <sz val="9"/>
            <color indexed="81"/>
            <rFont val="Tahoma"/>
            <family val="2"/>
          </rPr>
          <t xml:space="preserve">See note on CFC-11
</t>
        </r>
      </text>
    </comment>
    <comment ref="I209" authorId="0" shapeId="0" xr:uid="{B8859753-9C2D-469B-AABD-FB1121C7DE88}">
      <text>
        <r>
          <rPr>
            <sz val="9"/>
            <color indexed="81"/>
            <rFont val="Tahoma"/>
            <family val="2"/>
          </rPr>
          <t xml:space="preserve">See note on CFC-11
</t>
        </r>
      </text>
    </comment>
    <comment ref="J209" authorId="0" shapeId="0" xr:uid="{0FEB67AA-9011-40DD-A020-0ADF061D969E}">
      <text>
        <r>
          <rPr>
            <sz val="9"/>
            <color indexed="81"/>
            <rFont val="Tahoma"/>
            <family val="2"/>
          </rPr>
          <t xml:space="preserve">See notes on CFC11
</t>
        </r>
      </text>
    </comment>
    <comment ref="A210" authorId="0" shapeId="0" xr:uid="{03FB5C0B-3653-41BC-B74E-A15BECD9F8F5}">
      <text>
        <r>
          <rPr>
            <sz val="9"/>
            <color indexed="81"/>
            <rFont val="Tahoma"/>
            <family val="2"/>
          </rPr>
          <t xml:space="preserve">CClF2CH2CClF2,
1,3-Dichloro-1,1,3,3-tetrafluoropropane
</t>
        </r>
      </text>
    </comment>
    <comment ref="C210" authorId="0" shapeId="0" xr:uid="{2957C296-7F78-4B0F-A3D0-6F7A91F7A085}">
      <text>
        <r>
          <rPr>
            <sz val="9"/>
            <color indexed="81"/>
            <rFont val="Tahoma"/>
            <family val="2"/>
          </rPr>
          <t>https://csl.noaa.gov/groups/csl5/datasets/data/hcfcs/Summary%20HCFC-234.pdf</t>
        </r>
      </text>
    </comment>
    <comment ref="D210" authorId="0" shapeId="0" xr:uid="{1E6BC72D-87F0-4A9E-8CD1-1C3014AF3EEA}">
      <text>
        <r>
          <rPr>
            <sz val="9"/>
            <color indexed="81"/>
            <rFont val="Tahoma"/>
            <family val="2"/>
          </rPr>
          <t xml:space="preserve">Uncertainty estimated from difference between well-mixed (3474) and lifetime adjusted (3402) GWP </t>
        </r>
      </text>
    </comment>
    <comment ref="E210" authorId="0" shapeId="0" xr:uid="{DDC362E0-18ED-4498-B1D2-0DBFB94D7B7A}">
      <text>
        <r>
          <rPr>
            <sz val="9"/>
            <color indexed="81"/>
            <rFont val="Tahoma"/>
            <family val="2"/>
          </rPr>
          <t>https://csl.noaa.gov/groups/csl5/datasets/data/hcfcs/Summary%20HCFC-234.pdf</t>
        </r>
      </text>
    </comment>
    <comment ref="F210" authorId="0" shapeId="0" xr:uid="{B64407A2-34F6-4CFD-B26B-18EB13FCB38C}">
      <text>
        <r>
          <rPr>
            <sz val="9"/>
            <color indexed="81"/>
            <rFont val="Tahoma"/>
            <family val="2"/>
          </rPr>
          <t>Assumed to be subject to the same kind of uncertainties as the GWP estimate</t>
        </r>
        <r>
          <rPr>
            <sz val="9"/>
            <color indexed="81"/>
            <rFont val="Tahoma"/>
            <family val="2"/>
          </rPr>
          <t xml:space="preserve">
</t>
        </r>
      </text>
    </comment>
    <comment ref="G210" authorId="0" shapeId="0" xr:uid="{C45E3C5B-51A0-4CBE-8452-A5BA7826FA22}">
      <text>
        <r>
          <rPr>
            <sz val="9"/>
            <color indexed="81"/>
            <rFont val="Tahoma"/>
            <family val="2"/>
          </rPr>
          <t xml:space="preserve">See note on CFC-11
</t>
        </r>
      </text>
    </comment>
    <comment ref="I210" authorId="0" shapeId="0" xr:uid="{E8BBCB78-C06C-4B9E-8041-958E55FB4144}">
      <text>
        <r>
          <rPr>
            <sz val="9"/>
            <color indexed="81"/>
            <rFont val="Tahoma"/>
            <family val="2"/>
          </rPr>
          <t xml:space="preserve">See note on CFC-11
</t>
        </r>
      </text>
    </comment>
    <comment ref="J210" authorId="0" shapeId="0" xr:uid="{1F516283-698C-403D-889F-5513959D4244}">
      <text>
        <r>
          <rPr>
            <sz val="9"/>
            <color indexed="81"/>
            <rFont val="Tahoma"/>
            <family val="2"/>
          </rPr>
          <t xml:space="preserve">See notes on CFC11
</t>
        </r>
      </text>
    </comment>
    <comment ref="A211" authorId="0" shapeId="0" xr:uid="{1AD3C909-4FC6-45F9-B557-C6447ECD463C}">
      <text>
        <r>
          <rPr>
            <sz val="9"/>
            <color indexed="81"/>
            <rFont val="Tahoma"/>
            <family val="2"/>
          </rPr>
          <t xml:space="preserve">CCl2FCH2CF3,
1,1-Dichloro-1,3,3,3-tetrafluoropropane
</t>
        </r>
      </text>
    </comment>
    <comment ref="C211" authorId="0" shapeId="0" xr:uid="{998FBB6A-9C61-43A7-87EA-4C7054A2E6AB}">
      <text>
        <r>
          <rPr>
            <sz val="9"/>
            <color indexed="81"/>
            <rFont val="Tahoma"/>
            <family val="2"/>
          </rPr>
          <t>https://csl.noaa.gov/groups/csl5/datasets/data/hcfcs/Summary%20HCFC-234.pdf</t>
        </r>
      </text>
    </comment>
    <comment ref="D211" authorId="0" shapeId="0" xr:uid="{744FF10F-315E-4928-B3A8-9EC9BA2CD277}">
      <text>
        <r>
          <rPr>
            <sz val="9"/>
            <color indexed="81"/>
            <rFont val="Tahoma"/>
            <family val="2"/>
          </rPr>
          <t xml:space="preserve">Uncertainty estimated from difference between well-mixed (2283) and lifetime adjusted (2230) GWP </t>
        </r>
      </text>
    </comment>
    <comment ref="E211" authorId="0" shapeId="0" xr:uid="{FBDD0638-99E0-4AFF-83E7-00C2BD4415AE}">
      <text>
        <r>
          <rPr>
            <sz val="9"/>
            <color indexed="81"/>
            <rFont val="Tahoma"/>
            <family val="2"/>
          </rPr>
          <t>https://csl.noaa.gov/groups/csl5/datasets/data/hcfcs/Summary%20HCFC-234.pdf</t>
        </r>
      </text>
    </comment>
    <comment ref="F211" authorId="0" shapeId="0" xr:uid="{DC042D54-9E1E-448D-9BEF-47D96CA3FEA8}">
      <text>
        <r>
          <rPr>
            <sz val="9"/>
            <color indexed="81"/>
            <rFont val="Tahoma"/>
            <family val="2"/>
          </rPr>
          <t>Assumed to be subject to the same kind of uncertainties as the GWP estimate</t>
        </r>
        <r>
          <rPr>
            <sz val="9"/>
            <color indexed="81"/>
            <rFont val="Tahoma"/>
            <family val="2"/>
          </rPr>
          <t xml:space="preserve">
</t>
        </r>
      </text>
    </comment>
    <comment ref="G211" authorId="0" shapeId="0" xr:uid="{DD33B1CA-4388-40A4-A86D-46EE1284E3AA}">
      <text>
        <r>
          <rPr>
            <sz val="9"/>
            <color indexed="81"/>
            <rFont val="Tahoma"/>
            <family val="2"/>
          </rPr>
          <t xml:space="preserve">See note on CFC-11
</t>
        </r>
      </text>
    </comment>
    <comment ref="I211" authorId="0" shapeId="0" xr:uid="{8E914EEE-466F-4C63-999B-E0AADD2011C0}">
      <text>
        <r>
          <rPr>
            <sz val="9"/>
            <color indexed="81"/>
            <rFont val="Tahoma"/>
            <family val="2"/>
          </rPr>
          <t xml:space="preserve">See note on CFC-11
</t>
        </r>
      </text>
    </comment>
    <comment ref="J211" authorId="0" shapeId="0" xr:uid="{D8DCE375-F7E2-418C-8A35-EE68525079AF}">
      <text>
        <r>
          <rPr>
            <sz val="9"/>
            <color indexed="81"/>
            <rFont val="Tahoma"/>
            <family val="2"/>
          </rPr>
          <t xml:space="preserve">See notes on CFC11
</t>
        </r>
      </text>
    </comment>
    <comment ref="A212" authorId="0" shapeId="0" xr:uid="{E746423A-B609-42D2-AA71-5E8299740EA0}">
      <text>
        <r>
          <rPr>
            <sz val="9"/>
            <color indexed="81"/>
            <rFont val="Tahoma"/>
            <family val="2"/>
          </rPr>
          <t xml:space="preserve">CHF2CClFCHF2,
2-Chloro-1,1,2,3,3-pentafluoropropane
</t>
        </r>
      </text>
    </comment>
    <comment ref="C212" authorId="0" shapeId="0" xr:uid="{F54FA358-149A-450E-A536-79218395EE5D}">
      <text>
        <r>
          <rPr>
            <sz val="9"/>
            <color indexed="81"/>
            <rFont val="Tahoma"/>
            <family val="2"/>
          </rPr>
          <t>https://csl.noaa.gov/groups/csl5/datasets/data/hcfcs/Summary%20HCFC-235.pdf</t>
        </r>
      </text>
    </comment>
    <comment ref="D212" authorId="0" shapeId="0" xr:uid="{4EDFD50A-523A-4ED1-B4D7-9AB1307F44FB}">
      <text>
        <r>
          <rPr>
            <sz val="9"/>
            <color indexed="81"/>
            <rFont val="Tahoma"/>
            <family val="2"/>
          </rPr>
          <t xml:space="preserve">Uncertainty estimated from difference between well-mixed (754) and lifetime adjusted (716) GWP </t>
        </r>
      </text>
    </comment>
    <comment ref="E212" authorId="0" shapeId="0" xr:uid="{AF962454-8252-49DE-B327-5B2945A0FC94}">
      <text>
        <r>
          <rPr>
            <sz val="9"/>
            <color indexed="81"/>
            <rFont val="Tahoma"/>
            <family val="2"/>
          </rPr>
          <t>https://csl.noaa.gov/groups/csl5/datasets/data/hcfcs/Summary%20HCFC-235.pdf</t>
        </r>
      </text>
    </comment>
    <comment ref="F212" authorId="0" shapeId="0" xr:uid="{8B0A36A5-5BCF-4CC0-8F16-B1903DEFD564}">
      <text>
        <r>
          <rPr>
            <sz val="9"/>
            <color indexed="81"/>
            <rFont val="Tahoma"/>
            <family val="2"/>
          </rPr>
          <t>Assumed to be subject to the same kind of uncertainties as the GWP estimate</t>
        </r>
        <r>
          <rPr>
            <sz val="9"/>
            <color indexed="81"/>
            <rFont val="Tahoma"/>
            <family val="2"/>
          </rPr>
          <t xml:space="preserve">
</t>
        </r>
      </text>
    </comment>
    <comment ref="G212" authorId="0" shapeId="0" xr:uid="{ACBF7F79-858D-4CD9-921C-A85D1D8515C9}">
      <text>
        <r>
          <rPr>
            <sz val="9"/>
            <color indexed="81"/>
            <rFont val="Tahoma"/>
            <family val="2"/>
          </rPr>
          <t xml:space="preserve">See note on CFC-11
</t>
        </r>
      </text>
    </comment>
    <comment ref="I212" authorId="0" shapeId="0" xr:uid="{C52E4A23-B12F-4AB2-A3B3-8E55F623F53E}">
      <text>
        <r>
          <rPr>
            <sz val="9"/>
            <color indexed="81"/>
            <rFont val="Tahoma"/>
            <family val="2"/>
          </rPr>
          <t xml:space="preserve">See note on CFC-11
</t>
        </r>
      </text>
    </comment>
    <comment ref="J212" authorId="0" shapeId="0" xr:uid="{E8A40C92-F006-44AA-9BA9-A7FD0E35A342}">
      <text>
        <r>
          <rPr>
            <sz val="9"/>
            <color indexed="81"/>
            <rFont val="Tahoma"/>
            <family val="2"/>
          </rPr>
          <t xml:space="preserve">See notes on CFC11
</t>
        </r>
      </text>
    </comment>
    <comment ref="A213" authorId="0" shapeId="0" xr:uid="{ABADA664-75AA-46CC-8C3E-2DD9FE311E1A}">
      <text>
        <r>
          <rPr>
            <sz val="9"/>
            <color indexed="81"/>
            <rFont val="Tahoma"/>
            <family val="2"/>
          </rPr>
          <t xml:space="preserve">CH2FCClFCF3,
2-Chloro-1,1,1,2,3-pentafluoropropane
</t>
        </r>
      </text>
    </comment>
    <comment ref="C213" authorId="0" shapeId="0" xr:uid="{F8A26D99-BAEC-4D17-BC69-629B69C0862D}">
      <text>
        <r>
          <rPr>
            <sz val="9"/>
            <color indexed="81"/>
            <rFont val="Tahoma"/>
            <family val="2"/>
          </rPr>
          <t>https://csl.noaa.gov/groups/csl5/datasets/data/hcfcs/Summary%20HCFC-235.pdf</t>
        </r>
      </text>
    </comment>
    <comment ref="D213" authorId="0" shapeId="0" xr:uid="{EB94785E-0F25-4F90-A910-A5FCE8BA7BD6}">
      <text>
        <r>
          <rPr>
            <sz val="9"/>
            <color indexed="81"/>
            <rFont val="Tahoma"/>
            <family val="2"/>
          </rPr>
          <t xml:space="preserve">Uncertainty estimated from difference between well-mixed (656) and lifetime adjusted (618) GWP </t>
        </r>
      </text>
    </comment>
    <comment ref="E213" authorId="0" shapeId="0" xr:uid="{2E3F96F2-C55F-4B65-AFEF-37B7D393AF55}">
      <text>
        <r>
          <rPr>
            <sz val="9"/>
            <color indexed="81"/>
            <rFont val="Tahoma"/>
            <family val="2"/>
          </rPr>
          <t>https://csl.noaa.gov/groups/csl5/datasets/data/hcfcs/Summary%20HCFC-235.pdf</t>
        </r>
      </text>
    </comment>
    <comment ref="F213" authorId="0" shapeId="0" xr:uid="{DB0441A6-CA20-408C-8F64-842433EC47D7}">
      <text>
        <r>
          <rPr>
            <sz val="9"/>
            <color indexed="81"/>
            <rFont val="Tahoma"/>
            <family val="2"/>
          </rPr>
          <t>Assumed to be subject to the same kind of uncertainties as the GWP estimate</t>
        </r>
        <r>
          <rPr>
            <sz val="9"/>
            <color indexed="81"/>
            <rFont val="Tahoma"/>
            <family val="2"/>
          </rPr>
          <t xml:space="preserve">
</t>
        </r>
      </text>
    </comment>
    <comment ref="G213" authorId="0" shapeId="0" xr:uid="{9F05304B-CDC0-4B6C-9C31-41694366F80D}">
      <text>
        <r>
          <rPr>
            <sz val="9"/>
            <color indexed="81"/>
            <rFont val="Tahoma"/>
            <family val="2"/>
          </rPr>
          <t xml:space="preserve">See note on CFC-11
</t>
        </r>
      </text>
    </comment>
    <comment ref="I213" authorId="0" shapeId="0" xr:uid="{3D2EFDFD-20B6-4533-B734-8E7A9DA4DAD1}">
      <text>
        <r>
          <rPr>
            <sz val="9"/>
            <color indexed="81"/>
            <rFont val="Tahoma"/>
            <family val="2"/>
          </rPr>
          <t xml:space="preserve">See note on CFC-11
</t>
        </r>
      </text>
    </comment>
    <comment ref="J213" authorId="0" shapeId="0" xr:uid="{729696FD-93DD-48E9-9363-385553A2729E}">
      <text>
        <r>
          <rPr>
            <sz val="9"/>
            <color indexed="81"/>
            <rFont val="Tahoma"/>
            <family val="2"/>
          </rPr>
          <t xml:space="preserve">See notes on CFC11
</t>
        </r>
      </text>
    </comment>
    <comment ref="A214" authorId="0" shapeId="0" xr:uid="{7A1D2866-CC0E-445D-B6C6-4517E64C5403}">
      <text>
        <r>
          <rPr>
            <sz val="9"/>
            <color indexed="81"/>
            <rFont val="Tahoma"/>
            <family val="2"/>
          </rPr>
          <t xml:space="preserve">CH2ClCF2CF3,
3-Chloro-1,1,1,2,2-pentafluoropropane
</t>
        </r>
      </text>
    </comment>
    <comment ref="C214" authorId="0" shapeId="0" xr:uid="{50986DF3-3950-43DB-BE1F-2740312D6FAC}">
      <text>
        <r>
          <rPr>
            <sz val="9"/>
            <color indexed="81"/>
            <rFont val="Tahoma"/>
            <family val="2"/>
          </rPr>
          <t>https://csl.noaa.gov/groups/csl5/datasets/data/hcfcs/Summary%20HCFC-235.pdf</t>
        </r>
      </text>
    </comment>
    <comment ref="D214" authorId="0" shapeId="0" xr:uid="{B913634E-915E-4A2A-AFB8-231E93C50D5F}">
      <text>
        <r>
          <rPr>
            <sz val="9"/>
            <color indexed="81"/>
            <rFont val="Tahoma"/>
            <family val="2"/>
          </rPr>
          <t xml:space="preserve">Uncertainty estimated from difference between well-mixed (801) and lifetime adjusted (764) GWP </t>
        </r>
      </text>
    </comment>
    <comment ref="E214" authorId="0" shapeId="0" xr:uid="{DBB926C8-F83E-4BA6-8A4B-5E909E662C24}">
      <text>
        <r>
          <rPr>
            <sz val="9"/>
            <color indexed="81"/>
            <rFont val="Tahoma"/>
            <family val="2"/>
          </rPr>
          <t>https://csl.noaa.gov/groups/csl5/datasets/data/hcfcs/Summary%20HCFC-235.pdf</t>
        </r>
      </text>
    </comment>
    <comment ref="F214" authorId="0" shapeId="0" xr:uid="{A5C8617C-B604-4398-943E-BD1397FD9B1C}">
      <text>
        <r>
          <rPr>
            <sz val="9"/>
            <color indexed="81"/>
            <rFont val="Tahoma"/>
            <family val="2"/>
          </rPr>
          <t>Assumed to be subject to the same kind of uncertainties as the GWP estimate</t>
        </r>
        <r>
          <rPr>
            <sz val="9"/>
            <color indexed="81"/>
            <rFont val="Tahoma"/>
            <family val="2"/>
          </rPr>
          <t xml:space="preserve">
</t>
        </r>
      </text>
    </comment>
    <comment ref="G214" authorId="0" shapeId="0" xr:uid="{944496C2-CE45-4C3A-B29A-E3925A131AC0}">
      <text>
        <r>
          <rPr>
            <sz val="9"/>
            <color indexed="81"/>
            <rFont val="Tahoma"/>
            <family val="2"/>
          </rPr>
          <t xml:space="preserve">See note on CFC-11
</t>
        </r>
      </text>
    </comment>
    <comment ref="I214" authorId="0" shapeId="0" xr:uid="{90E416F8-E9E9-402C-A29F-2B5E87B18E0D}">
      <text>
        <r>
          <rPr>
            <sz val="9"/>
            <color indexed="81"/>
            <rFont val="Tahoma"/>
            <family val="2"/>
          </rPr>
          <t xml:space="preserve">See note on CFC-11
</t>
        </r>
      </text>
    </comment>
    <comment ref="J214" authorId="0" shapeId="0" xr:uid="{2A90EB40-9E15-4CEE-BA77-2EA5CD6EB968}">
      <text>
        <r>
          <rPr>
            <sz val="9"/>
            <color indexed="81"/>
            <rFont val="Tahoma"/>
            <family val="2"/>
          </rPr>
          <t xml:space="preserve">See notes on CFC11
</t>
        </r>
      </text>
    </comment>
    <comment ref="A215" authorId="0" shapeId="0" xr:uid="{290FE617-CCF7-4FF8-8D68-951E62C472E8}">
      <text>
        <r>
          <rPr>
            <sz val="9"/>
            <color indexed="81"/>
            <rFont val="Tahoma"/>
            <family val="2"/>
          </rPr>
          <t xml:space="preserve">CHClFCF2CHF2,
1-Chloro-1,2,2,3,3-pentafluoropropane
</t>
        </r>
      </text>
    </comment>
    <comment ref="C215" authorId="0" shapeId="0" xr:uid="{74BB9472-F940-4798-8907-95CB6598A343}">
      <text>
        <r>
          <rPr>
            <sz val="9"/>
            <color indexed="81"/>
            <rFont val="Tahoma"/>
            <family val="2"/>
          </rPr>
          <t>https://csl.noaa.gov/groups/csl5/datasets/data/hcfcs/Summary%20HCFC-235.pdf</t>
        </r>
      </text>
    </comment>
    <comment ref="D215" authorId="0" shapeId="0" xr:uid="{C3E56C49-57A1-445C-9F00-2D1CA6AF8570}">
      <text>
        <r>
          <rPr>
            <sz val="9"/>
            <color indexed="81"/>
            <rFont val="Tahoma"/>
            <family val="2"/>
          </rPr>
          <t xml:space="preserve">Uncertainty estimated from difference between well-mixed (412) and lifetime adjusted (377) GWP </t>
        </r>
      </text>
    </comment>
    <comment ref="E215" authorId="0" shapeId="0" xr:uid="{F0408303-A30C-4FD4-8BB9-41B0378FAACA}">
      <text>
        <r>
          <rPr>
            <sz val="9"/>
            <color indexed="81"/>
            <rFont val="Tahoma"/>
            <family val="2"/>
          </rPr>
          <t>https://csl.noaa.gov/groups/csl5/datasets/data/hcfcs/Summary%20HCFC-235.pdf</t>
        </r>
      </text>
    </comment>
    <comment ref="F215" authorId="0" shapeId="0" xr:uid="{70E9BA1E-8AA9-40AA-AF54-37CB0CF077FB}">
      <text>
        <r>
          <rPr>
            <sz val="9"/>
            <color indexed="81"/>
            <rFont val="Tahoma"/>
            <family val="2"/>
          </rPr>
          <t>Assumed to be subject to the same kind of uncertainties as the GWP estimate</t>
        </r>
        <r>
          <rPr>
            <sz val="9"/>
            <color indexed="81"/>
            <rFont val="Tahoma"/>
            <family val="2"/>
          </rPr>
          <t xml:space="preserve">
</t>
        </r>
      </text>
    </comment>
    <comment ref="G215" authorId="0" shapeId="0" xr:uid="{04BDC921-6914-4977-A066-02EE51956BD8}">
      <text>
        <r>
          <rPr>
            <sz val="9"/>
            <color indexed="81"/>
            <rFont val="Tahoma"/>
            <family val="2"/>
          </rPr>
          <t xml:space="preserve">See note on CFC-11
</t>
        </r>
      </text>
    </comment>
    <comment ref="I215" authorId="0" shapeId="0" xr:uid="{9589A2D1-252E-4986-A41B-BDC257E104D5}">
      <text>
        <r>
          <rPr>
            <sz val="9"/>
            <color indexed="81"/>
            <rFont val="Tahoma"/>
            <family val="2"/>
          </rPr>
          <t xml:space="preserve">See note on CFC-11
</t>
        </r>
      </text>
    </comment>
    <comment ref="J215" authorId="0" shapeId="0" xr:uid="{B13CBC1D-86AF-4B75-A51B-876199AF99B8}">
      <text>
        <r>
          <rPr>
            <sz val="9"/>
            <color indexed="81"/>
            <rFont val="Tahoma"/>
            <family val="2"/>
          </rPr>
          <t xml:space="preserve">See notes on CFC11
</t>
        </r>
      </text>
    </comment>
    <comment ref="A216" authorId="0" shapeId="0" xr:uid="{2E178895-68F3-4A06-9542-07F3C9FC218E}">
      <text>
        <r>
          <rPr>
            <sz val="9"/>
            <color indexed="81"/>
            <rFont val="Tahoma"/>
            <family val="2"/>
          </rPr>
          <t xml:space="preserve">CH2FCF2CClF2,
1-Chloro-1,1,2,2,3-pentafluoropropane
</t>
        </r>
      </text>
    </comment>
    <comment ref="C216" authorId="0" shapeId="0" xr:uid="{30B8080D-6190-4390-804A-3D011CD98C5C}">
      <text>
        <r>
          <rPr>
            <sz val="9"/>
            <color indexed="81"/>
            <rFont val="Tahoma"/>
            <family val="2"/>
          </rPr>
          <t>https://csl.noaa.gov/groups/csl5/datasets/data/hcfcs/Summary%20HCFC-235.pdf</t>
        </r>
      </text>
    </comment>
    <comment ref="D216" authorId="0" shapeId="0" xr:uid="{3BFE1986-3D21-4408-B257-CFF1B69F9E2A}">
      <text>
        <r>
          <rPr>
            <sz val="9"/>
            <color indexed="81"/>
            <rFont val="Tahoma"/>
            <family val="2"/>
          </rPr>
          <t xml:space="preserve">Uncertainty estimated from difference between well-mixed (1501) and lifetime adjusted (1448) GWP </t>
        </r>
      </text>
    </comment>
    <comment ref="E216" authorId="0" shapeId="0" xr:uid="{71CD830D-6B07-453B-AB1B-B8F51D144C51}">
      <text>
        <r>
          <rPr>
            <sz val="9"/>
            <color indexed="81"/>
            <rFont val="Tahoma"/>
            <family val="2"/>
          </rPr>
          <t>https://csl.noaa.gov/groups/csl5/datasets/data/hcfcs/Summary%20HCFC-235.pdf</t>
        </r>
      </text>
    </comment>
    <comment ref="F216" authorId="0" shapeId="0" xr:uid="{E3B21C9A-5AAC-4897-9541-E0705ABB0694}">
      <text>
        <r>
          <rPr>
            <sz val="9"/>
            <color indexed="81"/>
            <rFont val="Tahoma"/>
            <family val="2"/>
          </rPr>
          <t>Assumed to be subject to the same kind of uncertainties as the GWP estimate</t>
        </r>
        <r>
          <rPr>
            <sz val="9"/>
            <color indexed="81"/>
            <rFont val="Tahoma"/>
            <family val="2"/>
          </rPr>
          <t xml:space="preserve">
</t>
        </r>
      </text>
    </comment>
    <comment ref="G216" authorId="0" shapeId="0" xr:uid="{B6B911E6-282C-43B8-BC19-2CBF6416DF88}">
      <text>
        <r>
          <rPr>
            <sz val="9"/>
            <color indexed="81"/>
            <rFont val="Tahoma"/>
            <family val="2"/>
          </rPr>
          <t xml:space="preserve">See note on CFC-11
</t>
        </r>
      </text>
    </comment>
    <comment ref="I216" authorId="0" shapeId="0" xr:uid="{9EE1D66F-DAC7-40AF-BC3F-4BF1A8CA2135}">
      <text>
        <r>
          <rPr>
            <sz val="9"/>
            <color indexed="81"/>
            <rFont val="Tahoma"/>
            <family val="2"/>
          </rPr>
          <t xml:space="preserve">See note on CFC-11
</t>
        </r>
      </text>
    </comment>
    <comment ref="J216" authorId="0" shapeId="0" xr:uid="{C0617F68-8E88-40C1-9AC0-08409E6DE6AE}">
      <text>
        <r>
          <rPr>
            <sz val="9"/>
            <color indexed="81"/>
            <rFont val="Tahoma"/>
            <family val="2"/>
          </rPr>
          <t xml:space="preserve">See notes on CFC11
</t>
        </r>
      </text>
    </comment>
    <comment ref="A217" authorId="0" shapeId="0" xr:uid="{27AD3B30-471D-43FA-BC71-A777DB76DBEF}">
      <text>
        <r>
          <rPr>
            <sz val="9"/>
            <color indexed="81"/>
            <rFont val="Tahoma"/>
            <family val="2"/>
          </rPr>
          <t xml:space="preserve">CHF2CHClCF3,
2-Chloro-1,1,1,3,3-pentafluoropropane
</t>
        </r>
      </text>
    </comment>
    <comment ref="C217" authorId="0" shapeId="0" xr:uid="{3C5A69B4-7AF9-4BE9-B7F6-02FDA6A08DA4}">
      <text>
        <r>
          <rPr>
            <sz val="9"/>
            <color indexed="81"/>
            <rFont val="Tahoma"/>
            <family val="2"/>
          </rPr>
          <t>https://csl.noaa.gov/groups/csl5/datasets/data/hcfcs/Summary%20HCFC-235.pdf</t>
        </r>
      </text>
    </comment>
    <comment ref="D217" authorId="0" shapeId="0" xr:uid="{BE92A3CF-8B36-4B2E-95D8-B7AB082BC184}">
      <text>
        <r>
          <rPr>
            <sz val="9"/>
            <color indexed="81"/>
            <rFont val="Tahoma"/>
            <family val="2"/>
          </rPr>
          <t xml:space="preserve">Uncertainty estimated from difference between well-mixed (657) and lifetime adjusted (620) GWP </t>
        </r>
      </text>
    </comment>
    <comment ref="E217" authorId="0" shapeId="0" xr:uid="{FB9CB9F4-AF4F-4F16-8F80-0E02E6ED6247}">
      <text>
        <r>
          <rPr>
            <sz val="9"/>
            <color indexed="81"/>
            <rFont val="Tahoma"/>
            <family val="2"/>
          </rPr>
          <t>https://csl.noaa.gov/groups/csl5/datasets/data/hcfcs/Summary%20HCFC-235.pdf</t>
        </r>
      </text>
    </comment>
    <comment ref="F217" authorId="0" shapeId="0" xr:uid="{D742D3AD-FC01-44B4-919F-ABC38E6607D1}">
      <text>
        <r>
          <rPr>
            <sz val="9"/>
            <color indexed="81"/>
            <rFont val="Tahoma"/>
            <family val="2"/>
          </rPr>
          <t>Assumed to be subject to the same kind of uncertainties as the GWP estimate</t>
        </r>
        <r>
          <rPr>
            <sz val="9"/>
            <color indexed="81"/>
            <rFont val="Tahoma"/>
            <family val="2"/>
          </rPr>
          <t xml:space="preserve">
</t>
        </r>
      </text>
    </comment>
    <comment ref="G217" authorId="0" shapeId="0" xr:uid="{532DB14F-59F9-4577-983C-368714E2C586}">
      <text>
        <r>
          <rPr>
            <sz val="9"/>
            <color indexed="81"/>
            <rFont val="Tahoma"/>
            <family val="2"/>
          </rPr>
          <t xml:space="preserve">See note on CFC-11
</t>
        </r>
      </text>
    </comment>
    <comment ref="I217" authorId="0" shapeId="0" xr:uid="{1702CA8F-73A9-4BFA-AFFA-9824E9390652}">
      <text>
        <r>
          <rPr>
            <sz val="9"/>
            <color indexed="81"/>
            <rFont val="Tahoma"/>
            <family val="2"/>
          </rPr>
          <t xml:space="preserve">See note on CFC-11
</t>
        </r>
      </text>
    </comment>
    <comment ref="J217" authorId="0" shapeId="0" xr:uid="{2FCD68F9-650C-4080-A1CC-E2F8AFD696DC}">
      <text>
        <r>
          <rPr>
            <sz val="9"/>
            <color indexed="81"/>
            <rFont val="Tahoma"/>
            <family val="2"/>
          </rPr>
          <t xml:space="preserve">See notes on CFC11
</t>
        </r>
      </text>
    </comment>
    <comment ref="A218" authorId="0" shapeId="0" xr:uid="{783329DB-9BFC-4E1E-A695-87D991312940}">
      <text>
        <r>
          <rPr>
            <sz val="9"/>
            <color indexed="81"/>
            <rFont val="Tahoma"/>
            <family val="2"/>
          </rPr>
          <t xml:space="preserve">CHClFCHFCF3,
3-Chloro-1,1,1,2,3-pentafluoropropane
</t>
        </r>
      </text>
    </comment>
    <comment ref="C218" authorId="0" shapeId="0" xr:uid="{7D24711D-0921-443E-852C-E17C1CCD2E73}">
      <text>
        <r>
          <rPr>
            <sz val="9"/>
            <color indexed="81"/>
            <rFont val="Tahoma"/>
            <family val="2"/>
          </rPr>
          <t>https://csl.noaa.gov/groups/csl5/datasets/data/hcfcs/Summary%20HCFC-235.pdf</t>
        </r>
      </text>
    </comment>
    <comment ref="D218" authorId="0" shapeId="0" xr:uid="{364CE3EE-29A0-4D05-83DB-B4E17F0B9258}">
      <text>
        <r>
          <rPr>
            <sz val="9"/>
            <color indexed="81"/>
            <rFont val="Tahoma"/>
            <family val="2"/>
          </rPr>
          <t xml:space="preserve">Uncertainty estimated from difference between well-mixed (645) and lifetime adjusted (605) GWP </t>
        </r>
      </text>
    </comment>
    <comment ref="E218" authorId="0" shapeId="0" xr:uid="{3FD72B88-9B6E-487E-A367-C418E3A03D3C}">
      <text>
        <r>
          <rPr>
            <sz val="9"/>
            <color indexed="81"/>
            <rFont val="Tahoma"/>
            <family val="2"/>
          </rPr>
          <t>https://csl.noaa.gov/groups/csl5/datasets/data/hcfcs/Summary%20HCFC-235.pdf</t>
        </r>
      </text>
    </comment>
    <comment ref="F218" authorId="0" shapeId="0" xr:uid="{97E8D99E-0ECA-4A9C-A955-B5BC4D9CA9BF}">
      <text>
        <r>
          <rPr>
            <sz val="9"/>
            <color indexed="81"/>
            <rFont val="Tahoma"/>
            <family val="2"/>
          </rPr>
          <t>Assumed to be subject to the same kind of uncertainties as the GWP estimate</t>
        </r>
        <r>
          <rPr>
            <sz val="9"/>
            <color indexed="81"/>
            <rFont val="Tahoma"/>
            <family val="2"/>
          </rPr>
          <t xml:space="preserve">
</t>
        </r>
      </text>
    </comment>
    <comment ref="G218" authorId="0" shapeId="0" xr:uid="{3949AB4A-13EC-4FE7-B90A-120008F58598}">
      <text>
        <r>
          <rPr>
            <sz val="9"/>
            <color indexed="81"/>
            <rFont val="Tahoma"/>
            <family val="2"/>
          </rPr>
          <t xml:space="preserve">See note on CFC-11
</t>
        </r>
      </text>
    </comment>
    <comment ref="I218" authorId="0" shapeId="0" xr:uid="{7F7F0584-94C3-4A1F-8EC5-795F4B0F9E6D}">
      <text>
        <r>
          <rPr>
            <sz val="9"/>
            <color indexed="81"/>
            <rFont val="Tahoma"/>
            <family val="2"/>
          </rPr>
          <t xml:space="preserve">See note on CFC-11
</t>
        </r>
      </text>
    </comment>
    <comment ref="J218" authorId="0" shapeId="0" xr:uid="{C52BDCE0-0261-4187-A106-9D6C6056F94E}">
      <text>
        <r>
          <rPr>
            <sz val="9"/>
            <color indexed="81"/>
            <rFont val="Tahoma"/>
            <family val="2"/>
          </rPr>
          <t xml:space="preserve">See notes on CFC11
</t>
        </r>
      </text>
    </comment>
    <comment ref="A219" authorId="0" shapeId="0" xr:uid="{B73DDCE6-2970-497D-B89E-232C64DD9FAE}">
      <text>
        <r>
          <rPr>
            <sz val="9"/>
            <color indexed="81"/>
            <rFont val="Tahoma"/>
            <family val="2"/>
          </rPr>
          <t xml:space="preserve">CHF2CHFCClF2,
1-Chloro-1,1,2,3,3-pentafluoropropane
</t>
        </r>
      </text>
    </comment>
    <comment ref="C219" authorId="0" shapeId="0" xr:uid="{E545E298-C92B-414D-A8F9-B4181E3A0001}">
      <text>
        <r>
          <rPr>
            <sz val="9"/>
            <color indexed="81"/>
            <rFont val="Tahoma"/>
            <family val="2"/>
          </rPr>
          <t>https://csl.noaa.gov/groups/csl5/datasets/data/hcfcs/Summary%20HCFC-235.pdf</t>
        </r>
      </text>
    </comment>
    <comment ref="D219" authorId="0" shapeId="0" xr:uid="{4D773971-23B0-4CCF-99E9-45EF4D995A68}">
      <text>
        <r>
          <rPr>
            <sz val="9"/>
            <color indexed="81"/>
            <rFont val="Tahoma"/>
            <family val="2"/>
          </rPr>
          <t xml:space="preserve">Uncertainty estimated from difference between well-mixed (355) and lifetime adjusted (315) GWP </t>
        </r>
      </text>
    </comment>
    <comment ref="E219" authorId="0" shapeId="0" xr:uid="{67FC1C86-0BFE-4597-9D4D-AD4F29F1C185}">
      <text>
        <r>
          <rPr>
            <sz val="9"/>
            <color indexed="81"/>
            <rFont val="Tahoma"/>
            <family val="2"/>
          </rPr>
          <t>https://csl.noaa.gov/groups/csl5/datasets/data/hcfcs/Summary%20HCFC-235.pdf</t>
        </r>
      </text>
    </comment>
    <comment ref="F219" authorId="0" shapeId="0" xr:uid="{B3A6A5F4-F8DF-42F3-BE47-4A191C48706B}">
      <text>
        <r>
          <rPr>
            <sz val="9"/>
            <color indexed="81"/>
            <rFont val="Tahoma"/>
            <family val="2"/>
          </rPr>
          <t>Assumed to be subject to the same kind of uncertainties as the GWP estimate</t>
        </r>
        <r>
          <rPr>
            <sz val="9"/>
            <color indexed="81"/>
            <rFont val="Tahoma"/>
            <family val="2"/>
          </rPr>
          <t xml:space="preserve">
</t>
        </r>
      </text>
    </comment>
    <comment ref="G219" authorId="0" shapeId="0" xr:uid="{F95940EE-6DB7-4370-A169-962481071EB9}">
      <text>
        <r>
          <rPr>
            <sz val="9"/>
            <color indexed="81"/>
            <rFont val="Tahoma"/>
            <family val="2"/>
          </rPr>
          <t xml:space="preserve">See note on CFC-11
</t>
        </r>
      </text>
    </comment>
    <comment ref="I219" authorId="0" shapeId="0" xr:uid="{A095BEAC-DF3A-480C-9E49-7813665FBEDD}">
      <text>
        <r>
          <rPr>
            <sz val="9"/>
            <color indexed="81"/>
            <rFont val="Tahoma"/>
            <family val="2"/>
          </rPr>
          <t xml:space="preserve">See note on CFC-11
</t>
        </r>
      </text>
    </comment>
    <comment ref="J219" authorId="0" shapeId="0" xr:uid="{DFC12327-F180-4BCD-AF48-18232BD3AE1C}">
      <text>
        <r>
          <rPr>
            <sz val="9"/>
            <color indexed="81"/>
            <rFont val="Tahoma"/>
            <family val="2"/>
          </rPr>
          <t xml:space="preserve">See notes on CFC11
</t>
        </r>
      </text>
    </comment>
    <comment ref="A220" authorId="0" shapeId="0" xr:uid="{323D7E48-2718-4A5B-9DDD-F0463AFB69B0}">
      <text>
        <r>
          <rPr>
            <sz val="9"/>
            <color indexed="81"/>
            <rFont val="Tahoma"/>
            <family val="2"/>
          </rPr>
          <t xml:space="preserve">CClF2CH2CF3,
1-Chloro-1,1,3,3,3-pentafluoropropane
</t>
        </r>
      </text>
    </comment>
    <comment ref="C220" authorId="0" shapeId="0" xr:uid="{0603A3FA-AD4A-4A4B-A0B1-C2E8E491CFB9}">
      <text>
        <r>
          <rPr>
            <sz val="9"/>
            <color indexed="81"/>
            <rFont val="Tahoma"/>
            <family val="2"/>
          </rPr>
          <t>https://csl.noaa.gov/groups/csl5/datasets/data/hcfcs/Summary%20HCFC-235.pdf</t>
        </r>
      </text>
    </comment>
    <comment ref="D220" authorId="0" shapeId="0" xr:uid="{24954404-3EBD-41D2-BB0D-17FB455BA7AE}">
      <text>
        <r>
          <rPr>
            <sz val="9"/>
            <color indexed="81"/>
            <rFont val="Tahoma"/>
            <family val="2"/>
          </rPr>
          <t xml:space="preserve">Uncertainty estimated from difference between well-mixed (5401) and lifetime adjusted (5327) GWP </t>
        </r>
      </text>
    </comment>
    <comment ref="E220" authorId="0" shapeId="0" xr:uid="{084DD9AD-40D9-4B8E-9C45-63126A2906B2}">
      <text>
        <r>
          <rPr>
            <sz val="9"/>
            <color indexed="81"/>
            <rFont val="Tahoma"/>
            <family val="2"/>
          </rPr>
          <t>https://csl.noaa.gov/groups/csl5/datasets/data/hcfcs/Summary%20HCFC-235.pdf</t>
        </r>
      </text>
    </comment>
    <comment ref="F220" authorId="0" shapeId="0" xr:uid="{AA7FEE78-5350-4066-ACC1-79BB2E9C81E1}">
      <text>
        <r>
          <rPr>
            <sz val="9"/>
            <color indexed="81"/>
            <rFont val="Tahoma"/>
            <family val="2"/>
          </rPr>
          <t>Assumed to be subject to the same kind of uncertainties as the GWP estimate</t>
        </r>
        <r>
          <rPr>
            <sz val="9"/>
            <color indexed="81"/>
            <rFont val="Tahoma"/>
            <family val="2"/>
          </rPr>
          <t xml:space="preserve">
</t>
        </r>
      </text>
    </comment>
    <comment ref="G220" authorId="0" shapeId="0" xr:uid="{D0301135-610A-425C-AABC-A5DB0676BF3A}">
      <text>
        <r>
          <rPr>
            <sz val="9"/>
            <color indexed="81"/>
            <rFont val="Tahoma"/>
            <family val="2"/>
          </rPr>
          <t xml:space="preserve">See note on CFC-11
</t>
        </r>
      </text>
    </comment>
    <comment ref="I220" authorId="0" shapeId="0" xr:uid="{EC995727-8367-4E64-AACC-5AD353BDB72E}">
      <text>
        <r>
          <rPr>
            <sz val="9"/>
            <color indexed="81"/>
            <rFont val="Tahoma"/>
            <family val="2"/>
          </rPr>
          <t xml:space="preserve">See note on CFC-11
</t>
        </r>
      </text>
    </comment>
    <comment ref="J220" authorId="0" shapeId="0" xr:uid="{4F4CF269-7657-4459-858C-3066949B750F}">
      <text>
        <r>
          <rPr>
            <sz val="9"/>
            <color indexed="81"/>
            <rFont val="Tahoma"/>
            <family val="2"/>
          </rPr>
          <t xml:space="preserve">See notes on CFC11
</t>
        </r>
      </text>
    </comment>
    <comment ref="A221" authorId="0" shapeId="0" xr:uid="{5BDFF42A-BF17-48BE-A10F-60FC9EE8C682}">
      <text>
        <r>
          <rPr>
            <sz val="9"/>
            <color indexed="81"/>
            <rFont val="Tahoma"/>
            <family val="2"/>
          </rPr>
          <t xml:space="preserve">CH2ClCCl2CHClF,
1,2,2,3-Tetrachloro-1-fluoropropane
</t>
        </r>
      </text>
    </comment>
    <comment ref="C221" authorId="0" shapeId="0" xr:uid="{A9425FBA-4714-42A4-96EE-19AAFC9C9A20}">
      <text>
        <r>
          <rPr>
            <sz val="9"/>
            <color indexed="81"/>
            <rFont val="Tahoma"/>
            <family val="2"/>
          </rPr>
          <t>https://csl.noaa.gov/groups/csl5/datasets/data/hcfcs/Summary%20HCFC-241.pdf</t>
        </r>
      </text>
    </comment>
    <comment ref="D221" authorId="0" shapeId="0" xr:uid="{2AC0E7DE-8111-4178-9410-BF37EC059D74}">
      <text>
        <r>
          <rPr>
            <sz val="9"/>
            <color indexed="81"/>
            <rFont val="Tahoma"/>
            <family val="2"/>
          </rPr>
          <t xml:space="preserve">Uncertainty estimated from difference between well-mixed (63) and lifetime adjusted (51) GWP </t>
        </r>
      </text>
    </comment>
    <comment ref="E221" authorId="0" shapeId="0" xr:uid="{47CE8C60-9BD5-4A67-833A-D6736D08E976}">
      <text>
        <r>
          <rPr>
            <sz val="9"/>
            <color indexed="81"/>
            <rFont val="Tahoma"/>
            <family val="2"/>
          </rPr>
          <t>https://csl.noaa.gov/groups/csl5/datasets/data/hcfcs/Summary%20HCFC-241.pdf</t>
        </r>
      </text>
    </comment>
    <comment ref="F221" authorId="0" shapeId="0" xr:uid="{A83DE05E-2403-42F6-9366-7EE5FD29F9EC}">
      <text>
        <r>
          <rPr>
            <sz val="9"/>
            <color indexed="81"/>
            <rFont val="Tahoma"/>
            <family val="2"/>
          </rPr>
          <t>Assumed to be subject to the same kind of uncertainties as the GWP estimate</t>
        </r>
        <r>
          <rPr>
            <sz val="9"/>
            <color indexed="81"/>
            <rFont val="Tahoma"/>
            <family val="2"/>
          </rPr>
          <t xml:space="preserve">
</t>
        </r>
      </text>
    </comment>
    <comment ref="G221" authorId="0" shapeId="0" xr:uid="{49698D33-1655-4B27-9DFB-5BF1E6730E0D}">
      <text>
        <r>
          <rPr>
            <sz val="9"/>
            <color indexed="81"/>
            <rFont val="Tahoma"/>
            <family val="2"/>
          </rPr>
          <t xml:space="preserve">See note on CFC-11
</t>
        </r>
      </text>
    </comment>
    <comment ref="I221" authorId="0" shapeId="0" xr:uid="{D5120292-C940-43C5-84AD-86AD5DD0DB97}">
      <text>
        <r>
          <rPr>
            <sz val="9"/>
            <color indexed="81"/>
            <rFont val="Tahoma"/>
            <family val="2"/>
          </rPr>
          <t xml:space="preserve">See note on CFC-11
</t>
        </r>
      </text>
    </comment>
    <comment ref="J221" authorId="0" shapeId="0" xr:uid="{ABD53CF7-8CEE-4C2E-92B8-53523FAFF51B}">
      <text>
        <r>
          <rPr>
            <sz val="9"/>
            <color indexed="81"/>
            <rFont val="Tahoma"/>
            <family val="2"/>
          </rPr>
          <t xml:space="preserve">See notes on CFC11
</t>
        </r>
      </text>
    </comment>
    <comment ref="A222" authorId="0" shapeId="0" xr:uid="{AFE1FEEB-3480-465F-A36D-372CCF9DFEFB}">
      <text>
        <r>
          <rPr>
            <sz val="9"/>
            <color indexed="81"/>
            <rFont val="Tahoma"/>
            <family val="2"/>
          </rPr>
          <t>CH2FCCl2CHCl2,
1,1,2,2-Tetrachloro-3-fluoropropane</t>
        </r>
      </text>
    </comment>
    <comment ref="C222" authorId="0" shapeId="0" xr:uid="{5A746452-2D5E-4C62-B5CA-AB59037B7225}">
      <text>
        <r>
          <rPr>
            <sz val="9"/>
            <color indexed="81"/>
            <rFont val="Tahoma"/>
            <family val="2"/>
          </rPr>
          <t>https://csl.noaa.gov/groups/csl5/datasets/data/hcfcs/Summary%20HCFC-241.pdf</t>
        </r>
      </text>
    </comment>
    <comment ref="D222" authorId="0" shapeId="0" xr:uid="{FC9BCF1C-CEF9-4E4F-ADC9-F1AE942AD534}">
      <text>
        <r>
          <rPr>
            <sz val="9"/>
            <color indexed="81"/>
            <rFont val="Tahoma"/>
            <family val="2"/>
          </rPr>
          <t xml:space="preserve">Uncertainty estimated from difference between well-mixed (32) and lifetime adjusted (22) GWP </t>
        </r>
      </text>
    </comment>
    <comment ref="E222" authorId="0" shapeId="0" xr:uid="{B3C5F5B3-D937-4177-B506-CA4D88218671}">
      <text>
        <r>
          <rPr>
            <sz val="9"/>
            <color indexed="81"/>
            <rFont val="Tahoma"/>
            <family val="2"/>
          </rPr>
          <t>https://csl.noaa.gov/groups/csl5/datasets/data/hcfcs/Summary%20HCFC-241.pdf</t>
        </r>
      </text>
    </comment>
    <comment ref="F222" authorId="0" shapeId="0" xr:uid="{487EA004-C12D-4AD8-824F-8D8D65EF763E}">
      <text>
        <r>
          <rPr>
            <sz val="9"/>
            <color indexed="81"/>
            <rFont val="Tahoma"/>
            <family val="2"/>
          </rPr>
          <t>Assumed to be subject to the same kind of uncertainties as the GWP estimate</t>
        </r>
        <r>
          <rPr>
            <sz val="9"/>
            <color indexed="81"/>
            <rFont val="Tahoma"/>
            <family val="2"/>
          </rPr>
          <t xml:space="preserve">
</t>
        </r>
      </text>
    </comment>
    <comment ref="G222" authorId="0" shapeId="0" xr:uid="{DC9D45EE-E3A7-4892-B478-0D25181098AB}">
      <text>
        <r>
          <rPr>
            <sz val="9"/>
            <color indexed="81"/>
            <rFont val="Tahoma"/>
            <family val="2"/>
          </rPr>
          <t xml:space="preserve">See note on CFC-11
</t>
        </r>
      </text>
    </comment>
    <comment ref="I222" authorId="0" shapeId="0" xr:uid="{A825DB5D-739D-4725-9F4C-CDFE754F807D}">
      <text>
        <r>
          <rPr>
            <sz val="9"/>
            <color indexed="81"/>
            <rFont val="Tahoma"/>
            <family val="2"/>
          </rPr>
          <t xml:space="preserve">See note on CFC-11
</t>
        </r>
      </text>
    </comment>
    <comment ref="J222" authorId="0" shapeId="0" xr:uid="{747B5D6F-07BB-43AA-A3B4-D9DDB4E46DEE}">
      <text>
        <r>
          <rPr>
            <sz val="9"/>
            <color indexed="81"/>
            <rFont val="Tahoma"/>
            <family val="2"/>
          </rPr>
          <t xml:space="preserve">See notes on CFC11
</t>
        </r>
      </text>
    </comment>
    <comment ref="A223" authorId="0" shapeId="0" xr:uid="{E2A66AAD-D221-4AB5-BF3F-61D8BA3F538A}">
      <text>
        <r>
          <rPr>
            <sz val="9"/>
            <color indexed="81"/>
            <rFont val="Tahoma"/>
            <family val="2"/>
          </rPr>
          <t>CH3CCl2CCl2F,
1,1,2,2-Tetrachloro-1-fluoropropane</t>
        </r>
      </text>
    </comment>
    <comment ref="C223" authorId="0" shapeId="0" xr:uid="{34E5EF51-D34E-4F56-B8F7-37ABB5996052}">
      <text>
        <r>
          <rPr>
            <sz val="9"/>
            <color indexed="81"/>
            <rFont val="Tahoma"/>
            <family val="2"/>
          </rPr>
          <t>https://csl.noaa.gov/groups/csl5/datasets/data/hcfcs/Summary%20HCFC-241.pdf</t>
        </r>
      </text>
    </comment>
    <comment ref="D223" authorId="0" shapeId="0" xr:uid="{53792C94-8E28-42D0-9A4B-8DAC0E05CCC6}">
      <text>
        <r>
          <rPr>
            <sz val="9"/>
            <color indexed="81"/>
            <rFont val="Tahoma"/>
            <family val="2"/>
          </rPr>
          <t xml:space="preserve">Uncertainty estimated from difference between well-mixed (327) and lifetime adjusted (302) GWP </t>
        </r>
      </text>
    </comment>
    <comment ref="E223" authorId="0" shapeId="0" xr:uid="{4FACBE0B-F7B0-488A-BF5E-78CF9D729BD6}">
      <text>
        <r>
          <rPr>
            <sz val="9"/>
            <color indexed="81"/>
            <rFont val="Tahoma"/>
            <family val="2"/>
          </rPr>
          <t>https://csl.noaa.gov/groups/csl5/datasets/data/hcfcs/Summary%20HCFC-241.pdf</t>
        </r>
      </text>
    </comment>
    <comment ref="F223" authorId="0" shapeId="0" xr:uid="{49F4D021-4449-4B7A-8E20-1C338CE18406}">
      <text>
        <r>
          <rPr>
            <sz val="9"/>
            <color indexed="81"/>
            <rFont val="Tahoma"/>
            <family val="2"/>
          </rPr>
          <t>Assumed to be subject to the same kind of uncertainties as the GWP estimate</t>
        </r>
        <r>
          <rPr>
            <sz val="9"/>
            <color indexed="81"/>
            <rFont val="Tahoma"/>
            <family val="2"/>
          </rPr>
          <t xml:space="preserve">
</t>
        </r>
      </text>
    </comment>
    <comment ref="G223" authorId="0" shapeId="0" xr:uid="{38277EED-012F-425A-B41F-5B18D78C5CE4}">
      <text>
        <r>
          <rPr>
            <sz val="9"/>
            <color indexed="81"/>
            <rFont val="Tahoma"/>
            <family val="2"/>
          </rPr>
          <t xml:space="preserve">See note on CFC-11
</t>
        </r>
      </text>
    </comment>
    <comment ref="I223" authorId="0" shapeId="0" xr:uid="{114A69D6-667B-4A9D-8AA5-0C4F671BA0A3}">
      <text>
        <r>
          <rPr>
            <sz val="9"/>
            <color indexed="81"/>
            <rFont val="Tahoma"/>
            <family val="2"/>
          </rPr>
          <t xml:space="preserve">See note on CFC-11
</t>
        </r>
      </text>
    </comment>
    <comment ref="J223" authorId="0" shapeId="0" xr:uid="{93E4FB8F-21BD-4F95-90E1-B40FC1F01DF8}">
      <text>
        <r>
          <rPr>
            <sz val="9"/>
            <color indexed="81"/>
            <rFont val="Tahoma"/>
            <family val="2"/>
          </rPr>
          <t xml:space="preserve">See notes on CFC11
</t>
        </r>
      </text>
    </comment>
    <comment ref="A224" authorId="0" shapeId="0" xr:uid="{7813998B-C321-419E-A596-1A3E53BDAC16}">
      <text>
        <r>
          <rPr>
            <sz val="9"/>
            <color indexed="81"/>
            <rFont val="Tahoma"/>
            <family val="2"/>
          </rPr>
          <t xml:space="preserve">CH2ClCClFCHCl2,
1,1,2,3-Tetrachloro-2-fluoropropane
</t>
        </r>
      </text>
    </comment>
    <comment ref="C224" authorId="0" shapeId="0" xr:uid="{98151517-CB03-478A-898C-D0E154B62389}">
      <text>
        <r>
          <rPr>
            <sz val="9"/>
            <color indexed="81"/>
            <rFont val="Tahoma"/>
            <family val="2"/>
          </rPr>
          <t>https://csl.noaa.gov/groups/csl5/datasets/data/hcfcs/Summary%20HCFC-241.pdf</t>
        </r>
      </text>
    </comment>
    <comment ref="D224" authorId="0" shapeId="0" xr:uid="{BE6E91CB-A37E-4BBE-AFB3-6964022BB83D}">
      <text>
        <r>
          <rPr>
            <sz val="9"/>
            <color indexed="81"/>
            <rFont val="Tahoma"/>
            <family val="2"/>
          </rPr>
          <t xml:space="preserve">Uncertainty estimated from difference between well-mixed (42) and lifetime adjusted (29) GWP </t>
        </r>
      </text>
    </comment>
    <comment ref="E224" authorId="0" shapeId="0" xr:uid="{7B9407FE-FE8D-4D09-AD58-31FFFF53D369}">
      <text>
        <r>
          <rPr>
            <sz val="9"/>
            <color indexed="81"/>
            <rFont val="Tahoma"/>
            <family val="2"/>
          </rPr>
          <t>https://csl.noaa.gov/groups/csl5/datasets/data/hcfcs/Summary%20HCFC-241.pdf</t>
        </r>
      </text>
    </comment>
    <comment ref="F224" authorId="0" shapeId="0" xr:uid="{60365E2E-D8CE-4E1B-9F4B-96369EB38D30}">
      <text>
        <r>
          <rPr>
            <sz val="9"/>
            <color indexed="81"/>
            <rFont val="Tahoma"/>
            <family val="2"/>
          </rPr>
          <t>Assumed to be subject to the same kind of uncertainties as the GWP estimate</t>
        </r>
        <r>
          <rPr>
            <sz val="9"/>
            <color indexed="81"/>
            <rFont val="Tahoma"/>
            <family val="2"/>
          </rPr>
          <t xml:space="preserve">
</t>
        </r>
      </text>
    </comment>
    <comment ref="G224" authorId="0" shapeId="0" xr:uid="{2CA85B0F-BDF6-4829-9622-90DC1C7F18AA}">
      <text>
        <r>
          <rPr>
            <sz val="9"/>
            <color indexed="81"/>
            <rFont val="Tahoma"/>
            <family val="2"/>
          </rPr>
          <t xml:space="preserve">See note on CFC-11
</t>
        </r>
      </text>
    </comment>
    <comment ref="I224" authorId="0" shapeId="0" xr:uid="{A17EBE04-15EC-4826-8077-BD7662E58A17}">
      <text>
        <r>
          <rPr>
            <sz val="9"/>
            <color indexed="81"/>
            <rFont val="Tahoma"/>
            <family val="2"/>
          </rPr>
          <t xml:space="preserve">See note on CFC-11
</t>
        </r>
      </text>
    </comment>
    <comment ref="J224" authorId="0" shapeId="0" xr:uid="{0D96D00A-6AF8-495F-8F9D-EA5FA7857B76}">
      <text>
        <r>
          <rPr>
            <sz val="9"/>
            <color indexed="81"/>
            <rFont val="Tahoma"/>
            <family val="2"/>
          </rPr>
          <t xml:space="preserve">See notes on CFC11
</t>
        </r>
      </text>
    </comment>
    <comment ref="A225" authorId="0" shapeId="0" xr:uid="{BADFC4D6-0B8E-4FBB-980E-92402C2E3979}">
      <text>
        <r>
          <rPr>
            <sz val="9"/>
            <color indexed="81"/>
            <rFont val="Tahoma"/>
            <family val="2"/>
          </rPr>
          <t xml:space="preserve">CH3CClFCCl3,
1,1,1,2-Tetrachloro-2-fluoropropane
</t>
        </r>
      </text>
    </comment>
    <comment ref="C225" authorId="0" shapeId="0" xr:uid="{F325E0C3-12A0-443F-9E76-7D39748D2CF4}">
      <text>
        <r>
          <rPr>
            <sz val="9"/>
            <color indexed="81"/>
            <rFont val="Tahoma"/>
            <family val="2"/>
          </rPr>
          <t>https://csl.noaa.gov/groups/csl5/datasets/data/hcfcs/Summary%20HCFC-241.pdf</t>
        </r>
      </text>
    </comment>
    <comment ref="D225" authorId="0" shapeId="0" xr:uid="{CA036007-E8E7-40C6-B9D7-EB1CD29408FF}">
      <text>
        <r>
          <rPr>
            <sz val="9"/>
            <color indexed="81"/>
            <rFont val="Tahoma"/>
            <family val="2"/>
          </rPr>
          <t xml:space="preserve">Uncertainty estimated from difference between well-mixed (479) and lifetime adjusted (452) GWP </t>
        </r>
      </text>
    </comment>
    <comment ref="E225" authorId="0" shapeId="0" xr:uid="{5EDE474C-B269-461F-8E99-2C88B15CBB87}">
      <text>
        <r>
          <rPr>
            <sz val="9"/>
            <color indexed="81"/>
            <rFont val="Tahoma"/>
            <family val="2"/>
          </rPr>
          <t>https://csl.noaa.gov/groups/csl5/datasets/data/hcfcs/Summary%20HCFC-241.pdf</t>
        </r>
      </text>
    </comment>
    <comment ref="F225" authorId="0" shapeId="0" xr:uid="{B988A078-404D-4891-A10C-9386FDF1AF03}">
      <text>
        <r>
          <rPr>
            <sz val="9"/>
            <color indexed="81"/>
            <rFont val="Tahoma"/>
            <family val="2"/>
          </rPr>
          <t>Assumed to be subject to the same kind of uncertainties as the GWP estimate</t>
        </r>
        <r>
          <rPr>
            <sz val="9"/>
            <color indexed="81"/>
            <rFont val="Tahoma"/>
            <family val="2"/>
          </rPr>
          <t xml:space="preserve">
</t>
        </r>
      </text>
    </comment>
    <comment ref="G225" authorId="0" shapeId="0" xr:uid="{672D42AF-1B44-4789-BBF9-4E9A7777D4BE}">
      <text>
        <r>
          <rPr>
            <sz val="9"/>
            <color indexed="81"/>
            <rFont val="Tahoma"/>
            <family val="2"/>
          </rPr>
          <t xml:space="preserve">See note on CFC-11
</t>
        </r>
      </text>
    </comment>
    <comment ref="I225" authorId="0" shapeId="0" xr:uid="{E7338D08-6E15-4D1F-BE8F-E780A0FB937C}">
      <text>
        <r>
          <rPr>
            <sz val="9"/>
            <color indexed="81"/>
            <rFont val="Tahoma"/>
            <family val="2"/>
          </rPr>
          <t xml:space="preserve">See note on CFC-11
</t>
        </r>
      </text>
    </comment>
    <comment ref="J225" authorId="0" shapeId="0" xr:uid="{A33F744D-0A3C-4E2F-B2E6-C3405EA25BCF}">
      <text>
        <r>
          <rPr>
            <sz val="9"/>
            <color indexed="81"/>
            <rFont val="Tahoma"/>
            <family val="2"/>
          </rPr>
          <t xml:space="preserve">See notes on CFC11
</t>
        </r>
      </text>
    </comment>
    <comment ref="A226" authorId="0" shapeId="0" xr:uid="{94A1175E-DD2C-4768-8AC9-09B2C28F8CB5}">
      <text>
        <r>
          <rPr>
            <sz val="9"/>
            <color indexed="81"/>
            <rFont val="Tahoma"/>
            <family val="2"/>
          </rPr>
          <t>CHCl2CHClCHClF,
1,1,2,3-Tetrachloro-3-fluoropropane</t>
        </r>
      </text>
    </comment>
    <comment ref="C226" authorId="0" shapeId="0" xr:uid="{CD5CDCA9-64A7-4673-9B83-D5C35DA2D02F}">
      <text>
        <r>
          <rPr>
            <sz val="9"/>
            <color indexed="81"/>
            <rFont val="Tahoma"/>
            <family val="2"/>
          </rPr>
          <t>https://csl.noaa.gov/groups/csl5/datasets/data/hcfcs/Summary%20HCFC-241.pdf</t>
        </r>
      </text>
    </comment>
    <comment ref="D226" authorId="0" shapeId="0" xr:uid="{CE0A7AE7-F613-450B-B074-1E1E8942D48F}">
      <text>
        <r>
          <rPr>
            <sz val="9"/>
            <color indexed="81"/>
            <rFont val="Tahoma"/>
            <family val="2"/>
          </rPr>
          <t xml:space="preserve">Uncertainty estimated from difference between well-mixed (27) and lifetime adjusted (17) GWP </t>
        </r>
      </text>
    </comment>
    <comment ref="E226" authorId="0" shapeId="0" xr:uid="{0882C1F7-2FE6-4ABB-94C5-FA72FBC6ABE6}">
      <text>
        <r>
          <rPr>
            <sz val="9"/>
            <color indexed="81"/>
            <rFont val="Tahoma"/>
            <family val="2"/>
          </rPr>
          <t>https://csl.noaa.gov/groups/csl5/datasets/data/hcfcs/Summary%20HCFC-241.pdf</t>
        </r>
      </text>
    </comment>
    <comment ref="F226" authorId="0" shapeId="0" xr:uid="{F1230EB6-5C7A-4D2C-B0EC-14818DFAD35F}">
      <text>
        <r>
          <rPr>
            <sz val="9"/>
            <color indexed="81"/>
            <rFont val="Tahoma"/>
            <family val="2"/>
          </rPr>
          <t>Assumed to be subject to the same kind of uncertainties as the GWP estimate</t>
        </r>
        <r>
          <rPr>
            <sz val="9"/>
            <color indexed="81"/>
            <rFont val="Tahoma"/>
            <family val="2"/>
          </rPr>
          <t xml:space="preserve">
</t>
        </r>
      </text>
    </comment>
    <comment ref="G226" authorId="0" shapeId="0" xr:uid="{6BBC0863-2595-4B66-98D0-6951B244E2BD}">
      <text>
        <r>
          <rPr>
            <sz val="9"/>
            <color indexed="81"/>
            <rFont val="Tahoma"/>
            <family val="2"/>
          </rPr>
          <t xml:space="preserve">See note on CFC-11
</t>
        </r>
      </text>
    </comment>
    <comment ref="I226" authorId="0" shapeId="0" xr:uid="{797F419D-9E33-4192-A715-B2069A1BD967}">
      <text>
        <r>
          <rPr>
            <sz val="9"/>
            <color indexed="81"/>
            <rFont val="Tahoma"/>
            <family val="2"/>
          </rPr>
          <t xml:space="preserve">See note on CFC-11
</t>
        </r>
      </text>
    </comment>
    <comment ref="J226" authorId="0" shapeId="0" xr:uid="{5F37F0BC-13FF-4F55-BA86-12BBAB6BFB25}">
      <text>
        <r>
          <rPr>
            <sz val="9"/>
            <color indexed="81"/>
            <rFont val="Tahoma"/>
            <family val="2"/>
          </rPr>
          <t xml:space="preserve">See notes on CFC11
</t>
        </r>
      </text>
    </comment>
    <comment ref="A227" authorId="0" shapeId="0" xr:uid="{A698D867-71E2-4281-A28E-EEF3165E9810}">
      <text>
        <r>
          <rPr>
            <sz val="9"/>
            <color indexed="81"/>
            <rFont val="Tahoma"/>
            <family val="2"/>
          </rPr>
          <t>CH2ClCHClCCl2F,
1,1,2,3-Tetrachloro-1-fluoropropane</t>
        </r>
        <r>
          <rPr>
            <sz val="9"/>
            <color indexed="81"/>
            <rFont val="Tahoma"/>
            <family val="2"/>
          </rPr>
          <t xml:space="preserve">
</t>
        </r>
      </text>
    </comment>
    <comment ref="C227" authorId="0" shapeId="0" xr:uid="{40DBD80B-A0C5-485D-9814-7A511B958B39}">
      <text>
        <r>
          <rPr>
            <sz val="9"/>
            <color indexed="81"/>
            <rFont val="Tahoma"/>
            <family val="2"/>
          </rPr>
          <t>https://csl.noaa.gov/groups/csl5/datasets/data/hcfcs/Summary%20HCFC-241.pdf</t>
        </r>
      </text>
    </comment>
    <comment ref="D227" authorId="0" shapeId="0" xr:uid="{362848D3-DA63-4855-880F-A5CCD2B90D95}">
      <text>
        <r>
          <rPr>
            <sz val="9"/>
            <color indexed="81"/>
            <rFont val="Tahoma"/>
            <family val="2"/>
          </rPr>
          <t xml:space="preserve">Uncertainty estimated from difference between well-mixed (31) and lifetime adjusted (19) GWP </t>
        </r>
      </text>
    </comment>
    <comment ref="E227" authorId="0" shapeId="0" xr:uid="{75CBE3B2-0CA9-46C9-B1AF-BEB8ED0BDA1A}">
      <text>
        <r>
          <rPr>
            <sz val="9"/>
            <color indexed="81"/>
            <rFont val="Tahoma"/>
            <family val="2"/>
          </rPr>
          <t>https://csl.noaa.gov/groups/csl5/datasets/data/hcfcs/Summary%20HCFC-241.pdf</t>
        </r>
      </text>
    </comment>
    <comment ref="F227" authorId="0" shapeId="0" xr:uid="{B8DD9C49-E0F3-471D-8332-D197E6C96B35}">
      <text>
        <r>
          <rPr>
            <sz val="9"/>
            <color indexed="81"/>
            <rFont val="Tahoma"/>
            <family val="2"/>
          </rPr>
          <t>Assumed to be subject to the same kind of uncertainties as the GWP estimate</t>
        </r>
        <r>
          <rPr>
            <sz val="9"/>
            <color indexed="81"/>
            <rFont val="Tahoma"/>
            <family val="2"/>
          </rPr>
          <t xml:space="preserve">
</t>
        </r>
      </text>
    </comment>
    <comment ref="G227" authorId="0" shapeId="0" xr:uid="{DB80C1D0-ECA9-4DD0-A623-C736CE27E05B}">
      <text>
        <r>
          <rPr>
            <sz val="9"/>
            <color indexed="81"/>
            <rFont val="Tahoma"/>
            <family val="2"/>
          </rPr>
          <t xml:space="preserve">See note on CFC-11
</t>
        </r>
      </text>
    </comment>
    <comment ref="I227" authorId="0" shapeId="0" xr:uid="{BF48DBE1-7FCB-4463-91F0-291D0D6862F9}">
      <text>
        <r>
          <rPr>
            <sz val="9"/>
            <color indexed="81"/>
            <rFont val="Tahoma"/>
            <family val="2"/>
          </rPr>
          <t xml:space="preserve">See note on CFC-11
</t>
        </r>
      </text>
    </comment>
    <comment ref="J227" authorId="0" shapeId="0" xr:uid="{46E3B42F-756B-43A9-B0AC-CD3BC9F535B6}">
      <text>
        <r>
          <rPr>
            <sz val="9"/>
            <color indexed="81"/>
            <rFont val="Tahoma"/>
            <family val="2"/>
          </rPr>
          <t xml:space="preserve">See notes on CFC11
</t>
        </r>
      </text>
    </comment>
    <comment ref="A228" authorId="0" shapeId="0" xr:uid="{7CADE25B-A9FD-4A57-A5E3-345DF042C302}">
      <text>
        <r>
          <rPr>
            <sz val="9"/>
            <color indexed="81"/>
            <rFont val="Tahoma"/>
            <family val="2"/>
          </rPr>
          <t xml:space="preserve">CH2FCHClCCl3,
1,1,1,2-Tetrachloro-3-fluoropropane
</t>
        </r>
      </text>
    </comment>
    <comment ref="C228" authorId="0" shapeId="0" xr:uid="{C3A06236-EB0C-48AC-A621-80CCD1CBF6F4}">
      <text>
        <r>
          <rPr>
            <sz val="9"/>
            <color indexed="81"/>
            <rFont val="Tahoma"/>
            <family val="2"/>
          </rPr>
          <t>https://csl.noaa.gov/groups/csl5/datasets/data/hcfcs/Summary%20HCFC-241.pdf</t>
        </r>
      </text>
    </comment>
    <comment ref="D228" authorId="0" shapeId="0" xr:uid="{1F3004E9-D761-4AA2-824C-D66011D4FE03}">
      <text>
        <r>
          <rPr>
            <sz val="9"/>
            <color indexed="81"/>
            <rFont val="Tahoma"/>
            <family val="2"/>
          </rPr>
          <t xml:space="preserve">Uncertainty estimated from difference between well-mixed (38) and lifetime adjusted (26) GWP </t>
        </r>
      </text>
    </comment>
    <comment ref="E228" authorId="0" shapeId="0" xr:uid="{628D8484-B40F-4DDD-8D22-75ADBB78678E}">
      <text>
        <r>
          <rPr>
            <sz val="9"/>
            <color indexed="81"/>
            <rFont val="Tahoma"/>
            <family val="2"/>
          </rPr>
          <t>https://csl.noaa.gov/groups/csl5/datasets/data/hcfcs/Summary%20HCFC-241.pdf</t>
        </r>
      </text>
    </comment>
    <comment ref="F228" authorId="0" shapeId="0" xr:uid="{D441F3AA-BEA7-4B65-869E-1650C0CB6BE4}">
      <text>
        <r>
          <rPr>
            <sz val="9"/>
            <color indexed="81"/>
            <rFont val="Tahoma"/>
            <family val="2"/>
          </rPr>
          <t>Assumed to be subject to the same kind of uncertainties as the GWP estimate</t>
        </r>
        <r>
          <rPr>
            <sz val="9"/>
            <color indexed="81"/>
            <rFont val="Tahoma"/>
            <family val="2"/>
          </rPr>
          <t xml:space="preserve">
</t>
        </r>
      </text>
    </comment>
    <comment ref="G228" authorId="0" shapeId="0" xr:uid="{A9AB47FF-1A71-4833-B162-54B5982C1C37}">
      <text>
        <r>
          <rPr>
            <sz val="9"/>
            <color indexed="81"/>
            <rFont val="Tahoma"/>
            <family val="2"/>
          </rPr>
          <t xml:space="preserve">See note on CFC-11
</t>
        </r>
      </text>
    </comment>
    <comment ref="I228" authorId="0" shapeId="0" xr:uid="{1D8082BA-4526-435C-B3A5-B6A24DC98BA0}">
      <text>
        <r>
          <rPr>
            <sz val="9"/>
            <color indexed="81"/>
            <rFont val="Tahoma"/>
            <family val="2"/>
          </rPr>
          <t xml:space="preserve">See note on CFC-11
</t>
        </r>
      </text>
    </comment>
    <comment ref="J228" authorId="0" shapeId="0" xr:uid="{395FF908-0A26-4F26-8A0E-C587859F9AFF}">
      <text>
        <r>
          <rPr>
            <sz val="9"/>
            <color indexed="81"/>
            <rFont val="Tahoma"/>
            <family val="2"/>
          </rPr>
          <t xml:space="preserve">See notes on CFC11
</t>
        </r>
      </text>
    </comment>
    <comment ref="A229" authorId="0" shapeId="0" xr:uid="{CB6D8CC8-B447-4694-AAAD-DBDDA7855D86}">
      <text>
        <r>
          <rPr>
            <sz val="9"/>
            <color indexed="81"/>
            <rFont val="Tahoma"/>
            <family val="2"/>
          </rPr>
          <t xml:space="preserve">CHCl2CHFCHCl2,
1,1,3,3-Tetrachloro-2-fluoropropane
</t>
        </r>
      </text>
    </comment>
    <comment ref="C229" authorId="0" shapeId="0" xr:uid="{F17864DC-357B-4CC0-874C-9900E6F055CB}">
      <text>
        <r>
          <rPr>
            <sz val="9"/>
            <color indexed="81"/>
            <rFont val="Tahoma"/>
            <family val="2"/>
          </rPr>
          <t>https://csl.noaa.gov/groups/csl5/datasets/data/hcfcs/Summary%20HCFC-241.pdf</t>
        </r>
      </text>
    </comment>
    <comment ref="D229" authorId="0" shapeId="0" xr:uid="{61BFBB89-9074-48B7-9E96-6926790D05E8}">
      <text>
        <r>
          <rPr>
            <sz val="9"/>
            <color indexed="81"/>
            <rFont val="Tahoma"/>
            <family val="2"/>
          </rPr>
          <t xml:space="preserve">Uncertainty estimated from difference between well-mixed (18) and lifetime adjusted (10) GWP </t>
        </r>
      </text>
    </comment>
    <comment ref="E229" authorId="0" shapeId="0" xr:uid="{1B5C2E66-A2DE-4BAE-937E-A31BE891EFDF}">
      <text>
        <r>
          <rPr>
            <sz val="9"/>
            <color indexed="81"/>
            <rFont val="Tahoma"/>
            <family val="2"/>
          </rPr>
          <t>https://csl.noaa.gov/groups/csl5/datasets/data/hcfcs/Summary%20HCFC-241.pdf</t>
        </r>
      </text>
    </comment>
    <comment ref="F229" authorId="0" shapeId="0" xr:uid="{6C221780-F690-47D9-A113-E095375E1AB5}">
      <text>
        <r>
          <rPr>
            <sz val="9"/>
            <color indexed="81"/>
            <rFont val="Tahoma"/>
            <family val="2"/>
          </rPr>
          <t>Assumed to be subject to the same kind of uncertainties as the GWP estimate</t>
        </r>
        <r>
          <rPr>
            <sz val="9"/>
            <color indexed="81"/>
            <rFont val="Tahoma"/>
            <family val="2"/>
          </rPr>
          <t xml:space="preserve">
</t>
        </r>
      </text>
    </comment>
    <comment ref="G229" authorId="0" shapeId="0" xr:uid="{491A0224-5417-45D9-B6FB-A8781FF8F61A}">
      <text>
        <r>
          <rPr>
            <sz val="9"/>
            <color indexed="81"/>
            <rFont val="Tahoma"/>
            <family val="2"/>
          </rPr>
          <t xml:space="preserve">See note on CFC-11
</t>
        </r>
      </text>
    </comment>
    <comment ref="I229" authorId="0" shapeId="0" xr:uid="{EF21DE92-AB8D-4FC6-ABD8-699A20ECA9E7}">
      <text>
        <r>
          <rPr>
            <sz val="9"/>
            <color indexed="81"/>
            <rFont val="Tahoma"/>
            <family val="2"/>
          </rPr>
          <t xml:space="preserve">See note on CFC-11
</t>
        </r>
      </text>
    </comment>
    <comment ref="J229" authorId="0" shapeId="0" xr:uid="{E76D231B-C32A-490A-8A71-7BBDA023548D}">
      <text>
        <r>
          <rPr>
            <sz val="9"/>
            <color indexed="81"/>
            <rFont val="Tahoma"/>
            <family val="2"/>
          </rPr>
          <t xml:space="preserve">See notes on CFC11
</t>
        </r>
      </text>
    </comment>
    <comment ref="A230" authorId="0" shapeId="0" xr:uid="{580CBB82-BD09-40CD-BA53-F67A1045EE2F}">
      <text>
        <r>
          <rPr>
            <sz val="9"/>
            <color indexed="81"/>
            <rFont val="Tahoma"/>
            <family val="2"/>
          </rPr>
          <t xml:space="preserve">CH2ClCHFCCl3,
1,1,1,3-Tetrachloro-2-fluoropropane
</t>
        </r>
      </text>
    </comment>
    <comment ref="C230" authorId="0" shapeId="0" xr:uid="{B54862C9-44A8-4EE2-B00C-A21EF0995B2D}">
      <text>
        <r>
          <rPr>
            <sz val="9"/>
            <color indexed="81"/>
            <rFont val="Tahoma"/>
            <family val="2"/>
          </rPr>
          <t>https://csl.noaa.gov/groups/csl5/datasets/data/hcfcs/Summary%20HCFC-241.pdf</t>
        </r>
      </text>
    </comment>
    <comment ref="D230" authorId="0" shapeId="0" xr:uid="{1332BC3A-1253-4B38-8519-48F18365D0F1}">
      <text>
        <r>
          <rPr>
            <sz val="9"/>
            <color indexed="81"/>
            <rFont val="Tahoma"/>
            <family val="2"/>
          </rPr>
          <t xml:space="preserve">Uncertainty estimated from difference between well-mixed (53) and lifetime adjusted (40) GWP </t>
        </r>
      </text>
    </comment>
    <comment ref="E230" authorId="0" shapeId="0" xr:uid="{03276413-63B9-4AF8-929A-32660B521B0D}">
      <text>
        <r>
          <rPr>
            <sz val="9"/>
            <color indexed="81"/>
            <rFont val="Tahoma"/>
            <family val="2"/>
          </rPr>
          <t>https://csl.noaa.gov/groups/csl5/datasets/data/hcfcs/Summary%20HCFC-241.pdf</t>
        </r>
      </text>
    </comment>
    <comment ref="F230" authorId="0" shapeId="0" xr:uid="{731E619F-9BC9-4766-A0F0-9231FB257060}">
      <text>
        <r>
          <rPr>
            <sz val="9"/>
            <color indexed="81"/>
            <rFont val="Tahoma"/>
            <family val="2"/>
          </rPr>
          <t>Assumed to be subject to the same kind of uncertainties as the GWP estimate</t>
        </r>
        <r>
          <rPr>
            <sz val="9"/>
            <color indexed="81"/>
            <rFont val="Tahoma"/>
            <family val="2"/>
          </rPr>
          <t xml:space="preserve">
</t>
        </r>
      </text>
    </comment>
    <comment ref="G230" authorId="0" shapeId="0" xr:uid="{46D8C832-3166-49D0-A129-D3ACE225B729}">
      <text>
        <r>
          <rPr>
            <sz val="9"/>
            <color indexed="81"/>
            <rFont val="Tahoma"/>
            <family val="2"/>
          </rPr>
          <t xml:space="preserve">See note on CFC-11
</t>
        </r>
      </text>
    </comment>
    <comment ref="I230" authorId="0" shapeId="0" xr:uid="{2AFCEC85-0BED-4D3E-A1B9-88A5F9C56FC1}">
      <text>
        <r>
          <rPr>
            <sz val="9"/>
            <color indexed="81"/>
            <rFont val="Tahoma"/>
            <family val="2"/>
          </rPr>
          <t xml:space="preserve">See note on CFC-11
</t>
        </r>
      </text>
    </comment>
    <comment ref="J230" authorId="0" shapeId="0" xr:uid="{A50CF627-A91D-4273-83BA-287DF188D2CE}">
      <text>
        <r>
          <rPr>
            <sz val="9"/>
            <color indexed="81"/>
            <rFont val="Tahoma"/>
            <family val="2"/>
          </rPr>
          <t xml:space="preserve">See notes on CFC11
</t>
        </r>
      </text>
    </comment>
    <comment ref="A231" authorId="0" shapeId="0" xr:uid="{9690E100-FB13-4F07-834C-87233BD161F6}">
      <text>
        <r>
          <rPr>
            <sz val="9"/>
            <color indexed="81"/>
            <rFont val="Tahoma"/>
            <family val="2"/>
          </rPr>
          <t xml:space="preserve">CHCl2CH2CCl2F,
1,1,3,3-Tetrachloro-1-fluoropropane
</t>
        </r>
      </text>
    </comment>
    <comment ref="C231" authorId="0" shapeId="0" xr:uid="{6F837374-D593-448B-AA0A-8A591D1759C6}">
      <text>
        <r>
          <rPr>
            <sz val="9"/>
            <color indexed="81"/>
            <rFont val="Tahoma"/>
            <family val="2"/>
          </rPr>
          <t>https://csl.noaa.gov/groups/csl5/datasets/data/hcfcs/Summary%20HCFC-241.pdf</t>
        </r>
      </text>
    </comment>
    <comment ref="D231" authorId="0" shapeId="0" xr:uid="{860F7B5C-2B82-46A3-B249-CEDDEA7FF06A}">
      <text>
        <r>
          <rPr>
            <sz val="9"/>
            <color indexed="81"/>
            <rFont val="Tahoma"/>
            <family val="2"/>
          </rPr>
          <t xml:space="preserve">Uncertainty estimated from difference between well-mixed (31) and lifetime adjusted (19) GWP </t>
        </r>
      </text>
    </comment>
    <comment ref="E231" authorId="0" shapeId="0" xr:uid="{259AA496-177A-4684-85A3-E77FD607262A}">
      <text>
        <r>
          <rPr>
            <sz val="9"/>
            <color indexed="81"/>
            <rFont val="Tahoma"/>
            <family val="2"/>
          </rPr>
          <t>https://csl.noaa.gov/groups/csl5/datasets/data/hcfcs/Summary%20HCFC-241.pdf</t>
        </r>
      </text>
    </comment>
    <comment ref="F231" authorId="0" shapeId="0" xr:uid="{39E38534-AE85-4E73-8F10-52FAE6617DA0}">
      <text>
        <r>
          <rPr>
            <sz val="9"/>
            <color indexed="81"/>
            <rFont val="Tahoma"/>
            <family val="2"/>
          </rPr>
          <t>Assumed to be subject to the same kind of uncertainties as the GWP estimate</t>
        </r>
        <r>
          <rPr>
            <sz val="9"/>
            <color indexed="81"/>
            <rFont val="Tahoma"/>
            <family val="2"/>
          </rPr>
          <t xml:space="preserve">
</t>
        </r>
      </text>
    </comment>
    <comment ref="G231" authorId="0" shapeId="0" xr:uid="{1923DBB9-73DA-4FBD-9A07-E9F3B0E8C0EA}">
      <text>
        <r>
          <rPr>
            <sz val="9"/>
            <color indexed="81"/>
            <rFont val="Tahoma"/>
            <family val="2"/>
          </rPr>
          <t xml:space="preserve">See note on CFC-11
</t>
        </r>
      </text>
    </comment>
    <comment ref="I231" authorId="0" shapeId="0" xr:uid="{12150735-C57C-4764-AA34-03EA754213E4}">
      <text>
        <r>
          <rPr>
            <sz val="9"/>
            <color indexed="81"/>
            <rFont val="Tahoma"/>
            <family val="2"/>
          </rPr>
          <t xml:space="preserve">See note on CFC-11
</t>
        </r>
      </text>
    </comment>
    <comment ref="J231" authorId="0" shapeId="0" xr:uid="{C54F4E54-4521-4031-860D-52FA91133AFE}">
      <text>
        <r>
          <rPr>
            <sz val="9"/>
            <color indexed="81"/>
            <rFont val="Tahoma"/>
            <family val="2"/>
          </rPr>
          <t xml:space="preserve">See notes on CFC11
</t>
        </r>
      </text>
    </comment>
    <comment ref="A232" authorId="0" shapeId="0" xr:uid="{55E51F9B-89E6-4BDE-B046-13426E42CE8D}">
      <text>
        <r>
          <rPr>
            <sz val="9"/>
            <color indexed="81"/>
            <rFont val="Tahoma"/>
            <family val="2"/>
          </rPr>
          <t xml:space="preserve">CHClFCH2CCl3,
1,1,1,3-Tetrachloro-3-fluoropropane
</t>
        </r>
      </text>
    </comment>
    <comment ref="C232" authorId="0" shapeId="0" xr:uid="{9DC3ACE5-50E0-4FA7-B3BB-007C929FC279}">
      <text>
        <r>
          <rPr>
            <sz val="9"/>
            <color indexed="81"/>
            <rFont val="Tahoma"/>
            <family val="2"/>
          </rPr>
          <t>https://csl.noaa.gov/groups/csl5/datasets/data/hcfcs/Summary%20HCFC-241.pdf</t>
        </r>
      </text>
    </comment>
    <comment ref="D232" authorId="0" shapeId="0" xr:uid="{DA27A1DB-24E5-4C65-85C3-18F60833BE4C}">
      <text>
        <r>
          <rPr>
            <sz val="9"/>
            <color indexed="81"/>
            <rFont val="Tahoma"/>
            <family val="2"/>
          </rPr>
          <t xml:space="preserve">Uncertainty estimated from difference between well-mixed (86) and lifetime adjusted (69) GWP </t>
        </r>
      </text>
    </comment>
    <comment ref="E232" authorId="0" shapeId="0" xr:uid="{74E68EBE-40BC-4FA1-8D69-E387F5C66DC3}">
      <text>
        <r>
          <rPr>
            <sz val="9"/>
            <color indexed="81"/>
            <rFont val="Tahoma"/>
            <family val="2"/>
          </rPr>
          <t>https://csl.noaa.gov/groups/csl5/datasets/data/hcfcs/Summary%20HCFC-241.pdf</t>
        </r>
      </text>
    </comment>
    <comment ref="F232" authorId="0" shapeId="0" xr:uid="{03C13E71-14DB-454F-A42B-D498CDCA6000}">
      <text>
        <r>
          <rPr>
            <sz val="9"/>
            <color indexed="81"/>
            <rFont val="Tahoma"/>
            <family val="2"/>
          </rPr>
          <t>Assumed to be subject to the same kind of uncertainties as the GWP estimate</t>
        </r>
        <r>
          <rPr>
            <sz val="9"/>
            <color indexed="81"/>
            <rFont val="Tahoma"/>
            <family val="2"/>
          </rPr>
          <t xml:space="preserve">
</t>
        </r>
      </text>
    </comment>
    <comment ref="G232" authorId="0" shapeId="0" xr:uid="{04490930-3099-40C4-BFD7-A483FAA62B71}">
      <text>
        <r>
          <rPr>
            <sz val="9"/>
            <color indexed="81"/>
            <rFont val="Tahoma"/>
            <family val="2"/>
          </rPr>
          <t xml:space="preserve">See note on CFC-11
</t>
        </r>
      </text>
    </comment>
    <comment ref="I232" authorId="0" shapeId="0" xr:uid="{AC3960C8-8CE0-46DA-A72B-7DE6D21766C2}">
      <text>
        <r>
          <rPr>
            <sz val="9"/>
            <color indexed="81"/>
            <rFont val="Tahoma"/>
            <family val="2"/>
          </rPr>
          <t xml:space="preserve">See note on CFC-11
</t>
        </r>
      </text>
    </comment>
    <comment ref="J232" authorId="0" shapeId="0" xr:uid="{C722E0AE-3CFE-41BF-822B-1AFFA51B6FA0}">
      <text>
        <r>
          <rPr>
            <sz val="9"/>
            <color indexed="81"/>
            <rFont val="Tahoma"/>
            <family val="2"/>
          </rPr>
          <t xml:space="preserve">See notes on CFC11
</t>
        </r>
      </text>
    </comment>
    <comment ref="A233" authorId="0" shapeId="0" xr:uid="{0AF6F416-8703-4402-9175-0B30BBA03B34}">
      <text>
        <r>
          <rPr>
            <sz val="9"/>
            <color indexed="81"/>
            <rFont val="Tahoma"/>
            <family val="2"/>
          </rPr>
          <t xml:space="preserve">CHF2CCl2CH2Cl,
1,2,2-Trichloro-3,3-difluoropropane
</t>
        </r>
      </text>
    </comment>
    <comment ref="C233" authorId="0" shapeId="0" xr:uid="{0CC6B338-BE1C-450C-8FBB-1C51B6CA90D7}">
      <text>
        <r>
          <rPr>
            <sz val="9"/>
            <color indexed="81"/>
            <rFont val="Tahoma"/>
            <family val="2"/>
          </rPr>
          <t>https://csl.noaa.gov/groups/csl5/datasets/data/hcfcs/Summary%20HCFC-242.pdf</t>
        </r>
      </text>
    </comment>
    <comment ref="D233" authorId="0" shapeId="0" xr:uid="{AA6A1783-3306-4827-A8D3-D3701248372B}">
      <text>
        <r>
          <rPr>
            <sz val="9"/>
            <color indexed="81"/>
            <rFont val="Tahoma"/>
            <family val="2"/>
          </rPr>
          <t xml:space="preserve">Uncertainty estimated from difference between well-mixed (109) and lifetime adjusted (92) GWP </t>
        </r>
      </text>
    </comment>
    <comment ref="E233" authorId="0" shapeId="0" xr:uid="{06FA36FB-E131-4DCF-8863-8D6EC3AF2351}">
      <text>
        <r>
          <rPr>
            <sz val="9"/>
            <color indexed="81"/>
            <rFont val="Tahoma"/>
            <family val="2"/>
          </rPr>
          <t>https://csl.noaa.gov/groups/csl5/datasets/data/hcfcs/Summary%20HCFC-242.pdf</t>
        </r>
      </text>
    </comment>
    <comment ref="F233" authorId="0" shapeId="0" xr:uid="{2B770E4B-021E-4D73-BB2E-4A3B43E39A66}">
      <text>
        <r>
          <rPr>
            <sz val="9"/>
            <color indexed="81"/>
            <rFont val="Tahoma"/>
            <family val="2"/>
          </rPr>
          <t>Assumed to be subject to the same kind of uncertainties as the GWP estimate</t>
        </r>
        <r>
          <rPr>
            <sz val="9"/>
            <color indexed="81"/>
            <rFont val="Tahoma"/>
            <family val="2"/>
          </rPr>
          <t xml:space="preserve">
</t>
        </r>
      </text>
    </comment>
    <comment ref="G233" authorId="0" shapeId="0" xr:uid="{B74CB8E8-6C14-453E-8DBB-F523889E845C}">
      <text>
        <r>
          <rPr>
            <sz val="9"/>
            <color indexed="81"/>
            <rFont val="Tahoma"/>
            <family val="2"/>
          </rPr>
          <t xml:space="preserve">See note on CFC-11
</t>
        </r>
      </text>
    </comment>
    <comment ref="I233" authorId="0" shapeId="0" xr:uid="{747F10EF-0AC5-42B3-9680-DE75081A0933}">
      <text>
        <r>
          <rPr>
            <sz val="9"/>
            <color indexed="81"/>
            <rFont val="Tahoma"/>
            <family val="2"/>
          </rPr>
          <t xml:space="preserve">See note on CFC-11
</t>
        </r>
      </text>
    </comment>
    <comment ref="J233" authorId="0" shapeId="0" xr:uid="{42D42430-1B2F-4377-9911-32CB25F0105D}">
      <text>
        <r>
          <rPr>
            <sz val="9"/>
            <color indexed="81"/>
            <rFont val="Tahoma"/>
            <family val="2"/>
          </rPr>
          <t xml:space="preserve">See notes on CFC11
</t>
        </r>
      </text>
    </comment>
    <comment ref="A234" authorId="0" shapeId="0" xr:uid="{6B695A19-9CF2-432D-9FFF-E73BE9338E01}">
      <text>
        <r>
          <rPr>
            <sz val="9"/>
            <color indexed="81"/>
            <rFont val="Tahoma"/>
            <family val="2"/>
          </rPr>
          <t xml:space="preserve">CH2FCCl2CHClF,
1,2,2-Trichloro-1,3-difluoropropane
</t>
        </r>
      </text>
    </comment>
    <comment ref="C234" authorId="0" shapeId="0" xr:uid="{AAE1FA32-2BD3-4E1B-9F14-F85C310D8CDD}">
      <text>
        <r>
          <rPr>
            <sz val="9"/>
            <color indexed="81"/>
            <rFont val="Tahoma"/>
            <family val="2"/>
          </rPr>
          <t>https://csl.noaa.gov/groups/csl5/datasets/data/hcfcs/Summary%20HCFC-242.pdf</t>
        </r>
      </text>
    </comment>
    <comment ref="D234" authorId="0" shapeId="0" xr:uid="{093B77D4-1361-43A8-8486-9857475B4667}">
      <text>
        <r>
          <rPr>
            <sz val="9"/>
            <color indexed="81"/>
            <rFont val="Tahoma"/>
            <family val="2"/>
          </rPr>
          <t xml:space="preserve">Uncertainty estimated from difference between well-mixed (94) and lifetime adjusted (78) GWP </t>
        </r>
      </text>
    </comment>
    <comment ref="E234" authorId="0" shapeId="0" xr:uid="{2DE5C6C5-5287-496C-8A93-416D43FD083B}">
      <text>
        <r>
          <rPr>
            <sz val="9"/>
            <color indexed="81"/>
            <rFont val="Tahoma"/>
            <family val="2"/>
          </rPr>
          <t>https://csl.noaa.gov/groups/csl5/datasets/data/hcfcs/Summary%20HCFC-242.pdf</t>
        </r>
      </text>
    </comment>
    <comment ref="F234" authorId="0" shapeId="0" xr:uid="{B7E1D242-7635-4A5B-A9FB-07BF454F5E6B}">
      <text>
        <r>
          <rPr>
            <sz val="9"/>
            <color indexed="81"/>
            <rFont val="Tahoma"/>
            <family val="2"/>
          </rPr>
          <t>Assumed to be subject to the same kind of uncertainties as the GWP estimate</t>
        </r>
        <r>
          <rPr>
            <sz val="9"/>
            <color indexed="81"/>
            <rFont val="Tahoma"/>
            <family val="2"/>
          </rPr>
          <t xml:space="preserve">
</t>
        </r>
      </text>
    </comment>
    <comment ref="G234" authorId="0" shapeId="0" xr:uid="{5828CE98-413F-47F4-9105-4C287C09B643}">
      <text>
        <r>
          <rPr>
            <sz val="9"/>
            <color indexed="81"/>
            <rFont val="Tahoma"/>
            <family val="2"/>
          </rPr>
          <t xml:space="preserve">See note on CFC-11
</t>
        </r>
      </text>
    </comment>
    <comment ref="I234" authorId="0" shapeId="0" xr:uid="{39D94A40-AC02-468B-93B1-334681853DC7}">
      <text>
        <r>
          <rPr>
            <sz val="9"/>
            <color indexed="81"/>
            <rFont val="Tahoma"/>
            <family val="2"/>
          </rPr>
          <t xml:space="preserve">See note on CFC-11
</t>
        </r>
      </text>
    </comment>
    <comment ref="J234" authorId="0" shapeId="0" xr:uid="{1C283538-7B89-41B4-843D-085860A339B3}">
      <text>
        <r>
          <rPr>
            <sz val="9"/>
            <color indexed="81"/>
            <rFont val="Tahoma"/>
            <family val="2"/>
          </rPr>
          <t xml:space="preserve">See notes on CFC11
</t>
        </r>
      </text>
    </comment>
    <comment ref="A235" authorId="0" shapeId="0" xr:uid="{B095DBC6-B418-4105-ACD4-472CE88EB0F7}">
      <text>
        <r>
          <rPr>
            <sz val="9"/>
            <color indexed="81"/>
            <rFont val="Tahoma"/>
            <family val="2"/>
          </rPr>
          <t xml:space="preserve">CH3CCl2CClF2,
1,2,2-Trichloro-1,1-difluoropropane
</t>
        </r>
      </text>
    </comment>
    <comment ref="C235" authorId="0" shapeId="0" xr:uid="{B51E9DF6-C9DB-4AEF-A41C-0F3910F1BD66}">
      <text>
        <r>
          <rPr>
            <sz val="9"/>
            <color indexed="81"/>
            <rFont val="Tahoma"/>
            <family val="2"/>
          </rPr>
          <t>https://csl.noaa.gov/groups/csl5/datasets/data/hcfcs/Summary%20HCFC-242.pdf</t>
        </r>
      </text>
    </comment>
    <comment ref="D235" authorId="0" shapeId="0" xr:uid="{B1EC544A-F357-49E9-9F90-3DED5DA8EBA5}">
      <text>
        <r>
          <rPr>
            <sz val="9"/>
            <color indexed="81"/>
            <rFont val="Tahoma"/>
            <family val="2"/>
          </rPr>
          <t xml:space="preserve">Uncertainty estimated from difference between well-mixed (644) and lifetime adjusted (610) GWP </t>
        </r>
      </text>
    </comment>
    <comment ref="E235" authorId="0" shapeId="0" xr:uid="{BB88867C-3D88-4119-B595-43E5D7BDE355}">
      <text>
        <r>
          <rPr>
            <sz val="9"/>
            <color indexed="81"/>
            <rFont val="Tahoma"/>
            <family val="2"/>
          </rPr>
          <t>https://csl.noaa.gov/groups/csl5/datasets/data/hcfcs/Summary%20HCFC-242.pdf</t>
        </r>
      </text>
    </comment>
    <comment ref="F235" authorId="0" shapeId="0" xr:uid="{418CF388-1C3B-4C53-9683-A2B6BBB6F5C2}">
      <text>
        <r>
          <rPr>
            <sz val="9"/>
            <color indexed="81"/>
            <rFont val="Tahoma"/>
            <family val="2"/>
          </rPr>
          <t>Assumed to be subject to the same kind of uncertainties as the GWP estimate</t>
        </r>
        <r>
          <rPr>
            <sz val="9"/>
            <color indexed="81"/>
            <rFont val="Tahoma"/>
            <family val="2"/>
          </rPr>
          <t xml:space="preserve">
</t>
        </r>
      </text>
    </comment>
    <comment ref="G235" authorId="0" shapeId="0" xr:uid="{59178005-B636-46F3-9C20-E2AB1E7B4498}">
      <text>
        <r>
          <rPr>
            <sz val="9"/>
            <color indexed="81"/>
            <rFont val="Tahoma"/>
            <family val="2"/>
          </rPr>
          <t xml:space="preserve">See note on CFC-11
</t>
        </r>
      </text>
    </comment>
    <comment ref="I235" authorId="0" shapeId="0" xr:uid="{A074C454-04C5-4095-8518-32D7D56476C8}">
      <text>
        <r>
          <rPr>
            <sz val="9"/>
            <color indexed="81"/>
            <rFont val="Tahoma"/>
            <family val="2"/>
          </rPr>
          <t xml:space="preserve">See note on CFC-11
</t>
        </r>
      </text>
    </comment>
    <comment ref="J235" authorId="0" shapeId="0" xr:uid="{651C165E-5019-4C63-8026-CCFEA79DBBD0}">
      <text>
        <r>
          <rPr>
            <sz val="9"/>
            <color indexed="81"/>
            <rFont val="Tahoma"/>
            <family val="2"/>
          </rPr>
          <t xml:space="preserve">See notes on CFC11
</t>
        </r>
      </text>
    </comment>
    <comment ref="A236" authorId="0" shapeId="0" xr:uid="{236CE33F-D249-40B8-9C5D-A50A174E67EA}">
      <text>
        <r>
          <rPr>
            <sz val="9"/>
            <color indexed="81"/>
            <rFont val="Tahoma"/>
            <family val="2"/>
          </rPr>
          <t xml:space="preserve">CHClFCClFCH2Cl,
1,2,3-Trichloro-1,2-difluoropropane
</t>
        </r>
      </text>
    </comment>
    <comment ref="C236" authorId="0" shapeId="0" xr:uid="{2105018C-F8E3-4447-94FF-4CF73C81022F}">
      <text>
        <r>
          <rPr>
            <sz val="9"/>
            <color indexed="81"/>
            <rFont val="Tahoma"/>
            <family val="2"/>
          </rPr>
          <t>https://csl.noaa.gov/groups/csl5/datasets/data/hcfcs/Summary%20HCFC-242.pdf</t>
        </r>
      </text>
    </comment>
    <comment ref="D236" authorId="0" shapeId="0" xr:uid="{6F9CF7FD-1D24-4002-9DB8-C71CB38EC080}">
      <text>
        <r>
          <rPr>
            <sz val="9"/>
            <color indexed="81"/>
            <rFont val="Tahoma"/>
            <family val="2"/>
          </rPr>
          <t xml:space="preserve">Uncertainty estimated from difference between well-mixed (119) and lifetime adjusted (100) GWP </t>
        </r>
      </text>
    </comment>
    <comment ref="E236" authorId="0" shapeId="0" xr:uid="{ADAB16DC-B156-46FF-A084-8BBABA589BE8}">
      <text>
        <r>
          <rPr>
            <sz val="9"/>
            <color indexed="81"/>
            <rFont val="Tahoma"/>
            <family val="2"/>
          </rPr>
          <t>https://csl.noaa.gov/groups/csl5/datasets/data/hcfcs/Summary%20HCFC-242.pdf</t>
        </r>
      </text>
    </comment>
    <comment ref="F236" authorId="0" shapeId="0" xr:uid="{F70DAEE8-3D40-40A6-9E31-EA19693FC6BE}">
      <text>
        <r>
          <rPr>
            <sz val="9"/>
            <color indexed="81"/>
            <rFont val="Tahoma"/>
            <family val="2"/>
          </rPr>
          <t>Assumed to be subject to the same kind of uncertainties as the GWP estimate</t>
        </r>
        <r>
          <rPr>
            <sz val="9"/>
            <color indexed="81"/>
            <rFont val="Tahoma"/>
            <family val="2"/>
          </rPr>
          <t xml:space="preserve">
</t>
        </r>
      </text>
    </comment>
    <comment ref="G236" authorId="0" shapeId="0" xr:uid="{4A94A54C-19E9-47EC-9473-D9D83D229218}">
      <text>
        <r>
          <rPr>
            <sz val="9"/>
            <color indexed="81"/>
            <rFont val="Tahoma"/>
            <family val="2"/>
          </rPr>
          <t xml:space="preserve">See note on CFC-11
</t>
        </r>
      </text>
    </comment>
    <comment ref="I236" authorId="0" shapeId="0" xr:uid="{58A0D32C-2D69-4DC3-B5FA-B292025562F8}">
      <text>
        <r>
          <rPr>
            <sz val="9"/>
            <color indexed="81"/>
            <rFont val="Tahoma"/>
            <family val="2"/>
          </rPr>
          <t xml:space="preserve">See note on CFC-11
</t>
        </r>
      </text>
    </comment>
    <comment ref="J236" authorId="0" shapeId="0" xr:uid="{437E26ED-A7CB-4611-88BC-D2A4256B7355}">
      <text>
        <r>
          <rPr>
            <sz val="9"/>
            <color indexed="81"/>
            <rFont val="Tahoma"/>
            <family val="2"/>
          </rPr>
          <t xml:space="preserve">See notes on CFC11
</t>
        </r>
      </text>
    </comment>
    <comment ref="A237" authorId="0" shapeId="0" xr:uid="{04BB144A-A213-466A-B1BB-D2EB69A3761F}">
      <text>
        <r>
          <rPr>
            <sz val="9"/>
            <color indexed="81"/>
            <rFont val="Tahoma"/>
            <family val="2"/>
          </rPr>
          <t xml:space="preserve">CHCl2CClFCH2F,
1,1,2-Trichloro-2,3-difluoropropane
</t>
        </r>
      </text>
    </comment>
    <comment ref="C237" authorId="0" shapeId="0" xr:uid="{5863FA79-5FC4-4119-BFDC-92B7F568C1B2}">
      <text>
        <r>
          <rPr>
            <sz val="9"/>
            <color indexed="81"/>
            <rFont val="Tahoma"/>
            <family val="2"/>
          </rPr>
          <t>https://csl.noaa.gov/groups/csl5/datasets/data/hcfcs/Summary%20HCFC-242.pdf</t>
        </r>
      </text>
    </comment>
    <comment ref="D237" authorId="0" shapeId="0" xr:uid="{1B47CCE9-2FBE-49BE-8B56-8124A2AE96EB}">
      <text>
        <r>
          <rPr>
            <sz val="9"/>
            <color indexed="81"/>
            <rFont val="Tahoma"/>
            <family val="2"/>
          </rPr>
          <t xml:space="preserve">Uncertainty estimated from difference between well-mixed (61) and lifetime adjusted (46) GWP </t>
        </r>
      </text>
    </comment>
    <comment ref="E237" authorId="0" shapeId="0" xr:uid="{02FA7313-092B-4A75-9990-1C658419CF60}">
      <text>
        <r>
          <rPr>
            <sz val="9"/>
            <color indexed="81"/>
            <rFont val="Tahoma"/>
            <family val="2"/>
          </rPr>
          <t>https://csl.noaa.gov/groups/csl5/datasets/data/hcfcs/Summary%20HCFC-242.pdf</t>
        </r>
      </text>
    </comment>
    <comment ref="F237" authorId="0" shapeId="0" xr:uid="{77960CAE-FD97-49BF-A749-E6276F87EF26}">
      <text>
        <r>
          <rPr>
            <sz val="9"/>
            <color indexed="81"/>
            <rFont val="Tahoma"/>
            <family val="2"/>
          </rPr>
          <t>Assumed to be subject to the same kind of uncertainties as the GWP estimate</t>
        </r>
        <r>
          <rPr>
            <sz val="9"/>
            <color indexed="81"/>
            <rFont val="Tahoma"/>
            <family val="2"/>
          </rPr>
          <t xml:space="preserve">
</t>
        </r>
      </text>
    </comment>
    <comment ref="G237" authorId="0" shapeId="0" xr:uid="{39E90FDC-A1BB-4910-ABF2-46C7E7900F05}">
      <text>
        <r>
          <rPr>
            <sz val="9"/>
            <color indexed="81"/>
            <rFont val="Tahoma"/>
            <family val="2"/>
          </rPr>
          <t xml:space="preserve">See note on CFC-11
</t>
        </r>
      </text>
    </comment>
    <comment ref="I237" authorId="0" shapeId="0" xr:uid="{4B5B0805-815F-4774-9035-34A04B2AB67C}">
      <text>
        <r>
          <rPr>
            <sz val="9"/>
            <color indexed="81"/>
            <rFont val="Tahoma"/>
            <family val="2"/>
          </rPr>
          <t xml:space="preserve">See note on CFC-11
</t>
        </r>
      </text>
    </comment>
    <comment ref="J237" authorId="0" shapeId="0" xr:uid="{46E99827-16EC-49DF-8C76-0D000A39405A}">
      <text>
        <r>
          <rPr>
            <sz val="9"/>
            <color indexed="81"/>
            <rFont val="Tahoma"/>
            <family val="2"/>
          </rPr>
          <t xml:space="preserve">See notes on CFC11
</t>
        </r>
      </text>
    </comment>
    <comment ref="A238" authorId="0" shapeId="0" xr:uid="{A3945129-3EE3-4839-90D0-911BF3463B04}">
      <text>
        <r>
          <rPr>
            <sz val="9"/>
            <color indexed="81"/>
            <rFont val="Tahoma"/>
            <family val="2"/>
          </rPr>
          <t xml:space="preserve">CH3CClFCCl2F,
1,1,2-Trichloro-1,2-difluoropropane
</t>
        </r>
      </text>
    </comment>
    <comment ref="C238" authorId="0" shapeId="0" xr:uid="{5B257BF2-2E30-4DDF-BC73-A2DC0FB1C0DD}">
      <text>
        <r>
          <rPr>
            <sz val="9"/>
            <color indexed="81"/>
            <rFont val="Tahoma"/>
            <family val="2"/>
          </rPr>
          <t>https://csl.noaa.gov/groups/csl5/datasets/data/hcfcs/Summary%20HCFC-242.pdf</t>
        </r>
      </text>
    </comment>
    <comment ref="D238" authorId="0" shapeId="0" xr:uid="{83129F9A-DBDF-45EA-9825-FF2890C8D062}">
      <text>
        <r>
          <rPr>
            <sz val="9"/>
            <color indexed="81"/>
            <rFont val="Tahoma"/>
            <family val="2"/>
          </rPr>
          <t xml:space="preserve">Uncertainty estimated from difference between well-mixed (694) and lifetime adjusted (657) GWP </t>
        </r>
      </text>
    </comment>
    <comment ref="E238" authorId="0" shapeId="0" xr:uid="{3E345C14-8AC5-42E5-AC15-9543ADB11DD1}">
      <text>
        <r>
          <rPr>
            <sz val="9"/>
            <color indexed="81"/>
            <rFont val="Tahoma"/>
            <family val="2"/>
          </rPr>
          <t>https://csl.noaa.gov/groups/csl5/datasets/data/hcfcs/Summary%20HCFC-242.pdf</t>
        </r>
      </text>
    </comment>
    <comment ref="F238" authorId="0" shapeId="0" xr:uid="{9AB0AB9C-68FE-48D9-9667-8B76442086E7}">
      <text>
        <r>
          <rPr>
            <sz val="9"/>
            <color indexed="81"/>
            <rFont val="Tahoma"/>
            <family val="2"/>
          </rPr>
          <t>Assumed to be subject to the same kind of uncertainties as the GWP estimate</t>
        </r>
        <r>
          <rPr>
            <sz val="9"/>
            <color indexed="81"/>
            <rFont val="Tahoma"/>
            <family val="2"/>
          </rPr>
          <t xml:space="preserve">
</t>
        </r>
      </text>
    </comment>
    <comment ref="G238" authorId="0" shapeId="0" xr:uid="{3912A141-D435-44F7-9098-D7E0CA7450FA}">
      <text>
        <r>
          <rPr>
            <sz val="9"/>
            <color indexed="81"/>
            <rFont val="Tahoma"/>
            <family val="2"/>
          </rPr>
          <t xml:space="preserve">See note on CFC-11
</t>
        </r>
      </text>
    </comment>
    <comment ref="I238" authorId="0" shapeId="0" xr:uid="{0A2020C1-22FD-4A59-89E0-BC4722FFC4C2}">
      <text>
        <r>
          <rPr>
            <sz val="9"/>
            <color indexed="81"/>
            <rFont val="Tahoma"/>
            <family val="2"/>
          </rPr>
          <t xml:space="preserve">See note on CFC-11
</t>
        </r>
      </text>
    </comment>
    <comment ref="J238" authorId="0" shapeId="0" xr:uid="{DA22FF0A-C2AE-4BEA-AC5F-6F348F055D70}">
      <text>
        <r>
          <rPr>
            <sz val="9"/>
            <color indexed="81"/>
            <rFont val="Tahoma"/>
            <family val="2"/>
          </rPr>
          <t xml:space="preserve">See notes on CFC11
</t>
        </r>
      </text>
    </comment>
    <comment ref="A239" authorId="0" shapeId="0" xr:uid="{BBC2E689-A3BF-4FC4-AEF5-A4B097EF91C0}">
      <text>
        <r>
          <rPr>
            <sz val="9"/>
            <color indexed="81"/>
            <rFont val="Tahoma"/>
            <family val="2"/>
          </rPr>
          <t>CHCl2CF2CH2Cl,
1,1,3-Trichloro-2,2-difluoropropane</t>
        </r>
      </text>
    </comment>
    <comment ref="C239" authorId="0" shapeId="0" xr:uid="{9343D7D8-6497-453F-8FDD-2358046625FD}">
      <text>
        <r>
          <rPr>
            <sz val="9"/>
            <color indexed="81"/>
            <rFont val="Tahoma"/>
            <family val="2"/>
          </rPr>
          <t>https://csl.noaa.gov/groups/csl5/datasets/data/hcfcs/Summary%20HCFC-242.pdf</t>
        </r>
      </text>
    </comment>
    <comment ref="D239" authorId="0" shapeId="0" xr:uid="{548B45AF-B343-41B8-888F-71FF92BDBB2F}">
      <text>
        <r>
          <rPr>
            <sz val="9"/>
            <color indexed="81"/>
            <rFont val="Tahoma"/>
            <family val="2"/>
          </rPr>
          <t xml:space="preserve">Uncertainty estimated from difference between well-mixed (69) and lifetime adjusted (52) GWP </t>
        </r>
      </text>
    </comment>
    <comment ref="E239" authorId="0" shapeId="0" xr:uid="{C2BB6114-1972-4AC5-BA42-086AE01E28BA}">
      <text>
        <r>
          <rPr>
            <sz val="9"/>
            <color indexed="81"/>
            <rFont val="Tahoma"/>
            <family val="2"/>
          </rPr>
          <t>https://csl.noaa.gov/groups/csl5/datasets/data/hcfcs/Summary%20HCFC-242.pdf</t>
        </r>
      </text>
    </comment>
    <comment ref="F239" authorId="0" shapeId="0" xr:uid="{51E79B5E-6214-4E41-AEDB-F96543349CDB}">
      <text>
        <r>
          <rPr>
            <sz val="9"/>
            <color indexed="81"/>
            <rFont val="Tahoma"/>
            <family val="2"/>
          </rPr>
          <t>Assumed to be subject to the same kind of uncertainties as the GWP estimate</t>
        </r>
        <r>
          <rPr>
            <sz val="9"/>
            <color indexed="81"/>
            <rFont val="Tahoma"/>
            <family val="2"/>
          </rPr>
          <t xml:space="preserve">
</t>
        </r>
      </text>
    </comment>
    <comment ref="G239" authorId="0" shapeId="0" xr:uid="{83E347CB-9C92-4FD1-A738-4228A17698F5}">
      <text>
        <r>
          <rPr>
            <sz val="9"/>
            <color indexed="81"/>
            <rFont val="Tahoma"/>
            <family val="2"/>
          </rPr>
          <t xml:space="preserve">See note on CFC-11
</t>
        </r>
      </text>
    </comment>
    <comment ref="I239" authorId="0" shapeId="0" xr:uid="{341228B9-3484-40BF-9EDD-ADE265CD69DA}">
      <text>
        <r>
          <rPr>
            <sz val="9"/>
            <color indexed="81"/>
            <rFont val="Tahoma"/>
            <family val="2"/>
          </rPr>
          <t xml:space="preserve">See note on CFC-11
</t>
        </r>
      </text>
    </comment>
    <comment ref="J239" authorId="0" shapeId="0" xr:uid="{7785EB2D-AC63-43D7-AFAE-0FE2CE6102EA}">
      <text>
        <r>
          <rPr>
            <sz val="9"/>
            <color indexed="81"/>
            <rFont val="Tahoma"/>
            <family val="2"/>
          </rPr>
          <t xml:space="preserve">See notes on CFC11
</t>
        </r>
      </text>
    </comment>
    <comment ref="A240" authorId="0" shapeId="0" xr:uid="{D8A1C362-9F55-45C6-9545-B791338D7FDD}">
      <text>
        <r>
          <rPr>
            <sz val="9"/>
            <color indexed="81"/>
            <rFont val="Tahoma"/>
            <family val="2"/>
          </rPr>
          <t xml:space="preserve">CH3CF2CCl3,
1,1,1-Trichloro-2,2-difluoropropane
</t>
        </r>
      </text>
    </comment>
    <comment ref="C240" authorId="0" shapeId="0" xr:uid="{40499B9F-8DC0-4846-BAFA-AA46B89F7572}">
      <text>
        <r>
          <rPr>
            <sz val="9"/>
            <color indexed="81"/>
            <rFont val="Tahoma"/>
            <family val="2"/>
          </rPr>
          <t>https://csl.noaa.gov/groups/csl5/datasets/data/hcfcs/Summary%20HCFC-242.pdf</t>
        </r>
      </text>
    </comment>
    <comment ref="D240" authorId="0" shapeId="0" xr:uid="{84DEF2CA-DEBB-4D70-9858-FC52AA85F2BA}">
      <text>
        <r>
          <rPr>
            <sz val="9"/>
            <color indexed="81"/>
            <rFont val="Tahoma"/>
            <family val="2"/>
          </rPr>
          <t xml:space="preserve">Uncertainty estimated from difference between well-mixed (1069) and lifetime adjusted (1027) GWP </t>
        </r>
      </text>
    </comment>
    <comment ref="E240" authorId="0" shapeId="0" xr:uid="{934EC2B1-1816-46D7-9880-1FDDED8E656B}">
      <text>
        <r>
          <rPr>
            <sz val="9"/>
            <color indexed="81"/>
            <rFont val="Tahoma"/>
            <family val="2"/>
          </rPr>
          <t>https://csl.noaa.gov/groups/csl5/datasets/data/hcfcs/Summary%20HCFC-242.pdf</t>
        </r>
      </text>
    </comment>
    <comment ref="F240" authorId="0" shapeId="0" xr:uid="{BB0A2571-A414-4182-A0BD-01813D1376FE}">
      <text>
        <r>
          <rPr>
            <sz val="9"/>
            <color indexed="81"/>
            <rFont val="Tahoma"/>
            <family val="2"/>
          </rPr>
          <t>Assumed to be subject to the same kind of uncertainties as the GWP estimate</t>
        </r>
        <r>
          <rPr>
            <sz val="9"/>
            <color indexed="81"/>
            <rFont val="Tahoma"/>
            <family val="2"/>
          </rPr>
          <t xml:space="preserve">
</t>
        </r>
      </text>
    </comment>
    <comment ref="G240" authorId="0" shapeId="0" xr:uid="{C387F3D6-F4DA-407A-928F-88ABB7A709C9}">
      <text>
        <r>
          <rPr>
            <sz val="9"/>
            <color indexed="81"/>
            <rFont val="Tahoma"/>
            <family val="2"/>
          </rPr>
          <t xml:space="preserve">See note on CFC-11
</t>
        </r>
      </text>
    </comment>
    <comment ref="I240" authorId="0" shapeId="0" xr:uid="{98F15B84-3281-4BA3-8DC9-5F69F6C6574A}">
      <text>
        <r>
          <rPr>
            <sz val="9"/>
            <color indexed="81"/>
            <rFont val="Tahoma"/>
            <family val="2"/>
          </rPr>
          <t xml:space="preserve">See note on CFC-11
</t>
        </r>
      </text>
    </comment>
    <comment ref="J240" authorId="0" shapeId="0" xr:uid="{98A6B685-5D92-42F6-B69D-5F6F5215DEE2}">
      <text>
        <r>
          <rPr>
            <sz val="9"/>
            <color indexed="81"/>
            <rFont val="Tahoma"/>
            <family val="2"/>
          </rPr>
          <t xml:space="preserve">See notes on CFC11
</t>
        </r>
      </text>
    </comment>
    <comment ref="A241" authorId="0" shapeId="0" xr:uid="{4E689713-9245-4879-9485-F6B23395CDF4}">
      <text>
        <r>
          <rPr>
            <sz val="9"/>
            <color indexed="81"/>
            <rFont val="Tahoma"/>
            <family val="2"/>
          </rPr>
          <t xml:space="preserve">CHClFCHClCHClF,
1,2,3-Trichloro-1,3-difluoropropane
</t>
        </r>
      </text>
    </comment>
    <comment ref="C241" authorId="0" shapeId="0" xr:uid="{C8EFB2F1-6563-46D9-BB1B-1480F178A0A0}">
      <text>
        <r>
          <rPr>
            <sz val="9"/>
            <color indexed="81"/>
            <rFont val="Tahoma"/>
            <family val="2"/>
          </rPr>
          <t>https://csl.noaa.gov/groups/csl5/datasets/data/hcfcs/Summary%20HCFC-242.pdf</t>
        </r>
      </text>
    </comment>
    <comment ref="D241" authorId="0" shapeId="0" xr:uid="{C9A9A1E4-0A50-4EC9-84F6-44EAD8F5F22D}">
      <text>
        <r>
          <rPr>
            <sz val="9"/>
            <color indexed="81"/>
            <rFont val="Tahoma"/>
            <family val="2"/>
          </rPr>
          <t xml:space="preserve">Uncertainty estimated from difference between well-mixed (82) and lifetime adjusted (64) GWP </t>
        </r>
      </text>
    </comment>
    <comment ref="E241" authorId="0" shapeId="0" xr:uid="{52ACC80C-B786-4C07-9BC7-71103F94AA51}">
      <text>
        <r>
          <rPr>
            <sz val="9"/>
            <color indexed="81"/>
            <rFont val="Tahoma"/>
            <family val="2"/>
          </rPr>
          <t>https://csl.noaa.gov/groups/csl5/datasets/data/hcfcs/Summary%20HCFC-242.pdf</t>
        </r>
      </text>
    </comment>
    <comment ref="F241" authorId="0" shapeId="0" xr:uid="{2E452546-76E5-4817-A67F-BD8218826377}">
      <text>
        <r>
          <rPr>
            <sz val="9"/>
            <color indexed="81"/>
            <rFont val="Tahoma"/>
            <family val="2"/>
          </rPr>
          <t>Assumed to be subject to the same kind of uncertainties as the GWP estimate</t>
        </r>
        <r>
          <rPr>
            <sz val="9"/>
            <color indexed="81"/>
            <rFont val="Tahoma"/>
            <family val="2"/>
          </rPr>
          <t xml:space="preserve">
</t>
        </r>
      </text>
    </comment>
    <comment ref="G241" authorId="0" shapeId="0" xr:uid="{B1E266EC-1F09-40B7-92D8-7ECAFDDDE8AB}">
      <text>
        <r>
          <rPr>
            <sz val="9"/>
            <color indexed="81"/>
            <rFont val="Tahoma"/>
            <family val="2"/>
          </rPr>
          <t xml:space="preserve">See note on CFC-11
</t>
        </r>
      </text>
    </comment>
    <comment ref="I241" authorId="0" shapeId="0" xr:uid="{B181179C-67BC-49C6-A00C-EA3913756577}">
      <text>
        <r>
          <rPr>
            <sz val="9"/>
            <color indexed="81"/>
            <rFont val="Tahoma"/>
            <family val="2"/>
          </rPr>
          <t xml:space="preserve">See note on CFC-11
</t>
        </r>
      </text>
    </comment>
    <comment ref="J241" authorId="0" shapeId="0" xr:uid="{8078FE8C-066D-4C4B-8E6B-FE91D9350683}">
      <text>
        <r>
          <rPr>
            <sz val="9"/>
            <color indexed="81"/>
            <rFont val="Tahoma"/>
            <family val="2"/>
          </rPr>
          <t xml:space="preserve">See notes on CFC11
</t>
        </r>
      </text>
    </comment>
    <comment ref="A242" authorId="0" shapeId="0" xr:uid="{678D7C8C-FBD4-4D30-A405-559FE96D6131}">
      <text>
        <r>
          <rPr>
            <sz val="9"/>
            <color indexed="81"/>
            <rFont val="Tahoma"/>
            <family val="2"/>
          </rPr>
          <t xml:space="preserve">CHCl2CHClCHF2,
1,1,2-Trichloro-3,3-difluoropropane
</t>
        </r>
      </text>
    </comment>
    <comment ref="C242" authorId="0" shapeId="0" xr:uid="{57585683-239B-4AE7-A856-5628C29C7010}">
      <text>
        <r>
          <rPr>
            <sz val="9"/>
            <color indexed="81"/>
            <rFont val="Tahoma"/>
            <family val="2"/>
          </rPr>
          <t>https://csl.noaa.gov/groups/csl5/datasets/data/hcfcs/Summary%20HCFC-242.pdf</t>
        </r>
      </text>
    </comment>
    <comment ref="D242" authorId="0" shapeId="0" xr:uid="{AC80163C-AD24-4D24-ACB3-E5BCF760056E}">
      <text>
        <r>
          <rPr>
            <sz val="9"/>
            <color indexed="81"/>
            <rFont val="Tahoma"/>
            <family val="2"/>
          </rPr>
          <t xml:space="preserve">Uncertainty estimated from difference between well-mixed (42) and lifetime adjusted (29) GWP </t>
        </r>
      </text>
    </comment>
    <comment ref="E242" authorId="0" shapeId="0" xr:uid="{33F01E08-CDF4-4F11-935B-BF40C6C42933}">
      <text>
        <r>
          <rPr>
            <sz val="9"/>
            <color indexed="81"/>
            <rFont val="Tahoma"/>
            <family val="2"/>
          </rPr>
          <t>https://csl.noaa.gov/groups/csl5/datasets/data/hcfcs/Summary%20HCFC-242.pdf</t>
        </r>
      </text>
    </comment>
    <comment ref="F242" authorId="0" shapeId="0" xr:uid="{6DC2D0C5-3286-41F5-835E-13DA896B9851}">
      <text>
        <r>
          <rPr>
            <sz val="9"/>
            <color indexed="81"/>
            <rFont val="Tahoma"/>
            <family val="2"/>
          </rPr>
          <t>Assumed to be subject to the same kind of uncertainties as the GWP estimate</t>
        </r>
        <r>
          <rPr>
            <sz val="9"/>
            <color indexed="81"/>
            <rFont val="Tahoma"/>
            <family val="2"/>
          </rPr>
          <t xml:space="preserve">
</t>
        </r>
      </text>
    </comment>
    <comment ref="G242" authorId="0" shapeId="0" xr:uid="{8B4E2173-C63E-4DF9-B25D-3872C99A3C9A}">
      <text>
        <r>
          <rPr>
            <sz val="9"/>
            <color indexed="81"/>
            <rFont val="Tahoma"/>
            <family val="2"/>
          </rPr>
          <t xml:space="preserve">See note on CFC-11
</t>
        </r>
      </text>
    </comment>
    <comment ref="I242" authorId="0" shapeId="0" xr:uid="{FA5CBFD0-C2C7-4814-8221-FA5A16BCFD53}">
      <text>
        <r>
          <rPr>
            <sz val="9"/>
            <color indexed="81"/>
            <rFont val="Tahoma"/>
            <family val="2"/>
          </rPr>
          <t xml:space="preserve">See note on CFC-11
</t>
        </r>
      </text>
    </comment>
    <comment ref="J242" authorId="0" shapeId="0" xr:uid="{F4ACCEF9-E4FC-42EF-8D33-D693350167E1}">
      <text>
        <r>
          <rPr>
            <sz val="9"/>
            <color indexed="81"/>
            <rFont val="Tahoma"/>
            <family val="2"/>
          </rPr>
          <t xml:space="preserve">See notes on CFC11
</t>
        </r>
      </text>
    </comment>
    <comment ref="A243" authorId="0" shapeId="0" xr:uid="{1237EE70-746F-43E4-BA95-1CAB7CBFC707}">
      <text>
        <r>
          <rPr>
            <sz val="9"/>
            <color indexed="81"/>
            <rFont val="Tahoma"/>
            <family val="2"/>
          </rPr>
          <t xml:space="preserve">CH2ClCHClCClF2,
1,2,3-Trichloro-1,1-difluoropropane
</t>
        </r>
      </text>
    </comment>
    <comment ref="C243" authorId="0" shapeId="0" xr:uid="{48CFF102-62E7-4DFB-B4A0-5214F0EC0482}">
      <text>
        <r>
          <rPr>
            <sz val="9"/>
            <color indexed="81"/>
            <rFont val="Tahoma"/>
            <family val="2"/>
          </rPr>
          <t>https://csl.noaa.gov/groups/csl5/datasets/data/hcfcs/Summary%20HCFC-242.pdf</t>
        </r>
      </text>
    </comment>
    <comment ref="D243" authorId="0" shapeId="0" xr:uid="{227CA900-07CA-4CB2-B92B-705A3D805FC6}">
      <text>
        <r>
          <rPr>
            <sz val="9"/>
            <color indexed="81"/>
            <rFont val="Tahoma"/>
            <family val="2"/>
          </rPr>
          <t xml:space="preserve">Uncertainty estimated from difference between well-mixed (88) and lifetime adjusted (68) GWP </t>
        </r>
      </text>
    </comment>
    <comment ref="E243" authorId="0" shapeId="0" xr:uid="{04FD2764-1565-4CE0-9B07-763069195CEF}">
      <text>
        <r>
          <rPr>
            <sz val="9"/>
            <color indexed="81"/>
            <rFont val="Tahoma"/>
            <family val="2"/>
          </rPr>
          <t>https://csl.noaa.gov/groups/csl5/datasets/data/hcfcs/Summary%20HCFC-242.pdf</t>
        </r>
      </text>
    </comment>
    <comment ref="F243" authorId="0" shapeId="0" xr:uid="{CAA4A4AB-E1CF-4A28-96A3-276E31E9E2D6}">
      <text>
        <r>
          <rPr>
            <sz val="9"/>
            <color indexed="81"/>
            <rFont val="Tahoma"/>
            <family val="2"/>
          </rPr>
          <t>Assumed to be subject to the same kind of uncertainties as the GWP estimate</t>
        </r>
        <r>
          <rPr>
            <sz val="9"/>
            <color indexed="81"/>
            <rFont val="Tahoma"/>
            <family val="2"/>
          </rPr>
          <t xml:space="preserve">
</t>
        </r>
      </text>
    </comment>
    <comment ref="G243" authorId="0" shapeId="0" xr:uid="{FEAEDAA5-0BE2-4CE0-ABDB-763342508A96}">
      <text>
        <r>
          <rPr>
            <sz val="9"/>
            <color indexed="81"/>
            <rFont val="Tahoma"/>
            <family val="2"/>
          </rPr>
          <t xml:space="preserve">See note on CFC-11
</t>
        </r>
      </text>
    </comment>
    <comment ref="I243" authorId="0" shapeId="0" xr:uid="{4062010C-4B93-4FB4-809D-CEB15F344D9D}">
      <text>
        <r>
          <rPr>
            <sz val="9"/>
            <color indexed="81"/>
            <rFont val="Tahoma"/>
            <family val="2"/>
          </rPr>
          <t xml:space="preserve">See note on CFC-11
</t>
        </r>
      </text>
    </comment>
    <comment ref="J243" authorId="0" shapeId="0" xr:uid="{C33AC4FC-D131-44B3-B24E-5648F21CC249}">
      <text>
        <r>
          <rPr>
            <sz val="9"/>
            <color indexed="81"/>
            <rFont val="Tahoma"/>
            <family val="2"/>
          </rPr>
          <t xml:space="preserve">See notes on CFC11
</t>
        </r>
      </text>
    </comment>
    <comment ref="A244" authorId="0" shapeId="0" xr:uid="{C2C4BD56-08B9-492E-963C-60684F0B7B60}">
      <text>
        <r>
          <rPr>
            <sz val="9"/>
            <color indexed="81"/>
            <rFont val="Tahoma"/>
            <family val="2"/>
          </rPr>
          <t>CH2FCHClCCl2F,
1,1,2-Trichloro-1,3-difluoropropane</t>
        </r>
      </text>
    </comment>
    <comment ref="C244" authorId="0" shapeId="0" xr:uid="{10BBEF87-8C06-44B3-AA51-D98517BF8B1C}">
      <text>
        <r>
          <rPr>
            <sz val="9"/>
            <color indexed="81"/>
            <rFont val="Tahoma"/>
            <family val="2"/>
          </rPr>
          <t>https://csl.noaa.gov/groups/csl5/datasets/data/hcfcs/Summary%20HCFC-242.pdf</t>
        </r>
      </text>
    </comment>
    <comment ref="D244" authorId="0" shapeId="0" xr:uid="{7F8F77A5-3281-41E8-8621-D567DF7BDDC6}">
      <text>
        <r>
          <rPr>
            <sz val="9"/>
            <color indexed="81"/>
            <rFont val="Tahoma"/>
            <family val="2"/>
          </rPr>
          <t xml:space="preserve">Uncertainty estimated from difference between well-mixed (62) and lifetime adjusted (44) GWP </t>
        </r>
      </text>
    </comment>
    <comment ref="E244" authorId="0" shapeId="0" xr:uid="{FBA4B928-380B-44B7-8C2C-D883BCFFBB73}">
      <text>
        <r>
          <rPr>
            <sz val="9"/>
            <color indexed="81"/>
            <rFont val="Tahoma"/>
            <family val="2"/>
          </rPr>
          <t>https://csl.noaa.gov/groups/csl5/datasets/data/hcfcs/Summary%20HCFC-242.pdf</t>
        </r>
      </text>
    </comment>
    <comment ref="F244" authorId="0" shapeId="0" xr:uid="{F1FEE382-7268-438C-A98C-293FA4C25A89}">
      <text>
        <r>
          <rPr>
            <sz val="9"/>
            <color indexed="81"/>
            <rFont val="Tahoma"/>
            <family val="2"/>
          </rPr>
          <t>Assumed to be subject to the same kind of uncertainties as the GWP estimate</t>
        </r>
        <r>
          <rPr>
            <sz val="9"/>
            <color indexed="81"/>
            <rFont val="Tahoma"/>
            <family val="2"/>
          </rPr>
          <t xml:space="preserve">
</t>
        </r>
      </text>
    </comment>
    <comment ref="G244" authorId="0" shapeId="0" xr:uid="{787DCE1B-6256-4661-803C-3C67A333924B}">
      <text>
        <r>
          <rPr>
            <sz val="9"/>
            <color indexed="81"/>
            <rFont val="Tahoma"/>
            <family val="2"/>
          </rPr>
          <t xml:space="preserve">See note on CFC-11
</t>
        </r>
      </text>
    </comment>
    <comment ref="I244" authorId="0" shapeId="0" xr:uid="{CB3DD640-E1A1-4BA2-9C0C-E58D7CABBD65}">
      <text>
        <r>
          <rPr>
            <sz val="9"/>
            <color indexed="81"/>
            <rFont val="Tahoma"/>
            <family val="2"/>
          </rPr>
          <t xml:space="preserve">See note on CFC-11
</t>
        </r>
      </text>
    </comment>
    <comment ref="J244" authorId="0" shapeId="0" xr:uid="{672CCEBA-A96E-4915-9059-300CF1BB7922}">
      <text>
        <r>
          <rPr>
            <sz val="9"/>
            <color indexed="81"/>
            <rFont val="Tahoma"/>
            <family val="2"/>
          </rPr>
          <t xml:space="preserve">See notes on CFC11
</t>
        </r>
      </text>
    </comment>
    <comment ref="A245" authorId="0" shapeId="0" xr:uid="{52EAF586-8D51-41BA-94C2-D450451F5A55}">
      <text>
        <r>
          <rPr>
            <sz val="9"/>
            <color indexed="81"/>
            <rFont val="Tahoma"/>
            <family val="2"/>
          </rPr>
          <t xml:space="preserve">CHCl2CHFCHClF,
1,1,3-Trichloro-2,3-difluoropropane
</t>
        </r>
      </text>
    </comment>
    <comment ref="C245" authorId="0" shapeId="0" xr:uid="{ACA8AAC2-1901-405D-962B-AA3A41EBEFC0}">
      <text>
        <r>
          <rPr>
            <sz val="9"/>
            <color indexed="81"/>
            <rFont val="Tahoma"/>
            <family val="2"/>
          </rPr>
          <t>https://csl.noaa.gov/groups/csl5/datasets/data/hcfcs/Summary%20HCFC-242.pdf</t>
        </r>
      </text>
    </comment>
    <comment ref="D245" authorId="0" shapeId="0" xr:uid="{9A1259FA-87A9-412B-8F6B-39F20A50364F}">
      <text>
        <r>
          <rPr>
            <sz val="9"/>
            <color indexed="81"/>
            <rFont val="Tahoma"/>
            <family val="2"/>
          </rPr>
          <t xml:space="preserve">Uncertainty estimated from difference between well-mixed (42) and lifetime adjusted (29) GWP </t>
        </r>
      </text>
    </comment>
    <comment ref="E245" authorId="0" shapeId="0" xr:uid="{FFCC2EAB-D29D-4A59-BF58-10836ECD0ED9}">
      <text>
        <r>
          <rPr>
            <sz val="9"/>
            <color indexed="81"/>
            <rFont val="Tahoma"/>
            <family val="2"/>
          </rPr>
          <t>https://csl.noaa.gov/groups/csl5/datasets/data/hcfcs/Summary%20HCFC-242.pdf</t>
        </r>
      </text>
    </comment>
    <comment ref="F245" authorId="0" shapeId="0" xr:uid="{A255E3C2-9BE1-4566-A926-0FF4452FD5BF}">
      <text>
        <r>
          <rPr>
            <sz val="9"/>
            <color indexed="81"/>
            <rFont val="Tahoma"/>
            <family val="2"/>
          </rPr>
          <t>Assumed to be subject to the same kind of uncertainties as the GWP estimate</t>
        </r>
        <r>
          <rPr>
            <sz val="9"/>
            <color indexed="81"/>
            <rFont val="Tahoma"/>
            <family val="2"/>
          </rPr>
          <t xml:space="preserve">
</t>
        </r>
      </text>
    </comment>
    <comment ref="G245" authorId="0" shapeId="0" xr:uid="{19A2F0CE-AF26-4818-9980-8EDB11C43DF8}">
      <text>
        <r>
          <rPr>
            <sz val="9"/>
            <color indexed="81"/>
            <rFont val="Tahoma"/>
            <family val="2"/>
          </rPr>
          <t xml:space="preserve">See note on CFC-11
</t>
        </r>
      </text>
    </comment>
    <comment ref="I245" authorId="0" shapeId="0" xr:uid="{B00EE4EF-D617-4DCF-B4DD-3B302CD7B852}">
      <text>
        <r>
          <rPr>
            <sz val="9"/>
            <color indexed="81"/>
            <rFont val="Tahoma"/>
            <family val="2"/>
          </rPr>
          <t xml:space="preserve">See note on CFC-11
</t>
        </r>
      </text>
    </comment>
    <comment ref="J245" authorId="0" shapeId="0" xr:uid="{8CB09970-0959-4BF2-A777-6D1BBE07C658}">
      <text>
        <r>
          <rPr>
            <sz val="9"/>
            <color indexed="81"/>
            <rFont val="Tahoma"/>
            <family val="2"/>
          </rPr>
          <t xml:space="preserve">See notes on CFC11
</t>
        </r>
      </text>
    </comment>
    <comment ref="A246" authorId="0" shapeId="0" xr:uid="{9DC382E8-94D2-4E08-BFB3-050506CA8D17}">
      <text>
        <r>
          <rPr>
            <sz val="9"/>
            <color indexed="81"/>
            <rFont val="Tahoma"/>
            <family val="2"/>
          </rPr>
          <t xml:space="preserve">CH2ClCHFCCl2F,
1,1,3-Trichloro-1,2-difluoropropane
</t>
        </r>
      </text>
    </comment>
    <comment ref="C246" authorId="0" shapeId="0" xr:uid="{619DCCA7-312A-4F0E-97FB-70580AD89C8E}">
      <text>
        <r>
          <rPr>
            <sz val="9"/>
            <color indexed="81"/>
            <rFont val="Tahoma"/>
            <family val="2"/>
          </rPr>
          <t>https://csl.noaa.gov/groups/csl5/datasets/data/hcfcs/Summary%20HCFC-242.pdf</t>
        </r>
      </text>
    </comment>
    <comment ref="D246" authorId="0" shapeId="0" xr:uid="{D283E692-9EEC-4DC7-9012-39AD7F1713C9}">
      <text>
        <r>
          <rPr>
            <sz val="9"/>
            <color indexed="81"/>
            <rFont val="Tahoma"/>
            <family val="2"/>
          </rPr>
          <t xml:space="preserve">Uncertainty estimated from difference between well-mixed (88) and lifetime adjusted (68) GWP </t>
        </r>
      </text>
    </comment>
    <comment ref="E246" authorId="0" shapeId="0" xr:uid="{6FDC2EC5-2628-4C85-A886-11CDAEA3A1AE}">
      <text>
        <r>
          <rPr>
            <sz val="9"/>
            <color indexed="81"/>
            <rFont val="Tahoma"/>
            <family val="2"/>
          </rPr>
          <t>https://csl.noaa.gov/groups/csl5/datasets/data/hcfcs/Summary%20HCFC-242.pdf</t>
        </r>
      </text>
    </comment>
    <comment ref="F246" authorId="0" shapeId="0" xr:uid="{3D5A8DB8-42A6-41AA-A32A-825C4099569E}">
      <text>
        <r>
          <rPr>
            <sz val="9"/>
            <color indexed="81"/>
            <rFont val="Tahoma"/>
            <family val="2"/>
          </rPr>
          <t>Assumed to be subject to the same kind of uncertainties as the GWP estimate</t>
        </r>
        <r>
          <rPr>
            <sz val="9"/>
            <color indexed="81"/>
            <rFont val="Tahoma"/>
            <family val="2"/>
          </rPr>
          <t xml:space="preserve">
</t>
        </r>
      </text>
    </comment>
    <comment ref="G246" authorId="0" shapeId="0" xr:uid="{4B2BB229-DF01-4B9E-94ED-0DAFD1B7DA58}">
      <text>
        <r>
          <rPr>
            <sz val="9"/>
            <color indexed="81"/>
            <rFont val="Tahoma"/>
            <family val="2"/>
          </rPr>
          <t xml:space="preserve">See note on CFC-11
</t>
        </r>
      </text>
    </comment>
    <comment ref="I246" authorId="0" shapeId="0" xr:uid="{9613700D-6F5F-413C-81F1-3A8E64009A93}">
      <text>
        <r>
          <rPr>
            <sz val="9"/>
            <color indexed="81"/>
            <rFont val="Tahoma"/>
            <family val="2"/>
          </rPr>
          <t xml:space="preserve">See note on CFC-11
</t>
        </r>
      </text>
    </comment>
    <comment ref="J246" authorId="0" shapeId="0" xr:uid="{580CC56D-5BA5-4927-A515-7F57BF8059BD}">
      <text>
        <r>
          <rPr>
            <sz val="9"/>
            <color indexed="81"/>
            <rFont val="Tahoma"/>
            <family val="2"/>
          </rPr>
          <t xml:space="preserve">See notes on CFC11
</t>
        </r>
      </text>
    </comment>
    <comment ref="A247" authorId="0" shapeId="0" xr:uid="{39338FE8-C71F-4AA3-98BC-34AF4500E68C}">
      <text>
        <r>
          <rPr>
            <sz val="9"/>
            <color indexed="81"/>
            <rFont val="Tahoma"/>
            <family val="2"/>
          </rPr>
          <t>CH2FCHFCCl3,
1,1,1-Trichloro-2,3-difluoropropane</t>
        </r>
      </text>
    </comment>
    <comment ref="C247" authorId="0" shapeId="0" xr:uid="{0A769CD8-5DD4-41ED-A93D-B692983536E0}">
      <text>
        <r>
          <rPr>
            <sz val="9"/>
            <color indexed="81"/>
            <rFont val="Tahoma"/>
            <family val="2"/>
          </rPr>
          <t>https://csl.noaa.gov/groups/csl5/datasets/data/hcfcs/Summary%20HCFC-242.pdf</t>
        </r>
      </text>
    </comment>
    <comment ref="D247" authorId="0" shapeId="0" xr:uid="{75384261-2A8F-412A-B1F9-B79CE39B4670}">
      <text>
        <r>
          <rPr>
            <sz val="9"/>
            <color indexed="81"/>
            <rFont val="Tahoma"/>
            <family val="2"/>
          </rPr>
          <t xml:space="preserve">Uncertainty estimated from difference between well-mixed (120) and lifetime adjusted (98) GWP </t>
        </r>
      </text>
    </comment>
    <comment ref="E247" authorId="0" shapeId="0" xr:uid="{C81607AC-7676-4A26-A1B1-72889DD24838}">
      <text>
        <r>
          <rPr>
            <sz val="9"/>
            <color indexed="81"/>
            <rFont val="Tahoma"/>
            <family val="2"/>
          </rPr>
          <t>https://csl.noaa.gov/groups/csl5/datasets/data/hcfcs/Summary%20HCFC-242.pdf</t>
        </r>
      </text>
    </comment>
    <comment ref="F247" authorId="0" shapeId="0" xr:uid="{459D59BE-1BE7-41E6-8AF0-2B561B1C2D4A}">
      <text>
        <r>
          <rPr>
            <sz val="9"/>
            <color indexed="81"/>
            <rFont val="Tahoma"/>
            <family val="2"/>
          </rPr>
          <t>Assumed to be subject to the same kind of uncertainties as the GWP estimate</t>
        </r>
        <r>
          <rPr>
            <sz val="9"/>
            <color indexed="81"/>
            <rFont val="Tahoma"/>
            <family val="2"/>
          </rPr>
          <t xml:space="preserve">
</t>
        </r>
      </text>
    </comment>
    <comment ref="G247" authorId="0" shapeId="0" xr:uid="{AEA0A98C-36B3-4542-8F99-3A16CDE4C800}">
      <text>
        <r>
          <rPr>
            <sz val="9"/>
            <color indexed="81"/>
            <rFont val="Tahoma"/>
            <family val="2"/>
          </rPr>
          <t xml:space="preserve">See note on CFC-11
</t>
        </r>
      </text>
    </comment>
    <comment ref="I247" authorId="0" shapeId="0" xr:uid="{93ED7661-B924-4D76-A8DC-3C5792EC6225}">
      <text>
        <r>
          <rPr>
            <sz val="9"/>
            <color indexed="81"/>
            <rFont val="Tahoma"/>
            <family val="2"/>
          </rPr>
          <t xml:space="preserve">See note on CFC-11
</t>
        </r>
      </text>
    </comment>
    <comment ref="J247" authorId="0" shapeId="0" xr:uid="{5F57D3BE-76D2-4DE9-919C-E09FBA595F07}">
      <text>
        <r>
          <rPr>
            <sz val="9"/>
            <color indexed="81"/>
            <rFont val="Tahoma"/>
            <family val="2"/>
          </rPr>
          <t xml:space="preserve">See notes on CFC11
</t>
        </r>
      </text>
    </comment>
    <comment ref="A248" authorId="0" shapeId="0" xr:uid="{095FE2C3-9D43-4CC4-9312-7DF851B60F90}">
      <text>
        <r>
          <rPr>
            <sz val="9"/>
            <color indexed="81"/>
            <rFont val="Tahoma"/>
            <family val="2"/>
          </rPr>
          <t xml:space="preserve">CHCl2CH2CClF2,
1,3,3-Trichloro-1,1-difluoropropane
</t>
        </r>
      </text>
    </comment>
    <comment ref="C248" authorId="0" shapeId="0" xr:uid="{CDAD1B18-701A-4216-81AB-E948AF3FD80D}">
      <text>
        <r>
          <rPr>
            <sz val="9"/>
            <color indexed="81"/>
            <rFont val="Tahoma"/>
            <family val="2"/>
          </rPr>
          <t>https://csl.noaa.gov/groups/csl5/datasets/data/hcfcs/Summary%20HCFC-242.pdf</t>
        </r>
      </text>
    </comment>
    <comment ref="D248" authorId="0" shapeId="0" xr:uid="{F87AA509-A51C-4F57-8260-55AE0CC73FF8}">
      <text>
        <r>
          <rPr>
            <sz val="9"/>
            <color indexed="81"/>
            <rFont val="Tahoma"/>
            <family val="2"/>
          </rPr>
          <t xml:space="preserve">Uncertainty estimated from difference between well-mixed (54) and lifetime adjusted (37) GWP </t>
        </r>
      </text>
    </comment>
    <comment ref="E248" authorId="0" shapeId="0" xr:uid="{CC6DE828-EB0B-4923-9111-70C5885FBAF8}">
      <text>
        <r>
          <rPr>
            <sz val="9"/>
            <color indexed="81"/>
            <rFont val="Tahoma"/>
            <family val="2"/>
          </rPr>
          <t>https://csl.noaa.gov/groups/csl5/datasets/data/hcfcs/Summary%20HCFC-242.pdf</t>
        </r>
      </text>
    </comment>
    <comment ref="F248" authorId="0" shapeId="0" xr:uid="{2DCE11A6-1659-48C8-858F-078BD448F130}">
      <text>
        <r>
          <rPr>
            <sz val="9"/>
            <color indexed="81"/>
            <rFont val="Tahoma"/>
            <family val="2"/>
          </rPr>
          <t>Assumed to be subject to the same kind of uncertainties as the GWP estimate</t>
        </r>
        <r>
          <rPr>
            <sz val="9"/>
            <color indexed="81"/>
            <rFont val="Tahoma"/>
            <family val="2"/>
          </rPr>
          <t xml:space="preserve">
</t>
        </r>
      </text>
    </comment>
    <comment ref="G248" authorId="0" shapeId="0" xr:uid="{0BD66A81-0238-4180-B41F-AB3E2C3D733E}">
      <text>
        <r>
          <rPr>
            <sz val="9"/>
            <color indexed="81"/>
            <rFont val="Tahoma"/>
            <family val="2"/>
          </rPr>
          <t xml:space="preserve">See note on CFC-11
</t>
        </r>
      </text>
    </comment>
    <comment ref="I248" authorId="0" shapeId="0" xr:uid="{5068BE46-F0B2-4E2D-90AC-84A72CDE2260}">
      <text>
        <r>
          <rPr>
            <sz val="9"/>
            <color indexed="81"/>
            <rFont val="Tahoma"/>
            <family val="2"/>
          </rPr>
          <t xml:space="preserve">See note on CFC-11
</t>
        </r>
      </text>
    </comment>
    <comment ref="J248" authorId="0" shapeId="0" xr:uid="{68F04F49-FC79-4A03-889E-5499195B7DD9}">
      <text>
        <r>
          <rPr>
            <sz val="9"/>
            <color indexed="81"/>
            <rFont val="Tahoma"/>
            <family val="2"/>
          </rPr>
          <t xml:space="preserve">See notes on CFC11
</t>
        </r>
      </text>
    </comment>
    <comment ref="A249" authorId="0" shapeId="0" xr:uid="{84A6EBB6-6B06-445B-9D53-94F95042FF62}">
      <text>
        <r>
          <rPr>
            <sz val="9"/>
            <color indexed="81"/>
            <rFont val="Tahoma"/>
            <family val="2"/>
          </rPr>
          <t xml:space="preserve">CHClFCH2CCl2F,
1,1,3-Trichloro-1,3-difluoropropane
</t>
        </r>
      </text>
    </comment>
    <comment ref="C249" authorId="0" shapeId="0" xr:uid="{6AA62D11-7E9B-4AC2-860B-0336F23EC11A}">
      <text>
        <r>
          <rPr>
            <sz val="9"/>
            <color indexed="81"/>
            <rFont val="Tahoma"/>
            <family val="2"/>
          </rPr>
          <t>https://csl.noaa.gov/groups/csl5/datasets/data/hcfcs/Summary%20HCFC-242.pdf</t>
        </r>
      </text>
    </comment>
    <comment ref="D249" authorId="0" shapeId="0" xr:uid="{AFCFE828-DA10-48BB-A258-7D19A2791B0B}">
      <text>
        <r>
          <rPr>
            <sz val="9"/>
            <color indexed="81"/>
            <rFont val="Tahoma"/>
            <family val="2"/>
          </rPr>
          <t xml:space="preserve">Uncertainty estimated from difference between well-mixed (133) and lifetime adjusted (108) GWP </t>
        </r>
      </text>
    </comment>
    <comment ref="E249" authorId="0" shapeId="0" xr:uid="{5E34DADC-1AA5-4A9B-BDB1-A18F400CC09D}">
      <text>
        <r>
          <rPr>
            <sz val="9"/>
            <color indexed="81"/>
            <rFont val="Tahoma"/>
            <family val="2"/>
          </rPr>
          <t>https://csl.noaa.gov/groups/csl5/datasets/data/hcfcs/Summary%20HCFC-242.pdf</t>
        </r>
      </text>
    </comment>
    <comment ref="F249" authorId="0" shapeId="0" xr:uid="{B1669E84-D755-450D-9562-C8B25EADE90B}">
      <text>
        <r>
          <rPr>
            <sz val="9"/>
            <color indexed="81"/>
            <rFont val="Tahoma"/>
            <family val="2"/>
          </rPr>
          <t>Assumed to be subject to the same kind of uncertainties as the GWP estimate</t>
        </r>
        <r>
          <rPr>
            <sz val="9"/>
            <color indexed="81"/>
            <rFont val="Tahoma"/>
            <family val="2"/>
          </rPr>
          <t xml:space="preserve">
</t>
        </r>
      </text>
    </comment>
    <comment ref="G249" authorId="0" shapeId="0" xr:uid="{0FBFE057-8FC7-4F8D-A4C6-2AB39DA18CFD}">
      <text>
        <r>
          <rPr>
            <sz val="9"/>
            <color indexed="81"/>
            <rFont val="Tahoma"/>
            <family val="2"/>
          </rPr>
          <t xml:space="preserve">See note on CFC-11
</t>
        </r>
      </text>
    </comment>
    <comment ref="I249" authorId="0" shapeId="0" xr:uid="{F2B22E6D-C126-4808-9D32-466A0B995E3D}">
      <text>
        <r>
          <rPr>
            <sz val="9"/>
            <color indexed="81"/>
            <rFont val="Tahoma"/>
            <family val="2"/>
          </rPr>
          <t xml:space="preserve">See note on CFC-11
</t>
        </r>
      </text>
    </comment>
    <comment ref="J249" authorId="0" shapeId="0" xr:uid="{FF38E212-6059-43D2-8A92-E8975C34696F}">
      <text>
        <r>
          <rPr>
            <sz val="9"/>
            <color indexed="81"/>
            <rFont val="Tahoma"/>
            <family val="2"/>
          </rPr>
          <t xml:space="preserve">See notes on CFC11
</t>
        </r>
      </text>
    </comment>
    <comment ref="A250" authorId="0" shapeId="0" xr:uid="{D219F4AC-EC66-4DF9-8DDE-C275D29390A5}">
      <text>
        <r>
          <rPr>
            <sz val="9"/>
            <color indexed="81"/>
            <rFont val="Tahoma"/>
            <family val="2"/>
          </rPr>
          <t xml:space="preserve">CHF2CCl2CH2F,
2,2-Dichloro-1,1,3-trifluoropropane
</t>
        </r>
      </text>
    </comment>
    <comment ref="C250" authorId="0" shapeId="0" xr:uid="{4920BFEB-FBD8-48A2-A112-7A52E49E692E}">
      <text>
        <r>
          <rPr>
            <sz val="9"/>
            <color indexed="81"/>
            <rFont val="Tahoma"/>
            <family val="2"/>
          </rPr>
          <t>https://csl.noaa.gov/groups/csl5/datasets/data/hcfcs/Summary%20HCFC-243.pdf</t>
        </r>
      </text>
    </comment>
    <comment ref="D250" authorId="0" shapeId="0" xr:uid="{0913864A-D4E5-4FB7-A653-58BF991C67FA}">
      <text>
        <r>
          <rPr>
            <sz val="9"/>
            <color indexed="81"/>
            <rFont val="Tahoma"/>
            <family val="2"/>
          </rPr>
          <t xml:space="preserve">Uncertainty estimated from difference between well-mixed (190) and lifetime adjusted (168) GWP </t>
        </r>
      </text>
    </comment>
    <comment ref="E250" authorId="0" shapeId="0" xr:uid="{0728A683-8318-4077-A621-47DE288086BE}">
      <text>
        <r>
          <rPr>
            <sz val="9"/>
            <color indexed="81"/>
            <rFont val="Tahoma"/>
            <family val="2"/>
          </rPr>
          <t>https://csl.noaa.gov/groups/csl5/datasets/data/hcfcs/Summary%20HCFC-243.pdf</t>
        </r>
      </text>
    </comment>
    <comment ref="F250" authorId="0" shapeId="0" xr:uid="{3F6F6AEC-3F6B-4123-A2D5-20FBF31DA955}">
      <text>
        <r>
          <rPr>
            <sz val="9"/>
            <color indexed="81"/>
            <rFont val="Tahoma"/>
            <family val="2"/>
          </rPr>
          <t>Assumed to be subject to the same kind of uncertainties as the GWP estimate</t>
        </r>
        <r>
          <rPr>
            <sz val="9"/>
            <color indexed="81"/>
            <rFont val="Tahoma"/>
            <family val="2"/>
          </rPr>
          <t xml:space="preserve">
</t>
        </r>
      </text>
    </comment>
    <comment ref="G250" authorId="0" shapeId="0" xr:uid="{20584E0B-C871-490C-B42F-94ECF858DEF5}">
      <text>
        <r>
          <rPr>
            <sz val="9"/>
            <color indexed="81"/>
            <rFont val="Tahoma"/>
            <family val="2"/>
          </rPr>
          <t xml:space="preserve">See note on CFC-11
</t>
        </r>
      </text>
    </comment>
    <comment ref="I250" authorId="0" shapeId="0" xr:uid="{B50DB781-74CB-449D-8295-131243ACCFB7}">
      <text>
        <r>
          <rPr>
            <sz val="9"/>
            <color indexed="81"/>
            <rFont val="Tahoma"/>
            <family val="2"/>
          </rPr>
          <t xml:space="preserve">See note on CFC-11
</t>
        </r>
      </text>
    </comment>
    <comment ref="J250" authorId="0" shapeId="0" xr:uid="{7EA2C22D-85C5-4133-829F-4BEA179990AD}">
      <text>
        <r>
          <rPr>
            <sz val="9"/>
            <color indexed="81"/>
            <rFont val="Tahoma"/>
            <family val="2"/>
          </rPr>
          <t xml:space="preserve">See notes on CFC11
</t>
        </r>
      </text>
    </comment>
    <comment ref="A251" authorId="0" shapeId="0" xr:uid="{389F8D55-C19F-4A5F-A438-EFE0A70B7CBE}">
      <text>
        <r>
          <rPr>
            <sz val="9"/>
            <color indexed="81"/>
            <rFont val="Tahoma"/>
            <family val="2"/>
          </rPr>
          <t xml:space="preserve">CH3CCl2CF3,
2,2-Dichloro-1,1,1-trifluoropropane
</t>
        </r>
      </text>
    </comment>
    <comment ref="C251" authorId="0" shapeId="0" xr:uid="{A4B57835-EDBC-4CA5-A55E-25D7BC3F6D51}">
      <text>
        <r>
          <rPr>
            <sz val="9"/>
            <color indexed="81"/>
            <rFont val="Tahoma"/>
            <family val="2"/>
          </rPr>
          <t>https://csl.noaa.gov/groups/csl5/datasets/data/hcfcs/Summary%20HCFC-243.pdf</t>
        </r>
      </text>
    </comment>
    <comment ref="D251" authorId="0" shapeId="0" xr:uid="{2123A82F-3545-459B-BE4D-28477A8E0503}">
      <text>
        <r>
          <rPr>
            <sz val="9"/>
            <color indexed="81"/>
            <rFont val="Tahoma"/>
            <family val="2"/>
          </rPr>
          <t xml:space="preserve">Uncertainty estimated from difference between well-mixed (657) and lifetime adjusted (623) GWP </t>
        </r>
      </text>
    </comment>
    <comment ref="E251" authorId="0" shapeId="0" xr:uid="{3E92815F-D39D-4BAA-8D85-D3C7B1155037}">
      <text>
        <r>
          <rPr>
            <sz val="9"/>
            <color indexed="81"/>
            <rFont val="Tahoma"/>
            <family val="2"/>
          </rPr>
          <t>https://csl.noaa.gov/groups/csl5/datasets/data/hcfcs/Summary%20HCFC-243.pdf</t>
        </r>
      </text>
    </comment>
    <comment ref="F251" authorId="0" shapeId="0" xr:uid="{09A4D6D4-9E28-425D-9136-CCC1F23560A4}">
      <text>
        <r>
          <rPr>
            <sz val="9"/>
            <color indexed="81"/>
            <rFont val="Tahoma"/>
            <family val="2"/>
          </rPr>
          <t>Assumed to be subject to the same kind of uncertainties as the GWP estimate</t>
        </r>
        <r>
          <rPr>
            <sz val="9"/>
            <color indexed="81"/>
            <rFont val="Tahoma"/>
            <family val="2"/>
          </rPr>
          <t xml:space="preserve">
</t>
        </r>
      </text>
    </comment>
    <comment ref="G251" authorId="0" shapeId="0" xr:uid="{5E2F3DBD-4BF6-4C6C-A912-E56BD1BCAA3F}">
      <text>
        <r>
          <rPr>
            <sz val="9"/>
            <color indexed="81"/>
            <rFont val="Tahoma"/>
            <family val="2"/>
          </rPr>
          <t xml:space="preserve">See note on CFC-11
</t>
        </r>
      </text>
    </comment>
    <comment ref="I251" authorId="0" shapeId="0" xr:uid="{BDEED6CF-79E3-4243-A629-52C77AA0A135}">
      <text>
        <r>
          <rPr>
            <sz val="9"/>
            <color indexed="81"/>
            <rFont val="Tahoma"/>
            <family val="2"/>
          </rPr>
          <t xml:space="preserve">See note on CFC-11
</t>
        </r>
      </text>
    </comment>
    <comment ref="J251" authorId="0" shapeId="0" xr:uid="{D7192618-671C-4B0A-AEC3-E578C08BDBB5}">
      <text>
        <r>
          <rPr>
            <sz val="9"/>
            <color indexed="81"/>
            <rFont val="Tahoma"/>
            <family val="2"/>
          </rPr>
          <t xml:space="preserve">See notes on CFC11
</t>
        </r>
      </text>
    </comment>
    <comment ref="A252" authorId="0" shapeId="0" xr:uid="{20A6B6EA-2947-4AED-89DB-336ADA36AF3F}">
      <text>
        <r>
          <rPr>
            <sz val="9"/>
            <color indexed="81"/>
            <rFont val="Tahoma"/>
            <family val="2"/>
          </rPr>
          <t xml:space="preserve">CHF2CClFCH2Cl,
1,2-Dichloro-2,3,3-trifluoropropane
</t>
        </r>
      </text>
    </comment>
    <comment ref="C252" authorId="0" shapeId="0" xr:uid="{15D6545C-1E31-40CA-8F44-34CB7368E9E8}">
      <text>
        <r>
          <rPr>
            <sz val="9"/>
            <color indexed="81"/>
            <rFont val="Tahoma"/>
            <family val="2"/>
          </rPr>
          <t>https://csl.noaa.gov/groups/csl5/datasets/data/hcfcs/Summary%20HCFC-243.pdf</t>
        </r>
      </text>
    </comment>
    <comment ref="D252" authorId="0" shapeId="0" xr:uid="{613B3702-1AB7-4A49-B223-33A5838E30B0}">
      <text>
        <r>
          <rPr>
            <sz val="9"/>
            <color indexed="81"/>
            <rFont val="Tahoma"/>
            <family val="2"/>
          </rPr>
          <t xml:space="preserve">Uncertainty estimated from difference between well-mixed (215) and lifetime adjusted (194) GWP </t>
        </r>
      </text>
    </comment>
    <comment ref="E252" authorId="0" shapeId="0" xr:uid="{F69EA860-6FDB-4F6A-9081-DB7674543CD5}">
      <text>
        <r>
          <rPr>
            <sz val="9"/>
            <color indexed="81"/>
            <rFont val="Tahoma"/>
            <family val="2"/>
          </rPr>
          <t>https://csl.noaa.gov/groups/csl5/datasets/data/hcfcs/Summary%20HCFC-243.pdf</t>
        </r>
      </text>
    </comment>
    <comment ref="F252" authorId="0" shapeId="0" xr:uid="{4CFCE0A1-437D-4C62-ABA4-75719E7EC70D}">
      <text>
        <r>
          <rPr>
            <sz val="9"/>
            <color indexed="81"/>
            <rFont val="Tahoma"/>
            <family val="2"/>
          </rPr>
          <t>Assumed to be subject to the same kind of uncertainties as the GWP estimate</t>
        </r>
        <r>
          <rPr>
            <sz val="9"/>
            <color indexed="81"/>
            <rFont val="Tahoma"/>
            <family val="2"/>
          </rPr>
          <t xml:space="preserve">
</t>
        </r>
      </text>
    </comment>
    <comment ref="G252" authorId="0" shapeId="0" xr:uid="{4293BBA2-76EB-423E-9767-252939D1DBB0}">
      <text>
        <r>
          <rPr>
            <sz val="9"/>
            <color indexed="81"/>
            <rFont val="Tahoma"/>
            <family val="2"/>
          </rPr>
          <t xml:space="preserve">See note on CFC-11
</t>
        </r>
      </text>
    </comment>
    <comment ref="I252" authorId="0" shapeId="0" xr:uid="{A627B480-1A4C-44D0-80C6-5901C5A8C5A7}">
      <text>
        <r>
          <rPr>
            <sz val="9"/>
            <color indexed="81"/>
            <rFont val="Tahoma"/>
            <family val="2"/>
          </rPr>
          <t xml:space="preserve">See note on CFC-11
</t>
        </r>
      </text>
    </comment>
    <comment ref="J252" authorId="0" shapeId="0" xr:uid="{B039581F-3E9E-4FA3-A40B-857EA61433C1}">
      <text>
        <r>
          <rPr>
            <sz val="9"/>
            <color indexed="81"/>
            <rFont val="Tahoma"/>
            <family val="2"/>
          </rPr>
          <t xml:space="preserve">See notes on CFC11
</t>
        </r>
      </text>
    </comment>
    <comment ref="A253" authorId="0" shapeId="0" xr:uid="{9E959EE5-4EB7-4212-BB68-55BACEA4141A}">
      <text>
        <r>
          <rPr>
            <sz val="9"/>
            <color indexed="81"/>
            <rFont val="Tahoma"/>
            <family val="2"/>
          </rPr>
          <t xml:space="preserve">CHFClCClFCH2F,
1,2-Dichloro-1,2,3-trifluoropropane
</t>
        </r>
      </text>
    </comment>
    <comment ref="C253" authorId="0" shapeId="0" xr:uid="{A0ACE953-C9A8-46C0-8BE6-20608184A9AB}">
      <text>
        <r>
          <rPr>
            <sz val="9"/>
            <color indexed="81"/>
            <rFont val="Tahoma"/>
            <family val="2"/>
          </rPr>
          <t>https://csl.noaa.gov/groups/csl5/datasets/data/hcfcs/Summary%20HCFC-243.pdf</t>
        </r>
      </text>
    </comment>
    <comment ref="D253" authorId="0" shapeId="0" xr:uid="{2E2189EA-0F49-4AC8-A7F1-65FAC97A7934}">
      <text>
        <r>
          <rPr>
            <sz val="9"/>
            <color indexed="81"/>
            <rFont val="Tahoma"/>
            <family val="2"/>
          </rPr>
          <t xml:space="preserve">Uncertainty estimated from difference between well-mixed (179) and lifetime adjusted (157) GWP </t>
        </r>
      </text>
    </comment>
    <comment ref="E253" authorId="0" shapeId="0" xr:uid="{0A394476-DD17-4644-86FA-18072CE46408}">
      <text>
        <r>
          <rPr>
            <sz val="9"/>
            <color indexed="81"/>
            <rFont val="Tahoma"/>
            <family val="2"/>
          </rPr>
          <t>https://csl.noaa.gov/groups/csl5/datasets/data/hcfcs/Summary%20HCFC-243.pdf</t>
        </r>
      </text>
    </comment>
    <comment ref="F253" authorId="0" shapeId="0" xr:uid="{37237368-5CE1-492B-95AE-6E7D94AEBDEF}">
      <text>
        <r>
          <rPr>
            <sz val="9"/>
            <color indexed="81"/>
            <rFont val="Tahoma"/>
            <family val="2"/>
          </rPr>
          <t>Assumed to be subject to the same kind of uncertainties as the GWP estimate</t>
        </r>
        <r>
          <rPr>
            <sz val="9"/>
            <color indexed="81"/>
            <rFont val="Tahoma"/>
            <family val="2"/>
          </rPr>
          <t xml:space="preserve">
</t>
        </r>
      </text>
    </comment>
    <comment ref="G253" authorId="0" shapeId="0" xr:uid="{1BB0B380-798A-4A71-85CC-F3DED217B3B5}">
      <text>
        <r>
          <rPr>
            <sz val="9"/>
            <color indexed="81"/>
            <rFont val="Tahoma"/>
            <family val="2"/>
          </rPr>
          <t xml:space="preserve">See note on CFC-11
</t>
        </r>
      </text>
    </comment>
    <comment ref="I253" authorId="0" shapeId="0" xr:uid="{2BA76D82-1E13-4789-A28F-FCBB835C60BC}">
      <text>
        <r>
          <rPr>
            <sz val="9"/>
            <color indexed="81"/>
            <rFont val="Tahoma"/>
            <family val="2"/>
          </rPr>
          <t xml:space="preserve">See note on CFC-11
</t>
        </r>
      </text>
    </comment>
    <comment ref="J253" authorId="0" shapeId="0" xr:uid="{34091BD7-D592-4872-AD25-F770F0EBC727}">
      <text>
        <r>
          <rPr>
            <sz val="9"/>
            <color indexed="81"/>
            <rFont val="Tahoma"/>
            <family val="2"/>
          </rPr>
          <t xml:space="preserve">See notes on CFC11
</t>
        </r>
      </text>
    </comment>
    <comment ref="A254" authorId="0" shapeId="0" xr:uid="{A9F01AF2-AA9F-4BE5-BDAB-A362375AAA34}">
      <text>
        <r>
          <rPr>
            <sz val="9"/>
            <color indexed="81"/>
            <rFont val="Tahoma"/>
            <family val="2"/>
          </rPr>
          <t xml:space="preserve">CH3CClFCF2Cl,
1,2-Dichloro-1,1,2-trifluoropropane
</t>
        </r>
      </text>
    </comment>
    <comment ref="C254" authorId="0" shapeId="0" xr:uid="{28B8D683-B342-4889-928D-3A77901806E4}">
      <text>
        <r>
          <rPr>
            <sz val="9"/>
            <color indexed="81"/>
            <rFont val="Tahoma"/>
            <family val="2"/>
          </rPr>
          <t>https://csl.noaa.gov/groups/csl5/datasets/data/hcfcs/Summary%20HCFC-243.pdf</t>
        </r>
      </text>
    </comment>
    <comment ref="D254" authorId="0" shapeId="0" xr:uid="{6FD86E35-C3A7-4577-903F-48A78A248F91}">
      <text>
        <r>
          <rPr>
            <sz val="9"/>
            <color indexed="81"/>
            <rFont val="Tahoma"/>
            <family val="2"/>
          </rPr>
          <t xml:space="preserve">Uncertainty estimated from difference between well-mixed (1549) and lifetime adjusted (1498) GWP </t>
        </r>
      </text>
    </comment>
    <comment ref="E254" authorId="0" shapeId="0" xr:uid="{DD2B7CC8-5CB8-47C4-8DDC-DEDBE1CC09FD}">
      <text>
        <r>
          <rPr>
            <sz val="9"/>
            <color indexed="81"/>
            <rFont val="Tahoma"/>
            <family val="2"/>
          </rPr>
          <t>https://csl.noaa.gov/groups/csl5/datasets/data/hcfcs/Summary%20HCFC-243.pdf</t>
        </r>
      </text>
    </comment>
    <comment ref="F254" authorId="0" shapeId="0" xr:uid="{C9342387-7B14-4C76-B9C3-D82BB2B2E4B6}">
      <text>
        <r>
          <rPr>
            <sz val="9"/>
            <color indexed="81"/>
            <rFont val="Tahoma"/>
            <family val="2"/>
          </rPr>
          <t>Assumed to be subject to the same kind of uncertainties as the GWP estimate</t>
        </r>
        <r>
          <rPr>
            <sz val="9"/>
            <color indexed="81"/>
            <rFont val="Tahoma"/>
            <family val="2"/>
          </rPr>
          <t xml:space="preserve">
</t>
        </r>
      </text>
    </comment>
    <comment ref="G254" authorId="0" shapeId="0" xr:uid="{AE4B79F5-97AC-42CA-9750-E1E8DC34415C}">
      <text>
        <r>
          <rPr>
            <sz val="9"/>
            <color indexed="81"/>
            <rFont val="Tahoma"/>
            <family val="2"/>
          </rPr>
          <t xml:space="preserve">See note on CFC-11
</t>
        </r>
      </text>
    </comment>
    <comment ref="I254" authorId="0" shapeId="0" xr:uid="{7BE715E9-6DE3-4EC6-9CD7-C040D96B11ED}">
      <text>
        <r>
          <rPr>
            <sz val="9"/>
            <color indexed="81"/>
            <rFont val="Tahoma"/>
            <family val="2"/>
          </rPr>
          <t xml:space="preserve">See note on CFC-11
</t>
        </r>
      </text>
    </comment>
    <comment ref="J254" authorId="0" shapeId="0" xr:uid="{80327DF6-2941-42FA-AF39-47002FBF11B2}">
      <text>
        <r>
          <rPr>
            <sz val="9"/>
            <color indexed="81"/>
            <rFont val="Tahoma"/>
            <family val="2"/>
          </rPr>
          <t xml:space="preserve">See notes on CFC11
</t>
        </r>
      </text>
    </comment>
    <comment ref="A255" authorId="0" shapeId="0" xr:uid="{D85504BA-1B79-4027-8CC0-7924B1BB1AB4}">
      <text>
        <r>
          <rPr>
            <sz val="9"/>
            <color indexed="81"/>
            <rFont val="Tahoma"/>
            <family val="2"/>
          </rPr>
          <t xml:space="preserve">CH2ClCF2CHClF,
1,3-Dichloro-1,2,2-trifluoropropane
</t>
        </r>
      </text>
    </comment>
    <comment ref="C255" authorId="0" shapeId="0" xr:uid="{09A2097F-9692-4DA8-A1C6-94CE7184B3D7}">
      <text>
        <r>
          <rPr>
            <sz val="9"/>
            <color indexed="81"/>
            <rFont val="Tahoma"/>
            <family val="2"/>
          </rPr>
          <t>https://csl.noaa.gov/groups/csl5/datasets/data/hcfcs/Summary%20HCFC-243.pdf</t>
        </r>
      </text>
    </comment>
    <comment ref="D255" authorId="0" shapeId="0" xr:uid="{C1931884-5AD5-4BA3-B531-A4D2396EB752}">
      <text>
        <r>
          <rPr>
            <sz val="9"/>
            <color indexed="81"/>
            <rFont val="Tahoma"/>
            <family val="2"/>
          </rPr>
          <t xml:space="preserve">Uncertainty estimated from difference between well-mixed (218) and lifetime adjusted (192) GWP </t>
        </r>
      </text>
    </comment>
    <comment ref="E255" authorId="0" shapeId="0" xr:uid="{2E13D022-182D-479D-BCF6-6B103EA6A8F7}">
      <text>
        <r>
          <rPr>
            <sz val="9"/>
            <color indexed="81"/>
            <rFont val="Tahoma"/>
            <family val="2"/>
          </rPr>
          <t>https://csl.noaa.gov/groups/csl5/datasets/data/hcfcs/Summary%20HCFC-243.pdf</t>
        </r>
      </text>
    </comment>
    <comment ref="F255" authorId="0" shapeId="0" xr:uid="{E4E83B6A-C1A8-4ABB-854F-53B063B93545}">
      <text>
        <r>
          <rPr>
            <sz val="9"/>
            <color indexed="81"/>
            <rFont val="Tahoma"/>
            <family val="2"/>
          </rPr>
          <t>Assumed to be subject to the same kind of uncertainties as the GWP estimate</t>
        </r>
        <r>
          <rPr>
            <sz val="9"/>
            <color indexed="81"/>
            <rFont val="Tahoma"/>
            <family val="2"/>
          </rPr>
          <t xml:space="preserve">
</t>
        </r>
      </text>
    </comment>
    <comment ref="G255" authorId="0" shapeId="0" xr:uid="{6E934599-001A-471E-A50C-CBEBDD63BFE1}">
      <text>
        <r>
          <rPr>
            <sz val="9"/>
            <color indexed="81"/>
            <rFont val="Tahoma"/>
            <family val="2"/>
          </rPr>
          <t xml:space="preserve">See note on CFC-11
</t>
        </r>
      </text>
    </comment>
    <comment ref="I255" authorId="0" shapeId="0" xr:uid="{ED391F47-2286-4CA3-A2AC-C54888DCD720}">
      <text>
        <r>
          <rPr>
            <sz val="9"/>
            <color indexed="81"/>
            <rFont val="Tahoma"/>
            <family val="2"/>
          </rPr>
          <t xml:space="preserve">See note on CFC-11
</t>
        </r>
      </text>
    </comment>
    <comment ref="J255" authorId="0" shapeId="0" xr:uid="{D78BE59B-ADD2-4BE0-9C08-01CC44C31314}">
      <text>
        <r>
          <rPr>
            <sz val="9"/>
            <color indexed="81"/>
            <rFont val="Tahoma"/>
            <family val="2"/>
          </rPr>
          <t xml:space="preserve">See notes on CFC11
</t>
        </r>
      </text>
    </comment>
    <comment ref="A256" authorId="0" shapeId="0" xr:uid="{6C2EE5FF-FBD4-4673-8C1F-1FC44FA90988}">
      <text>
        <r>
          <rPr>
            <sz val="9"/>
            <color indexed="81"/>
            <rFont val="Tahoma"/>
            <family val="2"/>
          </rPr>
          <t xml:space="preserve">CHCl2CF2CH2F,
1,1-Dichloro-2,2,3-trifluoropropane
</t>
        </r>
      </text>
    </comment>
    <comment ref="C256" authorId="0" shapeId="0" xr:uid="{EA052799-F3B3-41EE-9331-7627660E485C}">
      <text>
        <r>
          <rPr>
            <sz val="9"/>
            <color indexed="81"/>
            <rFont val="Tahoma"/>
            <family val="2"/>
          </rPr>
          <t>https://csl.noaa.gov/groups/csl5/datasets/data/hcfcs/Summary%20HCFC-243.pdf</t>
        </r>
      </text>
    </comment>
    <comment ref="D256" authorId="0" shapeId="0" xr:uid="{AFA87EF5-38E4-45EF-8C0E-C4B213AA72F6}">
      <text>
        <r>
          <rPr>
            <sz val="9"/>
            <color indexed="81"/>
            <rFont val="Tahoma"/>
            <family val="2"/>
          </rPr>
          <t xml:space="preserve">Uncertainty estimated from difference between well-mixed (98) and lifetime adjusted (78) GWP </t>
        </r>
      </text>
    </comment>
    <comment ref="E256" authorId="0" shapeId="0" xr:uid="{3033E462-739F-4403-8AD4-B4430596D441}">
      <text>
        <r>
          <rPr>
            <sz val="9"/>
            <color indexed="81"/>
            <rFont val="Tahoma"/>
            <family val="2"/>
          </rPr>
          <t>https://csl.noaa.gov/groups/csl5/datasets/data/hcfcs/Summary%20HCFC-243.pdf</t>
        </r>
      </text>
    </comment>
    <comment ref="F256" authorId="0" shapeId="0" xr:uid="{7E20F240-133B-46D4-9263-0418F7163528}">
      <text>
        <r>
          <rPr>
            <sz val="9"/>
            <color indexed="81"/>
            <rFont val="Tahoma"/>
            <family val="2"/>
          </rPr>
          <t>Assumed to be subject to the same kind of uncertainties as the GWP estimate</t>
        </r>
        <r>
          <rPr>
            <sz val="9"/>
            <color indexed="81"/>
            <rFont val="Tahoma"/>
            <family val="2"/>
          </rPr>
          <t xml:space="preserve">
</t>
        </r>
      </text>
    </comment>
    <comment ref="G256" authorId="0" shapeId="0" xr:uid="{5E12CC73-9B1A-463F-A421-256B7463CB8E}">
      <text>
        <r>
          <rPr>
            <sz val="9"/>
            <color indexed="81"/>
            <rFont val="Tahoma"/>
            <family val="2"/>
          </rPr>
          <t xml:space="preserve">See note on CFC-11
</t>
        </r>
      </text>
    </comment>
    <comment ref="I256" authorId="0" shapeId="0" xr:uid="{FF6B9772-68ED-4C88-A9C5-C675353CC261}">
      <text>
        <r>
          <rPr>
            <sz val="9"/>
            <color indexed="81"/>
            <rFont val="Tahoma"/>
            <family val="2"/>
          </rPr>
          <t xml:space="preserve">See note on CFC-11
</t>
        </r>
      </text>
    </comment>
    <comment ref="J256" authorId="0" shapeId="0" xr:uid="{7D87C7A1-FF52-4B40-B4AA-E9C412342C76}">
      <text>
        <r>
          <rPr>
            <sz val="9"/>
            <color indexed="81"/>
            <rFont val="Tahoma"/>
            <family val="2"/>
          </rPr>
          <t xml:space="preserve">See notes on CFC11
</t>
        </r>
      </text>
    </comment>
    <comment ref="A257" authorId="0" shapeId="0" xr:uid="{A6F6E141-5444-4229-9E8B-75BAB662586B}">
      <text>
        <r>
          <rPr>
            <sz val="9"/>
            <color indexed="81"/>
            <rFont val="Tahoma"/>
            <family val="2"/>
          </rPr>
          <t xml:space="preserve">CH3CF2CFCl2,
1,1-Dichloro-1,2,2-trifluoropropane
</t>
        </r>
      </text>
    </comment>
    <comment ref="C257" authorId="0" shapeId="0" xr:uid="{79124C52-7AAF-41BE-9F13-37088CD6D1C9}">
      <text>
        <r>
          <rPr>
            <sz val="9"/>
            <color indexed="81"/>
            <rFont val="Tahoma"/>
            <family val="2"/>
          </rPr>
          <t>https://csl.noaa.gov/groups/csl5/datasets/data/hcfcs/Summary%20HCFC-243.pdf</t>
        </r>
      </text>
    </comment>
    <comment ref="D257" authorId="0" shapeId="0" xr:uid="{1EC22672-F3AC-4863-AFC7-46688190EAC1}">
      <text>
        <r>
          <rPr>
            <sz val="9"/>
            <color indexed="81"/>
            <rFont val="Tahoma"/>
            <family val="2"/>
          </rPr>
          <t xml:space="preserve">Uncertainty estimated from difference between well-mixed (1491) and lifetime adjusted (1437) GWP </t>
        </r>
      </text>
    </comment>
    <comment ref="E257" authorId="0" shapeId="0" xr:uid="{02109E2E-511B-4725-AC14-D120CAFC889A}">
      <text>
        <r>
          <rPr>
            <sz val="9"/>
            <color indexed="81"/>
            <rFont val="Tahoma"/>
            <family val="2"/>
          </rPr>
          <t>https://csl.noaa.gov/groups/csl5/datasets/data/hcfcs/Summary%20HCFC-243.pdf</t>
        </r>
      </text>
    </comment>
    <comment ref="F257" authorId="0" shapeId="0" xr:uid="{BFF2DB1F-745F-4353-A9A5-C9EC6080F32A}">
      <text>
        <r>
          <rPr>
            <sz val="9"/>
            <color indexed="81"/>
            <rFont val="Tahoma"/>
            <family val="2"/>
          </rPr>
          <t>Assumed to be subject to the same kind of uncertainties as the GWP estimate</t>
        </r>
        <r>
          <rPr>
            <sz val="9"/>
            <color indexed="81"/>
            <rFont val="Tahoma"/>
            <family val="2"/>
          </rPr>
          <t xml:space="preserve">
</t>
        </r>
      </text>
    </comment>
    <comment ref="G257" authorId="0" shapeId="0" xr:uid="{1877B0D6-A9E0-492D-AC80-D98BFA1A1F8D}">
      <text>
        <r>
          <rPr>
            <sz val="9"/>
            <color indexed="81"/>
            <rFont val="Tahoma"/>
            <family val="2"/>
          </rPr>
          <t xml:space="preserve">See note on CFC-11
</t>
        </r>
      </text>
    </comment>
    <comment ref="I257" authorId="0" shapeId="0" xr:uid="{2AD2839E-BB8B-44F7-A289-6D259275ECAA}">
      <text>
        <r>
          <rPr>
            <sz val="9"/>
            <color indexed="81"/>
            <rFont val="Tahoma"/>
            <family val="2"/>
          </rPr>
          <t xml:space="preserve">See note on CFC-11
</t>
        </r>
      </text>
    </comment>
    <comment ref="J257" authorId="0" shapeId="0" xr:uid="{7FF1D2EC-F31B-4F0B-A0CF-438F15BC65A6}">
      <text>
        <r>
          <rPr>
            <sz val="9"/>
            <color indexed="81"/>
            <rFont val="Tahoma"/>
            <family val="2"/>
          </rPr>
          <t xml:space="preserve">See notes on CFC11
</t>
        </r>
      </text>
    </comment>
    <comment ref="A258" authorId="0" shapeId="0" xr:uid="{8EAE9ACF-5AEA-476F-A659-7BF7EC01D339}">
      <text>
        <r>
          <rPr>
            <sz val="9"/>
            <color indexed="81"/>
            <rFont val="Tahoma"/>
            <family val="2"/>
          </rPr>
          <t xml:space="preserve">CHF2CHClCHFCl,
1,2-Dichloro-1,3,3-trifluoropropane
</t>
        </r>
      </text>
    </comment>
    <comment ref="C258" authorId="0" shapeId="0" xr:uid="{8846D9C8-98A4-40DE-863A-B31A9D35491F}">
      <text>
        <r>
          <rPr>
            <sz val="9"/>
            <color indexed="81"/>
            <rFont val="Tahoma"/>
            <family val="2"/>
          </rPr>
          <t>https://csl.noaa.gov/groups/csl5/datasets/data/hcfcs/Summary%20HCFC-243.pdf</t>
        </r>
      </text>
    </comment>
    <comment ref="D258" authorId="0" shapeId="0" xr:uid="{F2226802-4FE0-4B2F-AB08-A49FC317D700}">
      <text>
        <r>
          <rPr>
            <sz val="9"/>
            <color indexed="81"/>
            <rFont val="Tahoma"/>
            <family val="2"/>
          </rPr>
          <t xml:space="preserve">Uncertainty estimated from difference between well-mixed (139) and lifetime adjusted (116) GWP </t>
        </r>
      </text>
    </comment>
    <comment ref="E258" authorId="0" shapeId="0" xr:uid="{3160C269-CFE9-4FE3-A4F7-85F58DD65EC0}">
      <text>
        <r>
          <rPr>
            <sz val="9"/>
            <color indexed="81"/>
            <rFont val="Tahoma"/>
            <family val="2"/>
          </rPr>
          <t>https://csl.noaa.gov/groups/csl5/datasets/data/hcfcs/Summary%20HCFC-243.pdf</t>
        </r>
      </text>
    </comment>
    <comment ref="F258" authorId="0" shapeId="0" xr:uid="{1372A682-1061-44B8-AD2D-D24F439F69AD}">
      <text>
        <r>
          <rPr>
            <sz val="9"/>
            <color indexed="81"/>
            <rFont val="Tahoma"/>
            <family val="2"/>
          </rPr>
          <t>Assumed to be subject to the same kind of uncertainties as the GWP estimate</t>
        </r>
        <r>
          <rPr>
            <sz val="9"/>
            <color indexed="81"/>
            <rFont val="Tahoma"/>
            <family val="2"/>
          </rPr>
          <t xml:space="preserve">
</t>
        </r>
      </text>
    </comment>
    <comment ref="G258" authorId="0" shapeId="0" xr:uid="{C9D4360B-39C9-413E-9095-2B44B6078EDB}">
      <text>
        <r>
          <rPr>
            <sz val="9"/>
            <color indexed="81"/>
            <rFont val="Tahoma"/>
            <family val="2"/>
          </rPr>
          <t xml:space="preserve">See note on CFC-11
</t>
        </r>
      </text>
    </comment>
    <comment ref="I258" authorId="0" shapeId="0" xr:uid="{5B023A16-81EC-42B3-A8CF-1CA83CFE76BD}">
      <text>
        <r>
          <rPr>
            <sz val="9"/>
            <color indexed="81"/>
            <rFont val="Tahoma"/>
            <family val="2"/>
          </rPr>
          <t xml:space="preserve">See note on CFC-11
</t>
        </r>
      </text>
    </comment>
    <comment ref="J258" authorId="0" shapeId="0" xr:uid="{71E63790-8A61-4A17-9B22-1405CE9D3F0F}">
      <text>
        <r>
          <rPr>
            <sz val="9"/>
            <color indexed="81"/>
            <rFont val="Tahoma"/>
            <family val="2"/>
          </rPr>
          <t xml:space="preserve">See notes on CFC11
</t>
        </r>
      </text>
    </comment>
    <comment ref="A259" authorId="0" shapeId="0" xr:uid="{08CCDCA2-A369-49A6-A867-0268E5D7C115}">
      <text>
        <r>
          <rPr>
            <sz val="9"/>
            <color indexed="81"/>
            <rFont val="Tahoma"/>
            <family val="2"/>
          </rPr>
          <t xml:space="preserve">CH2ClCHClCF3,
2,3-Dichloro-1,1,1-trifluoropropane
</t>
        </r>
      </text>
    </comment>
    <comment ref="C259" authorId="0" shapeId="0" xr:uid="{9D067138-F9FA-4337-B6B9-335046E659F5}">
      <text>
        <r>
          <rPr>
            <sz val="9"/>
            <color indexed="81"/>
            <rFont val="Tahoma"/>
            <family val="2"/>
          </rPr>
          <t>https://csl.noaa.gov/groups/csl5/datasets/data/hcfcs/Summary%20HCFC-243.pdf</t>
        </r>
      </text>
    </comment>
    <comment ref="D259" authorId="0" shapeId="0" xr:uid="{E755C9FA-542D-4C46-83F9-064EC2D4A846}">
      <text>
        <r>
          <rPr>
            <sz val="9"/>
            <color indexed="81"/>
            <rFont val="Tahoma"/>
            <family val="2"/>
          </rPr>
          <t xml:space="preserve">Uncertainty estimated from difference between well-mixed (91) and lifetime adjusted (73) GWP </t>
        </r>
      </text>
    </comment>
    <comment ref="E259" authorId="0" shapeId="0" xr:uid="{B88CF2BB-4F4C-4279-8877-264515ED0B49}">
      <text>
        <r>
          <rPr>
            <sz val="9"/>
            <color indexed="81"/>
            <rFont val="Tahoma"/>
            <family val="2"/>
          </rPr>
          <t>https://csl.noaa.gov/groups/csl5/datasets/data/hcfcs/Summary%20HCFC-243.pdf</t>
        </r>
      </text>
    </comment>
    <comment ref="F259" authorId="0" shapeId="0" xr:uid="{AECCBA41-B56A-4C50-A333-A1E1B678A3E5}">
      <text>
        <r>
          <rPr>
            <sz val="9"/>
            <color indexed="81"/>
            <rFont val="Tahoma"/>
            <family val="2"/>
          </rPr>
          <t>Assumed to be subject to the same kind of uncertainties as the GWP estimate</t>
        </r>
        <r>
          <rPr>
            <sz val="9"/>
            <color indexed="81"/>
            <rFont val="Tahoma"/>
            <family val="2"/>
          </rPr>
          <t xml:space="preserve">
</t>
        </r>
      </text>
    </comment>
    <comment ref="G259" authorId="0" shapeId="0" xr:uid="{7A987422-DC05-41E3-AAF8-00085BFA720B}">
      <text>
        <r>
          <rPr>
            <sz val="9"/>
            <color indexed="81"/>
            <rFont val="Tahoma"/>
            <family val="2"/>
          </rPr>
          <t xml:space="preserve">See note on CFC-11
</t>
        </r>
      </text>
    </comment>
    <comment ref="I259" authorId="0" shapeId="0" xr:uid="{59CB31E9-A188-4A31-9E35-0286FD016544}">
      <text>
        <r>
          <rPr>
            <sz val="9"/>
            <color indexed="81"/>
            <rFont val="Tahoma"/>
            <family val="2"/>
          </rPr>
          <t xml:space="preserve">See note on CFC-11
</t>
        </r>
      </text>
    </comment>
    <comment ref="J259" authorId="0" shapeId="0" xr:uid="{D4E9886D-84D2-4FEE-9865-2B2779978115}">
      <text>
        <r>
          <rPr>
            <sz val="9"/>
            <color indexed="81"/>
            <rFont val="Tahoma"/>
            <family val="2"/>
          </rPr>
          <t xml:space="preserve">See notes on CFC11
</t>
        </r>
      </text>
    </comment>
    <comment ref="A260" authorId="0" shapeId="0" xr:uid="{AA74E185-29D4-4043-BF6F-8C91BE9223D2}">
      <text>
        <r>
          <rPr>
            <sz val="9"/>
            <color indexed="81"/>
            <rFont val="Tahoma"/>
            <family val="2"/>
          </rPr>
          <t>CH2FCHClCF2Cl,
1,2-Dichloro-1,1,3-trifluoropropane</t>
        </r>
      </text>
    </comment>
    <comment ref="C260" authorId="0" shapeId="0" xr:uid="{9FF5BD2B-3FEF-4B23-BF4E-9393A5330684}">
      <text>
        <r>
          <rPr>
            <sz val="9"/>
            <color indexed="81"/>
            <rFont val="Tahoma"/>
            <family val="2"/>
          </rPr>
          <t>https://csl.noaa.gov/groups/csl5/datasets/data/hcfcs/Summary%20HCFC-243.pdf</t>
        </r>
      </text>
    </comment>
    <comment ref="D260" authorId="0" shapeId="0" xr:uid="{D9679628-64FC-42CB-A80C-21C17EEBB879}">
      <text>
        <r>
          <rPr>
            <sz val="9"/>
            <color indexed="81"/>
            <rFont val="Tahoma"/>
            <family val="2"/>
          </rPr>
          <t xml:space="preserve">Uncertainty estimated from difference between well-mixed (178) and lifetime adjusted (151) GWP </t>
        </r>
      </text>
    </comment>
    <comment ref="E260" authorId="0" shapeId="0" xr:uid="{F41645A9-523D-4B78-A672-F69D063BF4C5}">
      <text>
        <r>
          <rPr>
            <sz val="9"/>
            <color indexed="81"/>
            <rFont val="Tahoma"/>
            <family val="2"/>
          </rPr>
          <t>https://csl.noaa.gov/groups/csl5/datasets/data/hcfcs/Summary%20HCFC-243.pdf</t>
        </r>
      </text>
    </comment>
    <comment ref="F260" authorId="0" shapeId="0" xr:uid="{D56D8D24-BE87-42F5-BF64-C02A1A0825C6}">
      <text>
        <r>
          <rPr>
            <sz val="9"/>
            <color indexed="81"/>
            <rFont val="Tahoma"/>
            <family val="2"/>
          </rPr>
          <t>Assumed to be subject to the same kind of uncertainties as the GWP estimate</t>
        </r>
        <r>
          <rPr>
            <sz val="9"/>
            <color indexed="81"/>
            <rFont val="Tahoma"/>
            <family val="2"/>
          </rPr>
          <t xml:space="preserve">
</t>
        </r>
      </text>
    </comment>
    <comment ref="G260" authorId="0" shapeId="0" xr:uid="{54A6E39F-5C96-4030-A02B-F8AFBEE27888}">
      <text>
        <r>
          <rPr>
            <sz val="9"/>
            <color indexed="81"/>
            <rFont val="Tahoma"/>
            <family val="2"/>
          </rPr>
          <t xml:space="preserve">See note on CFC-11
</t>
        </r>
      </text>
    </comment>
    <comment ref="I260" authorId="0" shapeId="0" xr:uid="{77BB38E3-CC01-4B2E-B553-5E16679EF848}">
      <text>
        <r>
          <rPr>
            <sz val="9"/>
            <color indexed="81"/>
            <rFont val="Tahoma"/>
            <family val="2"/>
          </rPr>
          <t xml:space="preserve">See note on CFC-11
</t>
        </r>
      </text>
    </comment>
    <comment ref="J260" authorId="0" shapeId="0" xr:uid="{56753E4D-C511-4283-B22F-5943A2AA1A5A}">
      <text>
        <r>
          <rPr>
            <sz val="9"/>
            <color indexed="81"/>
            <rFont val="Tahoma"/>
            <family val="2"/>
          </rPr>
          <t xml:space="preserve">See notes on CFC11
</t>
        </r>
      </text>
    </comment>
    <comment ref="A261" authorId="0" shapeId="0" xr:uid="{B7A88F98-F0D7-46B7-ABB2-6AD8A4372D5E}">
      <text>
        <r>
          <rPr>
            <sz val="9"/>
            <color indexed="81"/>
            <rFont val="Tahoma"/>
            <family val="2"/>
          </rPr>
          <t xml:space="preserve">CHFClCHFCHFCl,
1,3-Dichloro-1,2,3-trifluoropropane
</t>
        </r>
      </text>
    </comment>
    <comment ref="C261" authorId="0" shapeId="0" xr:uid="{A02C5097-2CAC-4C7A-AA79-2D571BF3E683}">
      <text>
        <r>
          <rPr>
            <sz val="9"/>
            <color indexed="81"/>
            <rFont val="Tahoma"/>
            <family val="2"/>
          </rPr>
          <t>https://csl.noaa.gov/groups/csl5/datasets/data/hcfcs/Summary%20HCFC-243.pdf</t>
        </r>
      </text>
    </comment>
    <comment ref="D261" authorId="0" shapeId="0" xr:uid="{4C3E1D28-D1E5-4938-8DE6-DE8924E3CE73}">
      <text>
        <r>
          <rPr>
            <sz val="9"/>
            <color indexed="81"/>
            <rFont val="Tahoma"/>
            <family val="2"/>
          </rPr>
          <t xml:space="preserve">Uncertainty estimated from difference between well-mixed (121) and lifetime adjusted (98) GWP </t>
        </r>
      </text>
    </comment>
    <comment ref="E261" authorId="0" shapeId="0" xr:uid="{BB47CF1C-7293-45EC-AD12-63A028866955}">
      <text>
        <r>
          <rPr>
            <sz val="9"/>
            <color indexed="81"/>
            <rFont val="Tahoma"/>
            <family val="2"/>
          </rPr>
          <t>https://csl.noaa.gov/groups/csl5/datasets/data/hcfcs/Summary%20HCFC-243.pdf</t>
        </r>
      </text>
    </comment>
    <comment ref="F261" authorId="0" shapeId="0" xr:uid="{22A99F33-393B-4111-B609-4B337557C587}">
      <text>
        <r>
          <rPr>
            <sz val="9"/>
            <color indexed="81"/>
            <rFont val="Tahoma"/>
            <family val="2"/>
          </rPr>
          <t>Assumed to be subject to the same kind of uncertainties as the GWP estimate</t>
        </r>
        <r>
          <rPr>
            <sz val="9"/>
            <color indexed="81"/>
            <rFont val="Tahoma"/>
            <family val="2"/>
          </rPr>
          <t xml:space="preserve">
</t>
        </r>
      </text>
    </comment>
    <comment ref="G261" authorId="0" shapeId="0" xr:uid="{F9503CC3-703B-4AC1-98DC-CF251D1252FF}">
      <text>
        <r>
          <rPr>
            <sz val="9"/>
            <color indexed="81"/>
            <rFont val="Tahoma"/>
            <family val="2"/>
          </rPr>
          <t xml:space="preserve">See note on CFC-11
</t>
        </r>
      </text>
    </comment>
    <comment ref="I261" authorId="0" shapeId="0" xr:uid="{BAA38631-5A6F-4C48-9D1B-085513BEF46D}">
      <text>
        <r>
          <rPr>
            <sz val="9"/>
            <color indexed="81"/>
            <rFont val="Tahoma"/>
            <family val="2"/>
          </rPr>
          <t xml:space="preserve">See note on CFC-11
</t>
        </r>
      </text>
    </comment>
    <comment ref="J261" authorId="0" shapeId="0" xr:uid="{481A15DF-0854-43AA-8A01-ECCE1086990A}">
      <text>
        <r>
          <rPr>
            <sz val="9"/>
            <color indexed="81"/>
            <rFont val="Tahoma"/>
            <family val="2"/>
          </rPr>
          <t xml:space="preserve">See notes on CFC11
</t>
        </r>
      </text>
    </comment>
    <comment ref="A262" authorId="0" shapeId="0" xr:uid="{4EEBFE43-55A4-4816-9985-0339DFB06508}">
      <text>
        <r>
          <rPr>
            <sz val="9"/>
            <color indexed="81"/>
            <rFont val="Tahoma"/>
            <family val="2"/>
          </rPr>
          <t>CHCl2CHFCHF2,
1,1-Dichloro-2,3,3-trifluoropropane</t>
        </r>
      </text>
    </comment>
    <comment ref="C262" authorId="0" shapeId="0" xr:uid="{6DEB44B7-FDA6-4AD5-BB07-871EFCAC5F4A}">
      <text>
        <r>
          <rPr>
            <sz val="9"/>
            <color indexed="81"/>
            <rFont val="Tahoma"/>
            <family val="2"/>
          </rPr>
          <t>https://csl.noaa.gov/groups/csl5/datasets/data/hcfcs/Summary%20HCFC-243.pdf</t>
        </r>
      </text>
    </comment>
    <comment ref="D262" authorId="0" shapeId="0" xr:uid="{6DEE3427-B4C3-47CF-AE19-B3BD6F29BFB2}">
      <text>
        <r>
          <rPr>
            <sz val="9"/>
            <color indexed="81"/>
            <rFont val="Tahoma"/>
            <family val="2"/>
          </rPr>
          <t xml:space="preserve">Uncertainty estimated from difference between well-mixed (64) and lifetime adjusted (46) GWP </t>
        </r>
      </text>
    </comment>
    <comment ref="E262" authorId="0" shapeId="0" xr:uid="{758BB7EF-85CD-4ED9-B311-DCCC858791B7}">
      <text>
        <r>
          <rPr>
            <sz val="9"/>
            <color indexed="81"/>
            <rFont val="Tahoma"/>
            <family val="2"/>
          </rPr>
          <t>https://csl.noaa.gov/groups/csl5/datasets/data/hcfcs/Summary%20HCFC-243.pdf</t>
        </r>
      </text>
    </comment>
    <comment ref="F262" authorId="0" shapeId="0" xr:uid="{74B6ABDF-A70B-4D0F-AAAC-B572D068E4D2}">
      <text>
        <r>
          <rPr>
            <sz val="9"/>
            <color indexed="81"/>
            <rFont val="Tahoma"/>
            <family val="2"/>
          </rPr>
          <t>Assumed to be subject to the same kind of uncertainties as the GWP estimate</t>
        </r>
        <r>
          <rPr>
            <sz val="9"/>
            <color indexed="81"/>
            <rFont val="Tahoma"/>
            <family val="2"/>
          </rPr>
          <t xml:space="preserve">
</t>
        </r>
      </text>
    </comment>
    <comment ref="G262" authorId="0" shapeId="0" xr:uid="{6C843FAD-85B2-4CAA-A77E-76DBBB3D3FC2}">
      <text>
        <r>
          <rPr>
            <sz val="9"/>
            <color indexed="81"/>
            <rFont val="Tahoma"/>
            <family val="2"/>
          </rPr>
          <t xml:space="preserve">See note on CFC-11
</t>
        </r>
      </text>
    </comment>
    <comment ref="I262" authorId="0" shapeId="0" xr:uid="{79184F24-21B1-49FD-8885-344B69DD00F6}">
      <text>
        <r>
          <rPr>
            <sz val="9"/>
            <color indexed="81"/>
            <rFont val="Tahoma"/>
            <family val="2"/>
          </rPr>
          <t xml:space="preserve">See note on CFC-11
</t>
        </r>
      </text>
    </comment>
    <comment ref="J262" authorId="0" shapeId="0" xr:uid="{00D3F105-9A97-465D-9366-353EFA3D6B7E}">
      <text>
        <r>
          <rPr>
            <sz val="9"/>
            <color indexed="81"/>
            <rFont val="Tahoma"/>
            <family val="2"/>
          </rPr>
          <t xml:space="preserve">See notes on CFC11
</t>
        </r>
      </text>
    </comment>
    <comment ref="A263" authorId="0" shapeId="0" xr:uid="{F59D9331-0E43-4659-8DE3-8DF04EFA4A42}">
      <text>
        <r>
          <rPr>
            <sz val="9"/>
            <color indexed="81"/>
            <rFont val="Tahoma"/>
            <family val="2"/>
          </rPr>
          <t xml:space="preserve">CH2ClCHFCF2Cl,
1,3-Dichloro-1,1,2-trifluoropropane
</t>
        </r>
      </text>
    </comment>
    <comment ref="C263" authorId="0" shapeId="0" xr:uid="{C73CA911-4F42-45CE-9248-080D1056FB66}">
      <text>
        <r>
          <rPr>
            <sz val="9"/>
            <color indexed="81"/>
            <rFont val="Tahoma"/>
            <family val="2"/>
          </rPr>
          <t>https://csl.noaa.gov/groups/csl5/datasets/data/hcfcs/Summary%20HCFC-243.pdf</t>
        </r>
      </text>
    </comment>
    <comment ref="D263" authorId="0" shapeId="0" xr:uid="{FD49B730-CF34-4864-83B1-53C86B075264}">
      <text>
        <r>
          <rPr>
            <sz val="9"/>
            <color indexed="81"/>
            <rFont val="Tahoma"/>
            <family val="2"/>
          </rPr>
          <t xml:space="preserve">Uncertainty estimated from difference between well-mixed (137) and lifetime adjusted (113) GWP </t>
        </r>
      </text>
    </comment>
    <comment ref="E263" authorId="0" shapeId="0" xr:uid="{6EDC3CFD-E9F8-42DF-841A-11A63E8A2060}">
      <text>
        <r>
          <rPr>
            <sz val="9"/>
            <color indexed="81"/>
            <rFont val="Tahoma"/>
            <family val="2"/>
          </rPr>
          <t>https://csl.noaa.gov/groups/csl5/datasets/data/hcfcs/Summary%20HCFC-243.pdf</t>
        </r>
      </text>
    </comment>
    <comment ref="F263" authorId="0" shapeId="0" xr:uid="{0B0F4454-1085-44A2-9059-AA1C42573ED7}">
      <text>
        <r>
          <rPr>
            <sz val="9"/>
            <color indexed="81"/>
            <rFont val="Tahoma"/>
            <family val="2"/>
          </rPr>
          <t>Assumed to be subject to the same kind of uncertainties as the GWP estimate</t>
        </r>
        <r>
          <rPr>
            <sz val="9"/>
            <color indexed="81"/>
            <rFont val="Tahoma"/>
            <family val="2"/>
          </rPr>
          <t xml:space="preserve">
</t>
        </r>
      </text>
    </comment>
    <comment ref="G263" authorId="0" shapeId="0" xr:uid="{DE23A7B2-0EF8-4592-9EAF-3972F0512A05}">
      <text>
        <r>
          <rPr>
            <sz val="9"/>
            <color indexed="81"/>
            <rFont val="Tahoma"/>
            <family val="2"/>
          </rPr>
          <t xml:space="preserve">See note on CFC-11
</t>
        </r>
      </text>
    </comment>
    <comment ref="I263" authorId="0" shapeId="0" xr:uid="{0295B045-30AE-47DB-9D48-01D423DAECE8}">
      <text>
        <r>
          <rPr>
            <sz val="9"/>
            <color indexed="81"/>
            <rFont val="Tahoma"/>
            <family val="2"/>
          </rPr>
          <t xml:space="preserve">See note on CFC-11
</t>
        </r>
      </text>
    </comment>
    <comment ref="J263" authorId="0" shapeId="0" xr:uid="{63F52719-35B1-4157-912B-58954FB44789}">
      <text>
        <r>
          <rPr>
            <sz val="9"/>
            <color indexed="81"/>
            <rFont val="Tahoma"/>
            <family val="2"/>
          </rPr>
          <t xml:space="preserve">See notes on CFC11
</t>
        </r>
      </text>
    </comment>
    <comment ref="A264" authorId="0" shapeId="0" xr:uid="{7AF1ADFE-898C-4132-9C71-96E24848BD27}">
      <text>
        <r>
          <rPr>
            <sz val="9"/>
            <color indexed="81"/>
            <rFont val="Tahoma"/>
            <family val="2"/>
          </rPr>
          <t xml:space="preserve">CH2FCHFCFCl2,
1,1-Dichloro-1,2,3-trifluoropropane
</t>
        </r>
      </text>
    </comment>
    <comment ref="C264" authorId="0" shapeId="0" xr:uid="{07FC17D2-E716-41CE-8ECD-C262441F2079}">
      <text>
        <r>
          <rPr>
            <sz val="9"/>
            <color indexed="81"/>
            <rFont val="Tahoma"/>
            <family val="2"/>
          </rPr>
          <t>https://csl.noaa.gov/groups/csl5/datasets/data/hcfcs/Summary%20HCFC-243.pdf</t>
        </r>
      </text>
    </comment>
    <comment ref="D264" authorId="0" shapeId="0" xr:uid="{4770F3EE-C484-4FA7-9CF5-2D64471BAF69}">
      <text>
        <r>
          <rPr>
            <sz val="9"/>
            <color indexed="81"/>
            <rFont val="Tahoma"/>
            <family val="2"/>
          </rPr>
          <t xml:space="preserve">Uncertainty estimated from difference between well-mixed (188) and lifetime adjusted (159) GWP </t>
        </r>
      </text>
    </comment>
    <comment ref="E264" authorId="0" shapeId="0" xr:uid="{E6D81678-6D65-4BA1-A4F8-1AEEAEB7419E}">
      <text>
        <r>
          <rPr>
            <sz val="9"/>
            <color indexed="81"/>
            <rFont val="Tahoma"/>
            <family val="2"/>
          </rPr>
          <t>https://csl.noaa.gov/groups/csl5/datasets/data/hcfcs/Summary%20HCFC-243.pdf</t>
        </r>
      </text>
    </comment>
    <comment ref="F264" authorId="0" shapeId="0" xr:uid="{A8D78D97-25C0-4EA1-97C1-7B82A18DA4C3}">
      <text>
        <r>
          <rPr>
            <sz val="9"/>
            <color indexed="81"/>
            <rFont val="Tahoma"/>
            <family val="2"/>
          </rPr>
          <t>Assumed to be subject to the same kind of uncertainties as the GWP estimate</t>
        </r>
        <r>
          <rPr>
            <sz val="9"/>
            <color indexed="81"/>
            <rFont val="Tahoma"/>
            <family val="2"/>
          </rPr>
          <t xml:space="preserve">
</t>
        </r>
      </text>
    </comment>
    <comment ref="G264" authorId="0" shapeId="0" xr:uid="{A31BF0DE-43D6-4E80-883F-1401AF398F5C}">
      <text>
        <r>
          <rPr>
            <sz val="9"/>
            <color indexed="81"/>
            <rFont val="Tahoma"/>
            <family val="2"/>
          </rPr>
          <t xml:space="preserve">See note on CFC-11
</t>
        </r>
      </text>
    </comment>
    <comment ref="I264" authorId="0" shapeId="0" xr:uid="{EFCB9F44-F3E9-4FF3-9753-0C3072A28DBC}">
      <text>
        <r>
          <rPr>
            <sz val="9"/>
            <color indexed="81"/>
            <rFont val="Tahoma"/>
            <family val="2"/>
          </rPr>
          <t xml:space="preserve">See note on CFC-11
</t>
        </r>
      </text>
    </comment>
    <comment ref="J264" authorId="0" shapeId="0" xr:uid="{A8D6AB55-D5C6-4A21-9D2C-73D6AA2C3C1D}">
      <text>
        <r>
          <rPr>
            <sz val="9"/>
            <color indexed="81"/>
            <rFont val="Tahoma"/>
            <family val="2"/>
          </rPr>
          <t xml:space="preserve">See notes on CFC11
</t>
        </r>
      </text>
    </comment>
    <comment ref="A265" authorId="0" shapeId="0" xr:uid="{658B1D44-C6B2-45DF-8E09-4BA634FE0E4B}">
      <text>
        <r>
          <rPr>
            <sz val="9"/>
            <color indexed="81"/>
            <rFont val="Tahoma"/>
            <family val="2"/>
          </rPr>
          <t xml:space="preserve">CHCl2CH2CF3,
3,3-Dichloro-1,1,1-trifluoropropane
</t>
        </r>
      </text>
    </comment>
    <comment ref="C265" authorId="0" shapeId="0" xr:uid="{234AAF85-B23B-4BF7-930D-CD5D3EE0CEC5}">
      <text>
        <r>
          <rPr>
            <sz val="9"/>
            <color indexed="81"/>
            <rFont val="Tahoma"/>
            <family val="2"/>
          </rPr>
          <t>https://csl.noaa.gov/groups/csl5/datasets/data/hcfcs/Summary%20HCFC-243.pdf</t>
        </r>
      </text>
    </comment>
    <comment ref="D265" authorId="0" shapeId="0" xr:uid="{E4EC2378-3B55-4623-9FE1-7C195411A2EB}">
      <text>
        <r>
          <rPr>
            <sz val="9"/>
            <color indexed="81"/>
            <rFont val="Tahoma"/>
            <family val="2"/>
          </rPr>
          <t xml:space="preserve">Uncertainty estimated from difference between well-mixed (49) and lifetime adjusted (34) GWP </t>
        </r>
      </text>
    </comment>
    <comment ref="E265" authorId="0" shapeId="0" xr:uid="{C7342F92-ADE0-48A2-A79D-4C23E854BE36}">
      <text>
        <r>
          <rPr>
            <sz val="9"/>
            <color indexed="81"/>
            <rFont val="Tahoma"/>
            <family val="2"/>
          </rPr>
          <t>https://csl.noaa.gov/groups/csl5/datasets/data/hcfcs/Summary%20HCFC-243.pdf</t>
        </r>
      </text>
    </comment>
    <comment ref="F265" authorId="0" shapeId="0" xr:uid="{5E1C854C-8905-4D13-9BE4-05F24C2B3587}">
      <text>
        <r>
          <rPr>
            <sz val="9"/>
            <color indexed="81"/>
            <rFont val="Tahoma"/>
            <family val="2"/>
          </rPr>
          <t>Assumed to be subject to the same kind of uncertainties as the GWP estimate</t>
        </r>
        <r>
          <rPr>
            <sz val="9"/>
            <color indexed="81"/>
            <rFont val="Tahoma"/>
            <family val="2"/>
          </rPr>
          <t xml:space="preserve">
</t>
        </r>
      </text>
    </comment>
    <comment ref="G265" authorId="0" shapeId="0" xr:uid="{AEAF5410-3B70-4637-831C-55CE7EE3B162}">
      <text>
        <r>
          <rPr>
            <sz val="9"/>
            <color indexed="81"/>
            <rFont val="Tahoma"/>
            <family val="2"/>
          </rPr>
          <t xml:space="preserve">See note on CFC-11
</t>
        </r>
      </text>
    </comment>
    <comment ref="I265" authorId="0" shapeId="0" xr:uid="{042E841B-A1F6-4A85-A360-FE869A6F91B1}">
      <text>
        <r>
          <rPr>
            <sz val="9"/>
            <color indexed="81"/>
            <rFont val="Tahoma"/>
            <family val="2"/>
          </rPr>
          <t xml:space="preserve">See note on CFC-11
</t>
        </r>
      </text>
    </comment>
    <comment ref="J265" authorId="0" shapeId="0" xr:uid="{904702AB-99A2-4817-A179-65F2BD1235D1}">
      <text>
        <r>
          <rPr>
            <sz val="9"/>
            <color indexed="81"/>
            <rFont val="Tahoma"/>
            <family val="2"/>
          </rPr>
          <t xml:space="preserve">See notes on CFC11
</t>
        </r>
      </text>
    </comment>
    <comment ref="A266" authorId="0" shapeId="0" xr:uid="{3BA2D955-908D-49C3-B5B7-EC68F6D747E4}">
      <text>
        <r>
          <rPr>
            <sz val="9"/>
            <color indexed="81"/>
            <rFont val="Tahoma"/>
            <family val="2"/>
          </rPr>
          <t xml:space="preserve">CHFClCH2CF2Cl,
1,3-Dichloro-1,1,3-trifluoropropane
</t>
        </r>
      </text>
    </comment>
    <comment ref="C266" authorId="0" shapeId="0" xr:uid="{ECFB8FC3-FD60-48AF-9427-84D0C7FE499F}">
      <text>
        <r>
          <rPr>
            <sz val="9"/>
            <color indexed="81"/>
            <rFont val="Tahoma"/>
            <family val="2"/>
          </rPr>
          <t>https://csl.noaa.gov/groups/csl5/datasets/data/hcfcs/Summary%20HCFC-243.pdf</t>
        </r>
      </text>
    </comment>
    <comment ref="D266" authorId="0" shapeId="0" xr:uid="{8AAFE726-4B6A-4A06-9F53-E9428C9AFDF3}">
      <text>
        <r>
          <rPr>
            <sz val="9"/>
            <color indexed="81"/>
            <rFont val="Tahoma"/>
            <family val="2"/>
          </rPr>
          <t xml:space="preserve">Uncertainty estimated from difference between well-mixed (221) and lifetime adjusted (189) GWP </t>
        </r>
      </text>
    </comment>
    <comment ref="E266" authorId="0" shapeId="0" xr:uid="{E4024602-C3FF-4CF4-9704-61AAD5611CA3}">
      <text>
        <r>
          <rPr>
            <sz val="9"/>
            <color indexed="81"/>
            <rFont val="Tahoma"/>
            <family val="2"/>
          </rPr>
          <t>https://csl.noaa.gov/groups/csl5/datasets/data/hcfcs/Summary%20HCFC-243.pdf</t>
        </r>
      </text>
    </comment>
    <comment ref="F266" authorId="0" shapeId="0" xr:uid="{C373A654-ECDE-4785-9C4C-91250D125B0B}">
      <text>
        <r>
          <rPr>
            <sz val="9"/>
            <color indexed="81"/>
            <rFont val="Tahoma"/>
            <family val="2"/>
          </rPr>
          <t>Assumed to be subject to the same kind of uncertainties as the GWP estimate</t>
        </r>
        <r>
          <rPr>
            <sz val="9"/>
            <color indexed="81"/>
            <rFont val="Tahoma"/>
            <family val="2"/>
          </rPr>
          <t xml:space="preserve">
</t>
        </r>
      </text>
    </comment>
    <comment ref="G266" authorId="0" shapeId="0" xr:uid="{71C4729D-4BD9-4C4E-8D51-FDDE6707D29E}">
      <text>
        <r>
          <rPr>
            <sz val="9"/>
            <color indexed="81"/>
            <rFont val="Tahoma"/>
            <family val="2"/>
          </rPr>
          <t xml:space="preserve">See note on CFC-11
</t>
        </r>
      </text>
    </comment>
    <comment ref="I266" authorId="0" shapeId="0" xr:uid="{7CAE5396-E028-41E4-AABB-26B6915B28D1}">
      <text>
        <r>
          <rPr>
            <sz val="9"/>
            <color indexed="81"/>
            <rFont val="Tahoma"/>
            <family val="2"/>
          </rPr>
          <t xml:space="preserve">See note on CFC-11
</t>
        </r>
      </text>
    </comment>
    <comment ref="J266" authorId="0" shapeId="0" xr:uid="{E836952F-8647-4434-AB06-DCAC36C4386C}">
      <text>
        <r>
          <rPr>
            <sz val="9"/>
            <color indexed="81"/>
            <rFont val="Tahoma"/>
            <family val="2"/>
          </rPr>
          <t xml:space="preserve">See notes on CFC11
</t>
        </r>
      </text>
    </comment>
    <comment ref="A267" authorId="0" shapeId="0" xr:uid="{1FB69271-51DD-467C-8778-6DCE6D3E2EFA}">
      <text>
        <r>
          <rPr>
            <sz val="9"/>
            <color indexed="81"/>
            <rFont val="Tahoma"/>
            <family val="2"/>
          </rPr>
          <t xml:space="preserve">CHF2CH2CFCl2,
1,1-Dichloro-1,3,3-trifluoropropane
</t>
        </r>
      </text>
    </comment>
    <comment ref="C267" authorId="0" shapeId="0" xr:uid="{39AA25BE-D154-4872-99F2-BDCDC1033157}">
      <text>
        <r>
          <rPr>
            <sz val="9"/>
            <color indexed="81"/>
            <rFont val="Tahoma"/>
            <family val="2"/>
          </rPr>
          <t>https://csl.noaa.gov/groups/csl5/datasets/data/hcfcs/Summary%20HCFC-243.pdf</t>
        </r>
      </text>
    </comment>
    <comment ref="D267" authorId="0" shapeId="0" xr:uid="{A6259077-A3B1-42AF-BD2C-5B8E54B9AE4F}">
      <text>
        <r>
          <rPr>
            <sz val="9"/>
            <color indexed="81"/>
            <rFont val="Tahoma"/>
            <family val="2"/>
          </rPr>
          <t xml:space="preserve">Uncertainty estimated from difference between well-mixed (527) and lifetime adjusted (486) GWP </t>
        </r>
      </text>
    </comment>
    <comment ref="E267" authorId="0" shapeId="0" xr:uid="{4DA5BEB6-F97F-46D5-A6E3-4BC1489F8D28}">
      <text>
        <r>
          <rPr>
            <sz val="9"/>
            <color indexed="81"/>
            <rFont val="Tahoma"/>
            <family val="2"/>
          </rPr>
          <t>https://csl.noaa.gov/groups/csl5/datasets/data/hcfcs/Summary%20HCFC-243.pdf</t>
        </r>
      </text>
    </comment>
    <comment ref="F267" authorId="0" shapeId="0" xr:uid="{A7E667BD-5692-44EA-9DEE-5DD6183E00F9}">
      <text>
        <r>
          <rPr>
            <sz val="9"/>
            <color indexed="81"/>
            <rFont val="Tahoma"/>
            <family val="2"/>
          </rPr>
          <t>Assumed to be subject to the same kind of uncertainties as the GWP estimate</t>
        </r>
        <r>
          <rPr>
            <sz val="9"/>
            <color indexed="81"/>
            <rFont val="Tahoma"/>
            <family val="2"/>
          </rPr>
          <t xml:space="preserve">
</t>
        </r>
      </text>
    </comment>
    <comment ref="G267" authorId="0" shapeId="0" xr:uid="{A5D6231A-B6C5-415A-BB2C-50141857AF98}">
      <text>
        <r>
          <rPr>
            <sz val="9"/>
            <color indexed="81"/>
            <rFont val="Tahoma"/>
            <family val="2"/>
          </rPr>
          <t xml:space="preserve">See note on CFC-11
</t>
        </r>
      </text>
    </comment>
    <comment ref="I267" authorId="0" shapeId="0" xr:uid="{F0FAC39D-F51D-4FFB-B341-451D23C7DD35}">
      <text>
        <r>
          <rPr>
            <sz val="9"/>
            <color indexed="81"/>
            <rFont val="Tahoma"/>
            <family val="2"/>
          </rPr>
          <t xml:space="preserve">See note on CFC-11
</t>
        </r>
      </text>
    </comment>
    <comment ref="J267" authorId="0" shapeId="0" xr:uid="{B5E406AC-4C38-4CF5-833C-9CFCCF91F8B1}">
      <text>
        <r>
          <rPr>
            <sz val="9"/>
            <color indexed="81"/>
            <rFont val="Tahoma"/>
            <family val="2"/>
          </rPr>
          <t xml:space="preserve">See notes on CFC11
</t>
        </r>
      </text>
    </comment>
    <comment ref="A268" authorId="0" shapeId="0" xr:uid="{4541824D-1DBF-4787-B2E5-2B65759DD931}">
      <text>
        <r>
          <rPr>
            <sz val="9"/>
            <color indexed="81"/>
            <rFont val="Tahoma"/>
            <family val="2"/>
          </rPr>
          <t xml:space="preserve">CH2FCClFCHF2,
2-Chloro-1,1,2,3-tetrafluoropropane
</t>
        </r>
      </text>
    </comment>
    <comment ref="C268" authorId="0" shapeId="0" xr:uid="{B45C9B50-1E1D-446F-A1C0-7A2045726F28}">
      <text>
        <r>
          <rPr>
            <sz val="9"/>
            <color indexed="81"/>
            <rFont val="Tahoma"/>
            <family val="2"/>
          </rPr>
          <t>https://csl.noaa.gov/groups/csl5/datasets/data/hcfcs/Summary%20HCFC-244.pdf</t>
        </r>
      </text>
    </comment>
    <comment ref="D268" authorId="0" shapeId="0" xr:uid="{1E6E4360-8E2B-4F0B-B192-C58CF380B2D7}">
      <text>
        <r>
          <rPr>
            <sz val="9"/>
            <color indexed="81"/>
            <rFont val="Tahoma"/>
            <family val="2"/>
          </rPr>
          <t xml:space="preserve">Uncertainty estimated from difference between well-mixed (392) and lifetime adjusted (362) GWP </t>
        </r>
      </text>
    </comment>
    <comment ref="E268" authorId="0" shapeId="0" xr:uid="{45D675B2-ADD4-4EE8-BA04-3BF2712DF069}">
      <text>
        <r>
          <rPr>
            <sz val="9"/>
            <color indexed="81"/>
            <rFont val="Tahoma"/>
            <family val="2"/>
          </rPr>
          <t>https://csl.noaa.gov/groups/csl5/datasets/data/hcfcs/Summary%20HCFC-244.pdf</t>
        </r>
      </text>
    </comment>
    <comment ref="F268" authorId="0" shapeId="0" xr:uid="{C7D2B6DC-5301-4E83-A3CF-282D8A34DC45}">
      <text>
        <r>
          <rPr>
            <sz val="9"/>
            <color indexed="81"/>
            <rFont val="Tahoma"/>
            <family val="2"/>
          </rPr>
          <t>Assumed to be subject to the same kind of uncertainties as the GWP estimate</t>
        </r>
        <r>
          <rPr>
            <sz val="9"/>
            <color indexed="81"/>
            <rFont val="Tahoma"/>
            <family val="2"/>
          </rPr>
          <t xml:space="preserve">
</t>
        </r>
      </text>
    </comment>
    <comment ref="G268" authorId="0" shapeId="0" xr:uid="{AE36C582-7355-4BEC-B821-E8D680C3334E}">
      <text>
        <r>
          <rPr>
            <sz val="9"/>
            <color indexed="81"/>
            <rFont val="Tahoma"/>
            <family val="2"/>
          </rPr>
          <t xml:space="preserve">See note on CFC-11
</t>
        </r>
      </text>
    </comment>
    <comment ref="I268" authorId="0" shapeId="0" xr:uid="{1050293F-79BC-4F81-8D3E-8F026126D0B7}">
      <text>
        <r>
          <rPr>
            <sz val="9"/>
            <color indexed="81"/>
            <rFont val="Tahoma"/>
            <family val="2"/>
          </rPr>
          <t xml:space="preserve">See note on CFC-11
</t>
        </r>
      </text>
    </comment>
    <comment ref="J268" authorId="0" shapeId="0" xr:uid="{F2C4DA62-E213-42B3-A664-CDCDC45EF40D}">
      <text>
        <r>
          <rPr>
            <sz val="9"/>
            <color indexed="81"/>
            <rFont val="Tahoma"/>
            <family val="2"/>
          </rPr>
          <t xml:space="preserve">See notes on CFC11
</t>
        </r>
      </text>
    </comment>
    <comment ref="A269" authorId="0" shapeId="0" xr:uid="{E399C845-4F8C-4FBE-88AC-B19D78B60B41}">
      <text>
        <r>
          <rPr>
            <sz val="9"/>
            <color indexed="81"/>
            <rFont val="Tahoma"/>
            <family val="2"/>
          </rPr>
          <t xml:space="preserve">CH3CClFCF3,
2-Chloro-1,1,1,2-tetrafluoropropane
</t>
        </r>
      </text>
    </comment>
    <comment ref="C269" authorId="0" shapeId="0" xr:uid="{827A65DA-89B5-4427-9530-5ED91310656E}">
      <text>
        <r>
          <rPr>
            <sz val="9"/>
            <color indexed="81"/>
            <rFont val="Tahoma"/>
            <family val="2"/>
          </rPr>
          <t>https://csl.noaa.gov/groups/csl5/datasets/data/hcfcs/Summary%20HCFC-244.pdf</t>
        </r>
      </text>
    </comment>
    <comment ref="D269" authorId="0" shapeId="0" xr:uid="{B4E3B164-6D73-4A5F-91B0-B6D1B4B76195}">
      <text>
        <r>
          <rPr>
            <sz val="9"/>
            <color indexed="81"/>
            <rFont val="Tahoma"/>
            <family val="2"/>
          </rPr>
          <t xml:space="preserve">Uncertainty estimated from difference between well-mixed (1644) and lifetime adjusted (1592) GWP </t>
        </r>
      </text>
    </comment>
    <comment ref="E269" authorId="0" shapeId="0" xr:uid="{AA5DD645-8715-41C7-94B2-6E8765706480}">
      <text>
        <r>
          <rPr>
            <sz val="9"/>
            <color indexed="81"/>
            <rFont val="Tahoma"/>
            <family val="2"/>
          </rPr>
          <t>https://csl.noaa.gov/groups/csl5/datasets/data/hcfcs/Summary%20HCFC-244.pdf</t>
        </r>
      </text>
    </comment>
    <comment ref="F269" authorId="0" shapeId="0" xr:uid="{0AA1C897-B137-435E-8CB1-C77297F7D322}">
      <text>
        <r>
          <rPr>
            <sz val="9"/>
            <color indexed="81"/>
            <rFont val="Tahoma"/>
            <family val="2"/>
          </rPr>
          <t>Assumed to be subject to the same kind of uncertainties as the GWP estimate</t>
        </r>
        <r>
          <rPr>
            <sz val="9"/>
            <color indexed="81"/>
            <rFont val="Tahoma"/>
            <family val="2"/>
          </rPr>
          <t xml:space="preserve">
</t>
        </r>
      </text>
    </comment>
    <comment ref="G269" authorId="0" shapeId="0" xr:uid="{9B3C1209-1FA3-4F5E-98B6-F2E6482E705E}">
      <text>
        <r>
          <rPr>
            <sz val="9"/>
            <color indexed="81"/>
            <rFont val="Tahoma"/>
            <family val="2"/>
          </rPr>
          <t xml:space="preserve">See note on CFC-11
</t>
        </r>
      </text>
    </comment>
    <comment ref="I269" authorId="0" shapeId="0" xr:uid="{998BF6CD-95D0-4A4E-9CDF-B0ECD00AC3B6}">
      <text>
        <r>
          <rPr>
            <sz val="9"/>
            <color indexed="81"/>
            <rFont val="Tahoma"/>
            <family val="2"/>
          </rPr>
          <t xml:space="preserve">See note on CFC-11
</t>
        </r>
      </text>
    </comment>
    <comment ref="J269" authorId="0" shapeId="0" xr:uid="{52B8F450-41F6-4444-896B-A876891262DE}">
      <text>
        <r>
          <rPr>
            <sz val="9"/>
            <color indexed="81"/>
            <rFont val="Tahoma"/>
            <family val="2"/>
          </rPr>
          <t xml:space="preserve">See notes on CFC11
</t>
        </r>
      </text>
    </comment>
    <comment ref="A270" authorId="0" shapeId="0" xr:uid="{3C2FC4FF-8971-4F2D-B04B-B4F9E6E0B288}">
      <text>
        <r>
          <rPr>
            <sz val="9"/>
            <color indexed="81"/>
            <rFont val="Tahoma"/>
            <family val="2"/>
          </rPr>
          <t xml:space="preserve">CH2ClCF2CHF2,
3-Chloro-1,1,2,2-tetrafluoropropane
</t>
        </r>
      </text>
    </comment>
    <comment ref="C270" authorId="0" shapeId="0" xr:uid="{E642285C-89CC-481B-9782-0BDC6944B7DC}">
      <text>
        <r>
          <rPr>
            <sz val="9"/>
            <color indexed="81"/>
            <rFont val="Tahoma"/>
            <family val="2"/>
          </rPr>
          <t>https://csl.noaa.gov/groups/csl5/datasets/data/hcfcs/Summary%20HCFC-244.pdf</t>
        </r>
      </text>
    </comment>
    <comment ref="D270" authorId="0" shapeId="0" xr:uid="{F697F4C6-F404-4498-A67F-643EBA3A0B46}">
      <text>
        <r>
          <rPr>
            <sz val="9"/>
            <color indexed="81"/>
            <rFont val="Tahoma"/>
            <family val="2"/>
          </rPr>
          <t xml:space="preserve">Uncertainty estimated from difference between well-mixed (477) and lifetime adjusted (447) GWP </t>
        </r>
      </text>
    </comment>
    <comment ref="E270" authorId="0" shapeId="0" xr:uid="{60B45305-6709-437D-961D-5D61FE201DA7}">
      <text>
        <r>
          <rPr>
            <sz val="9"/>
            <color indexed="81"/>
            <rFont val="Tahoma"/>
            <family val="2"/>
          </rPr>
          <t>https://csl.noaa.gov/groups/csl5/datasets/data/hcfcs/Summary%20HCFC-244.pdf</t>
        </r>
      </text>
    </comment>
    <comment ref="F270" authorId="0" shapeId="0" xr:uid="{0C56D539-0886-40CC-924C-E0D65423BAF3}">
      <text>
        <r>
          <rPr>
            <sz val="9"/>
            <color indexed="81"/>
            <rFont val="Tahoma"/>
            <family val="2"/>
          </rPr>
          <t>Assumed to be subject to the same kind of uncertainties as the GWP estimate</t>
        </r>
        <r>
          <rPr>
            <sz val="9"/>
            <color indexed="81"/>
            <rFont val="Tahoma"/>
            <family val="2"/>
          </rPr>
          <t xml:space="preserve">
</t>
        </r>
      </text>
    </comment>
    <comment ref="G270" authorId="0" shapeId="0" xr:uid="{F69F42AB-263C-44F2-AA58-CEA7CDA16512}">
      <text>
        <r>
          <rPr>
            <sz val="9"/>
            <color indexed="81"/>
            <rFont val="Tahoma"/>
            <family val="2"/>
          </rPr>
          <t xml:space="preserve">See note on CFC-11
</t>
        </r>
      </text>
    </comment>
    <comment ref="I270" authorId="0" shapeId="0" xr:uid="{BBC480E8-9A55-42C4-A2C1-996C20BD4092}">
      <text>
        <r>
          <rPr>
            <sz val="9"/>
            <color indexed="81"/>
            <rFont val="Tahoma"/>
            <family val="2"/>
          </rPr>
          <t xml:space="preserve">See note on CFC-11
</t>
        </r>
      </text>
    </comment>
    <comment ref="J270" authorId="0" shapeId="0" xr:uid="{D31FA3D8-00BF-4F88-AD32-9E6CAB2D85B1}">
      <text>
        <r>
          <rPr>
            <sz val="9"/>
            <color indexed="81"/>
            <rFont val="Tahoma"/>
            <family val="2"/>
          </rPr>
          <t xml:space="preserve">See notes on CFC11
</t>
        </r>
      </text>
    </comment>
    <comment ref="A271" authorId="0" shapeId="0" xr:uid="{3BDB7485-1DDF-4E62-AC83-A90337149B32}">
      <text>
        <r>
          <rPr>
            <sz val="9"/>
            <color indexed="81"/>
            <rFont val="Tahoma"/>
            <family val="2"/>
          </rPr>
          <t xml:space="preserve">CH2FCF2CHFCl,
1-Chloro-1,2,2,3-tetrafluoropropane
</t>
        </r>
      </text>
    </comment>
    <comment ref="C271" authorId="0" shapeId="0" xr:uid="{7F12BD81-AA39-4F56-BB3C-D19BEC0B55FF}">
      <text>
        <r>
          <rPr>
            <sz val="9"/>
            <color indexed="81"/>
            <rFont val="Tahoma"/>
            <family val="2"/>
          </rPr>
          <t>https://csl.noaa.gov/groups/csl5/datasets/data/hcfcs/Summary%20HCFC-244.pdf</t>
        </r>
      </text>
    </comment>
    <comment ref="D271" authorId="0" shapeId="0" xr:uid="{5708F791-0A9D-48B1-BF99-A224244E9CCE}">
      <text>
        <r>
          <rPr>
            <sz val="9"/>
            <color indexed="81"/>
            <rFont val="Tahoma"/>
            <family val="2"/>
          </rPr>
          <t xml:space="preserve">Uncertainty estimated from difference between well-mixed (319) and lifetime adjusted (289) GWP </t>
        </r>
      </text>
    </comment>
    <comment ref="E271" authorId="0" shapeId="0" xr:uid="{C28850FD-626D-493A-A47B-6CCE316C6E22}">
      <text>
        <r>
          <rPr>
            <sz val="9"/>
            <color indexed="81"/>
            <rFont val="Tahoma"/>
            <family val="2"/>
          </rPr>
          <t>https://csl.noaa.gov/groups/csl5/datasets/data/hcfcs/Summary%20HCFC-244.pdf</t>
        </r>
      </text>
    </comment>
    <comment ref="F271" authorId="0" shapeId="0" xr:uid="{F3DBEEF7-88FA-46F8-8392-FAFE951056A8}">
      <text>
        <r>
          <rPr>
            <sz val="9"/>
            <color indexed="81"/>
            <rFont val="Tahoma"/>
            <family val="2"/>
          </rPr>
          <t>Assumed to be subject to the same kind of uncertainties as the GWP estimate</t>
        </r>
        <r>
          <rPr>
            <sz val="9"/>
            <color indexed="81"/>
            <rFont val="Tahoma"/>
            <family val="2"/>
          </rPr>
          <t xml:space="preserve">
</t>
        </r>
      </text>
    </comment>
    <comment ref="G271" authorId="0" shapeId="0" xr:uid="{521B9EA2-F576-4930-B4A6-9E7EA8E0535A}">
      <text>
        <r>
          <rPr>
            <sz val="9"/>
            <color indexed="81"/>
            <rFont val="Tahoma"/>
            <family val="2"/>
          </rPr>
          <t xml:space="preserve">See note on CFC-11
</t>
        </r>
      </text>
    </comment>
    <comment ref="I271" authorId="0" shapeId="0" xr:uid="{CADD0CA6-7DDB-4EA7-9F4D-F95DED3532BB}">
      <text>
        <r>
          <rPr>
            <sz val="9"/>
            <color indexed="81"/>
            <rFont val="Tahoma"/>
            <family val="2"/>
          </rPr>
          <t xml:space="preserve">See note on CFC-11
</t>
        </r>
      </text>
    </comment>
    <comment ref="J271" authorId="0" shapeId="0" xr:uid="{09266A08-47FC-4750-9F29-F807126CAD3D}">
      <text>
        <r>
          <rPr>
            <sz val="9"/>
            <color indexed="81"/>
            <rFont val="Tahoma"/>
            <family val="2"/>
          </rPr>
          <t xml:space="preserve">See notes on CFC11
</t>
        </r>
      </text>
    </comment>
    <comment ref="A272" authorId="0" shapeId="0" xr:uid="{BE16FC3D-166C-44F5-9605-5D807ED733A6}">
      <text>
        <r>
          <rPr>
            <sz val="9"/>
            <color indexed="81"/>
            <rFont val="Tahoma"/>
            <family val="2"/>
          </rPr>
          <t>CH3CF2CF2Cl,
1-Chloro-1,1,2,2-tetrafluoropropane</t>
        </r>
      </text>
    </comment>
    <comment ref="C272" authorId="0" shapeId="0" xr:uid="{8F96763F-B914-49A3-979B-6DD9C48C67F0}">
      <text>
        <r>
          <rPr>
            <sz val="9"/>
            <color indexed="81"/>
            <rFont val="Tahoma"/>
            <family val="2"/>
          </rPr>
          <t>https://csl.noaa.gov/groups/csl5/datasets/data/hcfcs/Summary%20HCFC-244.pdf</t>
        </r>
      </text>
    </comment>
    <comment ref="D272" authorId="0" shapeId="0" xr:uid="{2640506F-3151-4310-A7B6-1208EB9E5B46}">
      <text>
        <r>
          <rPr>
            <sz val="9"/>
            <color indexed="81"/>
            <rFont val="Tahoma"/>
            <family val="2"/>
          </rPr>
          <t xml:space="preserve">Uncertainty estimated from difference between well-mixed (3439) and lifetime adjusted (3369) GWP </t>
        </r>
      </text>
    </comment>
    <comment ref="E272" authorId="0" shapeId="0" xr:uid="{30E4AC49-F85B-48BA-A84F-701CE0DEF76B}">
      <text>
        <r>
          <rPr>
            <sz val="9"/>
            <color indexed="81"/>
            <rFont val="Tahoma"/>
            <family val="2"/>
          </rPr>
          <t>https://csl.noaa.gov/groups/csl5/datasets/data/hcfcs/Summary%20HCFC-244.pdf</t>
        </r>
      </text>
    </comment>
    <comment ref="F272" authorId="0" shapeId="0" xr:uid="{A003D806-8CD1-4C06-92CB-27A3BF1C7B7B}">
      <text>
        <r>
          <rPr>
            <sz val="9"/>
            <color indexed="81"/>
            <rFont val="Tahoma"/>
            <family val="2"/>
          </rPr>
          <t>Assumed to be subject to the same kind of uncertainties as the GWP estimate</t>
        </r>
        <r>
          <rPr>
            <sz val="9"/>
            <color indexed="81"/>
            <rFont val="Tahoma"/>
            <family val="2"/>
          </rPr>
          <t xml:space="preserve">
</t>
        </r>
      </text>
    </comment>
    <comment ref="G272" authorId="0" shapeId="0" xr:uid="{612126C0-A554-4C36-8F14-C32DB6F82357}">
      <text>
        <r>
          <rPr>
            <sz val="9"/>
            <color indexed="81"/>
            <rFont val="Tahoma"/>
            <family val="2"/>
          </rPr>
          <t xml:space="preserve">See note on CFC-11
</t>
        </r>
      </text>
    </comment>
    <comment ref="I272" authorId="0" shapeId="0" xr:uid="{199B4F4C-1963-41FB-95BB-548B94144984}">
      <text>
        <r>
          <rPr>
            <sz val="9"/>
            <color indexed="81"/>
            <rFont val="Tahoma"/>
            <family val="2"/>
          </rPr>
          <t xml:space="preserve">See note on CFC-11
</t>
        </r>
      </text>
    </comment>
    <comment ref="J272" authorId="0" shapeId="0" xr:uid="{1B786627-E2D0-4033-AB48-FD7A73772929}">
      <text>
        <r>
          <rPr>
            <sz val="9"/>
            <color indexed="81"/>
            <rFont val="Tahoma"/>
            <family val="2"/>
          </rPr>
          <t xml:space="preserve">See notes on CFC11
</t>
        </r>
      </text>
    </comment>
    <comment ref="A273" authorId="0" shapeId="0" xr:uid="{E2D897A5-5BA3-4167-8EB0-D2812069A6C5}">
      <text>
        <r>
          <rPr>
            <sz val="9"/>
            <color indexed="81"/>
            <rFont val="Tahoma"/>
            <family val="2"/>
          </rPr>
          <t xml:space="preserve">CHF2CHClCHF2,
2-Chloro-1,1,3,3-tetrafluoropropane
</t>
        </r>
      </text>
    </comment>
    <comment ref="C273" authorId="0" shapeId="0" xr:uid="{B14C1B17-0409-4BDE-83F6-BE039EE84672}">
      <text>
        <r>
          <rPr>
            <sz val="9"/>
            <color indexed="81"/>
            <rFont val="Tahoma"/>
            <family val="2"/>
          </rPr>
          <t>https://csl.noaa.gov/groups/csl5/datasets/data/hcfcs/Summary%20HCFC-244.pdf</t>
        </r>
      </text>
    </comment>
    <comment ref="D273" authorId="0" shapeId="0" xr:uid="{8CD531BA-07F5-4BEC-98E8-F02C73EE50AC}">
      <text>
        <r>
          <rPr>
            <sz val="9"/>
            <color indexed="81"/>
            <rFont val="Tahoma"/>
            <family val="2"/>
          </rPr>
          <t xml:space="preserve">Uncertainty estimated from difference between well-mixed (317) and lifetime adjusted (287) GWP </t>
        </r>
      </text>
    </comment>
    <comment ref="E273" authorId="0" shapeId="0" xr:uid="{20C5C182-AED2-4F3C-BA13-68A7C950AA29}">
      <text>
        <r>
          <rPr>
            <sz val="9"/>
            <color indexed="81"/>
            <rFont val="Tahoma"/>
            <family val="2"/>
          </rPr>
          <t>https://csl.noaa.gov/groups/csl5/datasets/data/hcfcs/Summary%20HCFC-244.pdf</t>
        </r>
      </text>
    </comment>
    <comment ref="F273" authorId="0" shapeId="0" xr:uid="{426A8D6D-DD32-4E79-8042-86DC91310F2F}">
      <text>
        <r>
          <rPr>
            <sz val="9"/>
            <color indexed="81"/>
            <rFont val="Tahoma"/>
            <family val="2"/>
          </rPr>
          <t>Assumed to be subject to the same kind of uncertainties as the GWP estimate</t>
        </r>
        <r>
          <rPr>
            <sz val="9"/>
            <color indexed="81"/>
            <rFont val="Tahoma"/>
            <family val="2"/>
          </rPr>
          <t xml:space="preserve">
</t>
        </r>
      </text>
    </comment>
    <comment ref="G273" authorId="0" shapeId="0" xr:uid="{015A19CB-609E-409F-B5FE-A92D4514FAEB}">
      <text>
        <r>
          <rPr>
            <sz val="9"/>
            <color indexed="81"/>
            <rFont val="Tahoma"/>
            <family val="2"/>
          </rPr>
          <t xml:space="preserve">See note on CFC-11
</t>
        </r>
      </text>
    </comment>
    <comment ref="I273" authorId="0" shapeId="0" xr:uid="{FB468C3B-263B-4734-987E-E60E394BCA3A}">
      <text>
        <r>
          <rPr>
            <sz val="9"/>
            <color indexed="81"/>
            <rFont val="Tahoma"/>
            <family val="2"/>
          </rPr>
          <t xml:space="preserve">See note on CFC-11
</t>
        </r>
      </text>
    </comment>
    <comment ref="J273" authorId="0" shapeId="0" xr:uid="{72633D52-9F45-4DD4-AD7A-2AD8B3D7642B}">
      <text>
        <r>
          <rPr>
            <sz val="9"/>
            <color indexed="81"/>
            <rFont val="Tahoma"/>
            <family val="2"/>
          </rPr>
          <t xml:space="preserve">See notes on CFC11
</t>
        </r>
      </text>
    </comment>
    <comment ref="A274" authorId="0" shapeId="0" xr:uid="{44EFA76B-C8EA-42A9-ACEE-41BD81863456}">
      <text>
        <r>
          <rPr>
            <sz val="9"/>
            <color indexed="81"/>
            <rFont val="Tahoma"/>
            <family val="2"/>
          </rPr>
          <t xml:space="preserve">CH2FCHClCF3,
2-Chloro-1,1,1,3-tetrafluoropropane
</t>
        </r>
      </text>
    </comment>
    <comment ref="C274" authorId="0" shapeId="0" xr:uid="{CCB717A4-5FE7-4A74-82EE-DD741C5D162A}">
      <text>
        <r>
          <rPr>
            <sz val="9"/>
            <color indexed="81"/>
            <rFont val="Tahoma"/>
            <family val="2"/>
          </rPr>
          <t>https://csl.noaa.gov/groups/csl5/datasets/data/hcfcs/Summary%20HCFC-244.pdf</t>
        </r>
      </text>
    </comment>
    <comment ref="D274" authorId="0" shapeId="0" xr:uid="{C1C2D4DE-6269-4EA3-A20F-EF33FFEB319A}">
      <text>
        <r>
          <rPr>
            <sz val="9"/>
            <color indexed="81"/>
            <rFont val="Tahoma"/>
            <family val="2"/>
          </rPr>
          <t xml:space="preserve">Uncertainty estimated from difference between well-mixed (187) and lifetime adjusted (162) GWP </t>
        </r>
      </text>
    </comment>
    <comment ref="E274" authorId="0" shapeId="0" xr:uid="{F6A70C63-F1C4-45E9-BC0E-8522A5523791}">
      <text>
        <r>
          <rPr>
            <sz val="9"/>
            <color indexed="81"/>
            <rFont val="Tahoma"/>
            <family val="2"/>
          </rPr>
          <t>https://csl.noaa.gov/groups/csl5/datasets/data/hcfcs/Summary%20HCFC-244.pdf</t>
        </r>
      </text>
    </comment>
    <comment ref="F274" authorId="0" shapeId="0" xr:uid="{5CA97FD2-BA57-4AF0-9752-4F8749956948}">
      <text>
        <r>
          <rPr>
            <sz val="9"/>
            <color indexed="81"/>
            <rFont val="Tahoma"/>
            <family val="2"/>
          </rPr>
          <t>Assumed to be subject to the same kind of uncertainties as the GWP estimate</t>
        </r>
        <r>
          <rPr>
            <sz val="9"/>
            <color indexed="81"/>
            <rFont val="Tahoma"/>
            <family val="2"/>
          </rPr>
          <t xml:space="preserve">
</t>
        </r>
      </text>
    </comment>
    <comment ref="G274" authorId="0" shapeId="0" xr:uid="{C5AEF4EC-E18F-41EE-9C33-05795E6FC561}">
      <text>
        <r>
          <rPr>
            <sz val="9"/>
            <color indexed="81"/>
            <rFont val="Tahoma"/>
            <family val="2"/>
          </rPr>
          <t xml:space="preserve">See note on CFC-11
</t>
        </r>
      </text>
    </comment>
    <comment ref="I274" authorId="0" shapeId="0" xr:uid="{FA79CAED-337F-4EC1-9358-6AE8B1D4B3A8}">
      <text>
        <r>
          <rPr>
            <sz val="9"/>
            <color indexed="81"/>
            <rFont val="Tahoma"/>
            <family val="2"/>
          </rPr>
          <t xml:space="preserve">See note on CFC-11
</t>
        </r>
      </text>
    </comment>
    <comment ref="J274" authorId="0" shapeId="0" xr:uid="{F2CB1029-3873-4180-B4EF-F6169FD0F7D8}">
      <text>
        <r>
          <rPr>
            <sz val="9"/>
            <color indexed="81"/>
            <rFont val="Tahoma"/>
            <family val="2"/>
          </rPr>
          <t xml:space="preserve">See notes on CFC11
</t>
        </r>
      </text>
    </comment>
    <comment ref="A275" authorId="0" shapeId="0" xr:uid="{7241F821-529A-44FC-B6EB-23EA8C6350EF}">
      <text>
        <r>
          <rPr>
            <sz val="9"/>
            <color indexed="81"/>
            <rFont val="Tahoma"/>
            <family val="2"/>
          </rPr>
          <t>CHF2CHFCHFCl,
1-Chloro-1,2,3,3-tetrafluoropropane</t>
        </r>
      </text>
    </comment>
    <comment ref="C275" authorId="0" shapeId="0" xr:uid="{55014ED9-BFC0-4D22-A8AC-8352A59C1968}">
      <text>
        <r>
          <rPr>
            <sz val="9"/>
            <color indexed="81"/>
            <rFont val="Tahoma"/>
            <family val="2"/>
          </rPr>
          <t>https://csl.noaa.gov/groups/csl5/datasets/data/hcfcs/Summary%20HCFC-244.pdf</t>
        </r>
      </text>
    </comment>
    <comment ref="D275" authorId="0" shapeId="0" xr:uid="{C1290887-370D-4D9C-88DC-E179E34F42C4}">
      <text>
        <r>
          <rPr>
            <sz val="9"/>
            <color indexed="81"/>
            <rFont val="Tahoma"/>
            <family val="2"/>
          </rPr>
          <t xml:space="preserve">Uncertainty estimated from difference between well-mixed (215) and lifetime adjusted (185) GWP </t>
        </r>
      </text>
    </comment>
    <comment ref="E275" authorId="0" shapeId="0" xr:uid="{DD4CBEEF-5488-46F3-9FD4-F53582E6101B}">
      <text>
        <r>
          <rPr>
            <sz val="9"/>
            <color indexed="81"/>
            <rFont val="Tahoma"/>
            <family val="2"/>
          </rPr>
          <t>https://csl.noaa.gov/groups/csl5/datasets/data/hcfcs/Summary%20HCFC-244.pdf</t>
        </r>
      </text>
    </comment>
    <comment ref="F275" authorId="0" shapeId="0" xr:uid="{12B936D0-AC37-4A74-BD12-606989939FA6}">
      <text>
        <r>
          <rPr>
            <sz val="9"/>
            <color indexed="81"/>
            <rFont val="Tahoma"/>
            <family val="2"/>
          </rPr>
          <t>Assumed to be subject to the same kind of uncertainties as the GWP estimate</t>
        </r>
        <r>
          <rPr>
            <sz val="9"/>
            <color indexed="81"/>
            <rFont val="Tahoma"/>
            <family val="2"/>
          </rPr>
          <t xml:space="preserve">
</t>
        </r>
      </text>
    </comment>
    <comment ref="G275" authorId="0" shapeId="0" xr:uid="{1B27A3F9-324A-4E30-8567-9E500D5AC0F0}">
      <text>
        <r>
          <rPr>
            <sz val="9"/>
            <color indexed="81"/>
            <rFont val="Tahoma"/>
            <family val="2"/>
          </rPr>
          <t xml:space="preserve">See note on CFC-11
</t>
        </r>
      </text>
    </comment>
    <comment ref="I275" authorId="0" shapeId="0" xr:uid="{1563816E-7680-4605-B0E2-C23ECA988EF4}">
      <text>
        <r>
          <rPr>
            <sz val="9"/>
            <color indexed="81"/>
            <rFont val="Tahoma"/>
            <family val="2"/>
          </rPr>
          <t xml:space="preserve">See note on CFC-11
</t>
        </r>
      </text>
    </comment>
    <comment ref="J275" authorId="0" shapeId="0" xr:uid="{2C6F6EDE-594D-4BC5-8B3B-03EBE58316AC}">
      <text>
        <r>
          <rPr>
            <sz val="9"/>
            <color indexed="81"/>
            <rFont val="Tahoma"/>
            <family val="2"/>
          </rPr>
          <t xml:space="preserve">See notes on CFC11
</t>
        </r>
      </text>
    </comment>
    <comment ref="A276" authorId="0" shapeId="0" xr:uid="{9A17BFB0-1A2C-4DB2-8FD5-829E22A0014F}">
      <text>
        <r>
          <rPr>
            <sz val="9"/>
            <color indexed="81"/>
            <rFont val="Tahoma"/>
            <family val="2"/>
          </rPr>
          <t xml:space="preserve">CH2ClCHFCF3,
3-Chloro-1,1,1,2-tetrafluoropropane
</t>
        </r>
      </text>
    </comment>
    <comment ref="C276" authorId="0" shapeId="0" xr:uid="{1B3E03A3-FEDA-4512-9D5F-9DF4DA5D702A}">
      <text>
        <r>
          <rPr>
            <sz val="9"/>
            <color indexed="81"/>
            <rFont val="Tahoma"/>
            <family val="2"/>
          </rPr>
          <t>https://csl.noaa.gov/groups/csl5/datasets/data/hcfcs/Summary%20HCFC-244.pdf</t>
        </r>
      </text>
    </comment>
    <comment ref="D276" authorId="0" shapeId="0" xr:uid="{A64AB3CD-8E3C-4FC0-B8BC-F17E60858D12}">
      <text>
        <r>
          <rPr>
            <sz val="9"/>
            <color indexed="81"/>
            <rFont val="Tahoma"/>
            <family val="2"/>
          </rPr>
          <t xml:space="preserve">Uncertainty estimated from difference between well-mixed (147) and lifetime adjusted (124) GWP </t>
        </r>
      </text>
    </comment>
    <comment ref="E276" authorId="0" shapeId="0" xr:uid="{7A356CFB-58AC-4A16-BFD3-FF630EC0D17B}">
      <text>
        <r>
          <rPr>
            <sz val="9"/>
            <color indexed="81"/>
            <rFont val="Tahoma"/>
            <family val="2"/>
          </rPr>
          <t>https://csl.noaa.gov/groups/csl5/datasets/data/hcfcs/Summary%20HCFC-244.pdf</t>
        </r>
      </text>
    </comment>
    <comment ref="F276" authorId="0" shapeId="0" xr:uid="{9503C0D9-F380-4C3B-B249-FB0270912559}">
      <text>
        <r>
          <rPr>
            <sz val="9"/>
            <color indexed="81"/>
            <rFont val="Tahoma"/>
            <family val="2"/>
          </rPr>
          <t>Assumed to be subject to the same kind of uncertainties as the GWP estimate</t>
        </r>
        <r>
          <rPr>
            <sz val="9"/>
            <color indexed="81"/>
            <rFont val="Tahoma"/>
            <family val="2"/>
          </rPr>
          <t xml:space="preserve">
</t>
        </r>
      </text>
    </comment>
    <comment ref="G276" authorId="0" shapeId="0" xr:uid="{B3164E69-98DA-4BD7-83B0-EC130EF729B3}">
      <text>
        <r>
          <rPr>
            <sz val="9"/>
            <color indexed="81"/>
            <rFont val="Tahoma"/>
            <family val="2"/>
          </rPr>
          <t xml:space="preserve">See note on CFC-11
</t>
        </r>
      </text>
    </comment>
    <comment ref="I276" authorId="0" shapeId="0" xr:uid="{8B50EC8A-4036-4F6D-9E11-FDA4681EDFF2}">
      <text>
        <r>
          <rPr>
            <sz val="9"/>
            <color indexed="81"/>
            <rFont val="Tahoma"/>
            <family val="2"/>
          </rPr>
          <t xml:space="preserve">See note on CFC-11
</t>
        </r>
      </text>
    </comment>
    <comment ref="J276" authorId="0" shapeId="0" xr:uid="{12BC0698-258C-4D74-B48F-C41608646DC2}">
      <text>
        <r>
          <rPr>
            <sz val="9"/>
            <color indexed="81"/>
            <rFont val="Tahoma"/>
            <family val="2"/>
          </rPr>
          <t xml:space="preserve">See notes on CFC11
</t>
        </r>
      </text>
    </comment>
    <comment ref="A277" authorId="0" shapeId="0" xr:uid="{D64CA136-988C-4968-9FEC-ADE2D1698741}">
      <text>
        <r>
          <rPr>
            <sz val="9"/>
            <color indexed="81"/>
            <rFont val="Tahoma"/>
            <family val="2"/>
          </rPr>
          <t xml:space="preserve">CH2FCHFCF2Cl,
1-Chloro-1,1,2,3-tetrafluoropropane
</t>
        </r>
      </text>
    </comment>
    <comment ref="C277" authorId="0" shapeId="0" xr:uid="{5D1CF4EE-B036-48C8-9BF4-CC5D4599FC39}">
      <text>
        <r>
          <rPr>
            <sz val="9"/>
            <color indexed="81"/>
            <rFont val="Tahoma"/>
            <family val="2"/>
          </rPr>
          <t>https://csl.noaa.gov/groups/csl5/datasets/data/hcfcs/Summary%20HCFC-244.pdf</t>
        </r>
      </text>
    </comment>
    <comment ref="D277" authorId="0" shapeId="0" xr:uid="{F9FB606E-E633-4091-A44B-A7EF10F8069F}">
      <text>
        <r>
          <rPr>
            <sz val="9"/>
            <color indexed="81"/>
            <rFont val="Tahoma"/>
            <family val="2"/>
          </rPr>
          <t xml:space="preserve">Uncertainty estimated from difference between well-mixed (300) and lifetime adjusted (264) GWP </t>
        </r>
      </text>
    </comment>
    <comment ref="E277" authorId="0" shapeId="0" xr:uid="{21ED264B-9739-4F0E-A649-2DCB0D7B7E61}">
      <text>
        <r>
          <rPr>
            <sz val="9"/>
            <color indexed="81"/>
            <rFont val="Tahoma"/>
            <family val="2"/>
          </rPr>
          <t>https://csl.noaa.gov/groups/csl5/datasets/data/hcfcs/Summary%20HCFC-244.pdf</t>
        </r>
      </text>
    </comment>
    <comment ref="F277" authorId="0" shapeId="0" xr:uid="{273FC5FF-3327-44D8-BEE0-8FE8D7B85A2A}">
      <text>
        <r>
          <rPr>
            <sz val="9"/>
            <color indexed="81"/>
            <rFont val="Tahoma"/>
            <family val="2"/>
          </rPr>
          <t>Assumed to be subject to the same kind of uncertainties as the GWP estimate</t>
        </r>
        <r>
          <rPr>
            <sz val="9"/>
            <color indexed="81"/>
            <rFont val="Tahoma"/>
            <family val="2"/>
          </rPr>
          <t xml:space="preserve">
</t>
        </r>
      </text>
    </comment>
    <comment ref="G277" authorId="0" shapeId="0" xr:uid="{BA65E816-2C55-4DAD-8E9C-D733D4BDB189}">
      <text>
        <r>
          <rPr>
            <sz val="9"/>
            <color indexed="81"/>
            <rFont val="Tahoma"/>
            <family val="2"/>
          </rPr>
          <t xml:space="preserve">See note on CFC-11
</t>
        </r>
      </text>
    </comment>
    <comment ref="I277" authorId="0" shapeId="0" xr:uid="{B76E37EC-E1A9-4BC4-904D-9C337C38CB4E}">
      <text>
        <r>
          <rPr>
            <sz val="9"/>
            <color indexed="81"/>
            <rFont val="Tahoma"/>
            <family val="2"/>
          </rPr>
          <t xml:space="preserve">See note on CFC-11
</t>
        </r>
      </text>
    </comment>
    <comment ref="J277" authorId="0" shapeId="0" xr:uid="{78F1545F-DA6D-4F6F-9A40-BF32DCE2C8AA}">
      <text>
        <r>
          <rPr>
            <sz val="9"/>
            <color indexed="81"/>
            <rFont val="Tahoma"/>
            <family val="2"/>
          </rPr>
          <t xml:space="preserve">See notes on CFC11
</t>
        </r>
      </text>
    </comment>
    <comment ref="A278" authorId="0" shapeId="0" xr:uid="{689D358F-AEED-424D-91C3-A5925472D842}">
      <text>
        <r>
          <rPr>
            <sz val="9"/>
            <color indexed="81"/>
            <rFont val="Tahoma"/>
            <family val="2"/>
          </rPr>
          <t xml:space="preserve">CHFClCH2CF3,
3-Chloro-1,1,1,3-tetrafluoropropane
</t>
        </r>
      </text>
    </comment>
    <comment ref="C278" authorId="0" shapeId="0" xr:uid="{75432493-F2DF-40A1-8D43-1F9DE566DE9C}">
      <text>
        <r>
          <rPr>
            <sz val="9"/>
            <color indexed="81"/>
            <rFont val="Tahoma"/>
            <family val="2"/>
          </rPr>
          <t>https://csl.noaa.gov/groups/csl5/datasets/data/hcfcs/Summary%20HCFC-244.pdf</t>
        </r>
      </text>
    </comment>
    <comment ref="D278" authorId="0" shapeId="0" xr:uid="{06AD4BF8-12C7-45E9-BAE9-278A3CF97291}">
      <text>
        <r>
          <rPr>
            <sz val="9"/>
            <color indexed="81"/>
            <rFont val="Tahoma"/>
            <family val="2"/>
          </rPr>
          <t xml:space="preserve">Uncertainty estimated from difference between well-mixed (207) and lifetime adjusted (178) GWP </t>
        </r>
      </text>
    </comment>
    <comment ref="E278" authorId="0" shapeId="0" xr:uid="{2339A698-B330-45EE-A61C-56A3AC61B8BE}">
      <text>
        <r>
          <rPr>
            <sz val="9"/>
            <color indexed="81"/>
            <rFont val="Tahoma"/>
            <family val="2"/>
          </rPr>
          <t>https://csl.noaa.gov/groups/csl5/datasets/data/hcfcs/Summary%20HCFC-244.pdf</t>
        </r>
      </text>
    </comment>
    <comment ref="F278" authorId="0" shapeId="0" xr:uid="{1A927DA7-34CF-49F9-BBE4-6FE34E330C0A}">
      <text>
        <r>
          <rPr>
            <sz val="9"/>
            <color indexed="81"/>
            <rFont val="Tahoma"/>
            <family val="2"/>
          </rPr>
          <t>Assumed to be subject to the same kind of uncertainties as the GWP estimate</t>
        </r>
        <r>
          <rPr>
            <sz val="9"/>
            <color indexed="81"/>
            <rFont val="Tahoma"/>
            <family val="2"/>
          </rPr>
          <t xml:space="preserve">
</t>
        </r>
      </text>
    </comment>
    <comment ref="G278" authorId="0" shapeId="0" xr:uid="{B1134A2F-52C7-489F-858C-3E77F45796B8}">
      <text>
        <r>
          <rPr>
            <sz val="9"/>
            <color indexed="81"/>
            <rFont val="Tahoma"/>
            <family val="2"/>
          </rPr>
          <t xml:space="preserve">See note on CFC-11
</t>
        </r>
      </text>
    </comment>
    <comment ref="I278" authorId="0" shapeId="0" xr:uid="{326D3343-1473-44D4-B0FB-468E8457BBFA}">
      <text>
        <r>
          <rPr>
            <sz val="9"/>
            <color indexed="81"/>
            <rFont val="Tahoma"/>
            <family val="2"/>
          </rPr>
          <t xml:space="preserve">See note on CFC-11
</t>
        </r>
      </text>
    </comment>
    <comment ref="J278" authorId="0" shapeId="0" xr:uid="{604CE15A-50B9-4D6A-A2C3-0A28284A9B2E}">
      <text>
        <r>
          <rPr>
            <sz val="9"/>
            <color indexed="81"/>
            <rFont val="Tahoma"/>
            <family val="2"/>
          </rPr>
          <t xml:space="preserve">See notes on CFC11
</t>
        </r>
      </text>
    </comment>
    <comment ref="A279" authorId="0" shapeId="0" xr:uid="{1400CD24-4532-47F2-A07F-2166A12BC910}">
      <text>
        <r>
          <rPr>
            <sz val="9"/>
            <color indexed="81"/>
            <rFont val="Tahoma"/>
            <family val="2"/>
          </rPr>
          <t xml:space="preserve">CHF2CH2CF2Cl,
1-Chloro-1,1,3,3-tetrafluoropropane
</t>
        </r>
      </text>
    </comment>
    <comment ref="C279" authorId="0" shapeId="0" xr:uid="{A7E7C01C-0B3D-4B06-B316-E585C57325A1}">
      <text>
        <r>
          <rPr>
            <sz val="9"/>
            <color indexed="81"/>
            <rFont val="Tahoma"/>
            <family val="2"/>
          </rPr>
          <t>https://csl.noaa.gov/groups/csl5/datasets/data/hcfcs/Summary%20HCFC-244.pdf</t>
        </r>
      </text>
    </comment>
    <comment ref="D279" authorId="0" shapeId="0" xr:uid="{C8D447F0-8660-4EDC-9EAD-F3EC2FC86F0E}">
      <text>
        <r>
          <rPr>
            <sz val="9"/>
            <color indexed="81"/>
            <rFont val="Tahoma"/>
            <family val="2"/>
          </rPr>
          <t xml:space="preserve">Uncertainty estimated from difference between well-mixed (948) and lifetime adjusted (895) GWP </t>
        </r>
      </text>
    </comment>
    <comment ref="E279" authorId="0" shapeId="0" xr:uid="{11B5DFE9-AB05-48D6-A289-C00BA4EF3C49}">
      <text>
        <r>
          <rPr>
            <sz val="9"/>
            <color indexed="81"/>
            <rFont val="Tahoma"/>
            <family val="2"/>
          </rPr>
          <t>https://csl.noaa.gov/groups/csl5/datasets/data/hcfcs/Summary%20HCFC-244.pdf</t>
        </r>
      </text>
    </comment>
    <comment ref="F279" authorId="0" shapeId="0" xr:uid="{D1B2CD4D-C010-4299-9B2B-B883569BDF90}">
      <text>
        <r>
          <rPr>
            <sz val="9"/>
            <color indexed="81"/>
            <rFont val="Tahoma"/>
            <family val="2"/>
          </rPr>
          <t>Assumed to be subject to the same kind of uncertainties as the GWP estimate</t>
        </r>
        <r>
          <rPr>
            <sz val="9"/>
            <color indexed="81"/>
            <rFont val="Tahoma"/>
            <family val="2"/>
          </rPr>
          <t xml:space="preserve">
</t>
        </r>
      </text>
    </comment>
    <comment ref="G279" authorId="0" shapeId="0" xr:uid="{E7FBFC20-D940-43CE-B470-72A1F2E32D0E}">
      <text>
        <r>
          <rPr>
            <sz val="9"/>
            <color indexed="81"/>
            <rFont val="Tahoma"/>
            <family val="2"/>
          </rPr>
          <t xml:space="preserve">See note on CFC-11
</t>
        </r>
      </text>
    </comment>
    <comment ref="I279" authorId="0" shapeId="0" xr:uid="{5C96D070-00A8-4FCA-9B8E-01D2D6F5B51D}">
      <text>
        <r>
          <rPr>
            <sz val="9"/>
            <color indexed="81"/>
            <rFont val="Tahoma"/>
            <family val="2"/>
          </rPr>
          <t xml:space="preserve">See note on CFC-11
</t>
        </r>
      </text>
    </comment>
    <comment ref="J279" authorId="0" shapeId="0" xr:uid="{E97683A5-E4EA-4913-B445-8A72F0655D28}">
      <text>
        <r>
          <rPr>
            <sz val="9"/>
            <color indexed="81"/>
            <rFont val="Tahoma"/>
            <family val="2"/>
          </rPr>
          <t xml:space="preserve">See notes on CFC11
</t>
        </r>
      </text>
    </comment>
    <comment ref="A280" authorId="0" shapeId="0" xr:uid="{CB53B316-0735-4633-9292-0564510262E9}">
      <text>
        <r>
          <rPr>
            <sz val="9"/>
            <color indexed="81"/>
            <rFont val="Tahoma"/>
            <family val="2"/>
          </rPr>
          <t xml:space="preserve">CH2FCCl2CH2Cl,
1,2,2-Trichloro-3-fluoropropane
</t>
        </r>
      </text>
    </comment>
    <comment ref="C280" authorId="0" shapeId="0" xr:uid="{99474884-D1A9-4092-A75F-AEB88D06FF85}">
      <text>
        <r>
          <rPr>
            <sz val="9"/>
            <color indexed="81"/>
            <rFont val="Tahoma"/>
            <family val="2"/>
          </rPr>
          <t>https://csl.noaa.gov/groups/csl5/datasets/data/hcfcs/Summary%20HCFC-251.pdf</t>
        </r>
      </text>
    </comment>
    <comment ref="D280" authorId="0" shapeId="0" xr:uid="{8441A014-4496-480E-9197-BE13A7816270}">
      <text>
        <r>
          <rPr>
            <sz val="9"/>
            <color indexed="81"/>
            <rFont val="Tahoma"/>
            <family val="2"/>
          </rPr>
          <t xml:space="preserve">Uncertainty estimated from difference between well-mixed (45) and lifetime adjusted (35) GWP </t>
        </r>
      </text>
    </comment>
    <comment ref="E280" authorId="0" shapeId="0" xr:uid="{12F8F9A8-B3E6-4A4C-91D1-AF118B10D100}">
      <text>
        <r>
          <rPr>
            <sz val="9"/>
            <color indexed="81"/>
            <rFont val="Tahoma"/>
            <family val="2"/>
          </rPr>
          <t>https://csl.noaa.gov/groups/csl5/datasets/data/hcfcs/Summary%20HCFC-251.pdf</t>
        </r>
      </text>
    </comment>
    <comment ref="F280" authorId="0" shapeId="0" xr:uid="{66850CEE-F99F-472A-A1CA-8DB4B1D031F6}">
      <text>
        <r>
          <rPr>
            <sz val="9"/>
            <color indexed="81"/>
            <rFont val="Tahoma"/>
            <family val="2"/>
          </rPr>
          <t>Assumed to be subject to the same kind of uncertainties as the GWP estimate</t>
        </r>
        <r>
          <rPr>
            <sz val="9"/>
            <color indexed="81"/>
            <rFont val="Tahoma"/>
            <family val="2"/>
          </rPr>
          <t xml:space="preserve">
</t>
        </r>
      </text>
    </comment>
    <comment ref="G280" authorId="0" shapeId="0" xr:uid="{5882E428-976E-4B05-A2CE-0D7BAFB259FA}">
      <text>
        <r>
          <rPr>
            <sz val="9"/>
            <color indexed="81"/>
            <rFont val="Tahoma"/>
            <family val="2"/>
          </rPr>
          <t xml:space="preserve">See note on CFC-11
</t>
        </r>
      </text>
    </comment>
    <comment ref="I280" authorId="0" shapeId="0" xr:uid="{700DFF62-49AA-481D-9286-3518E4460E0E}">
      <text>
        <r>
          <rPr>
            <sz val="9"/>
            <color indexed="81"/>
            <rFont val="Tahoma"/>
            <family val="2"/>
          </rPr>
          <t xml:space="preserve">See note on CFC-11
</t>
        </r>
      </text>
    </comment>
    <comment ref="J280" authorId="0" shapeId="0" xr:uid="{80E5EB5C-B3C9-43D3-B30A-20A97A0D4BF1}">
      <text>
        <r>
          <rPr>
            <sz val="9"/>
            <color indexed="81"/>
            <rFont val="Tahoma"/>
            <family val="2"/>
          </rPr>
          <t xml:space="preserve">See notes on CFC11
</t>
        </r>
      </text>
    </comment>
    <comment ref="A281" authorId="0" shapeId="0" xr:uid="{A8D5707B-DD54-4DAA-8A0C-0044EF2F5530}">
      <text>
        <r>
          <rPr>
            <sz val="9"/>
            <color indexed="81"/>
            <rFont val="Tahoma"/>
            <family val="2"/>
          </rPr>
          <t xml:space="preserve">CH3CCl2CHFCl,
1,2,2-Trichloro-1-fluoropropane
</t>
        </r>
      </text>
    </comment>
    <comment ref="C281" authorId="0" shapeId="0" xr:uid="{AD9DC6FA-98E7-4A0A-9547-5035A321B196}">
      <text>
        <r>
          <rPr>
            <sz val="9"/>
            <color indexed="81"/>
            <rFont val="Tahoma"/>
            <family val="2"/>
          </rPr>
          <t>https://csl.noaa.gov/groups/csl5/datasets/data/hcfcs/Summary%20HCFC-251.pdf</t>
        </r>
      </text>
    </comment>
    <comment ref="D281" authorId="0" shapeId="0" xr:uid="{63CECEB8-8AB5-4DE8-88CD-DB80B426F4EB}">
      <text>
        <r>
          <rPr>
            <sz val="9"/>
            <color indexed="81"/>
            <rFont val="Tahoma"/>
            <family val="2"/>
          </rPr>
          <t xml:space="preserve">Uncertainty estimated from difference between well-mixed (85) and lifetime adjusted (70) GWP </t>
        </r>
      </text>
    </comment>
    <comment ref="E281" authorId="0" shapeId="0" xr:uid="{9A09E518-4619-4886-B28C-DD7FEB8F337F}">
      <text>
        <r>
          <rPr>
            <sz val="9"/>
            <color indexed="81"/>
            <rFont val="Tahoma"/>
            <family val="2"/>
          </rPr>
          <t>https://csl.noaa.gov/groups/csl5/datasets/data/hcfcs/Summary%20HCFC-251.pdf</t>
        </r>
      </text>
    </comment>
    <comment ref="F281" authorId="0" shapeId="0" xr:uid="{B2038ACE-8512-4120-9D8E-1330E8EDF300}">
      <text>
        <r>
          <rPr>
            <sz val="9"/>
            <color indexed="81"/>
            <rFont val="Tahoma"/>
            <family val="2"/>
          </rPr>
          <t>Assumed to be subject to the same kind of uncertainties as the GWP estimate</t>
        </r>
        <r>
          <rPr>
            <sz val="9"/>
            <color indexed="81"/>
            <rFont val="Tahoma"/>
            <family val="2"/>
          </rPr>
          <t xml:space="preserve">
</t>
        </r>
      </text>
    </comment>
    <comment ref="G281" authorId="0" shapeId="0" xr:uid="{09F25479-CB05-4516-A92E-3D0CA40395C3}">
      <text>
        <r>
          <rPr>
            <sz val="9"/>
            <color indexed="81"/>
            <rFont val="Tahoma"/>
            <family val="2"/>
          </rPr>
          <t xml:space="preserve">See note on CFC-11
</t>
        </r>
      </text>
    </comment>
    <comment ref="I281" authorId="0" shapeId="0" xr:uid="{D2FFDBD5-9713-4052-B6AA-75454B82B120}">
      <text>
        <r>
          <rPr>
            <sz val="9"/>
            <color indexed="81"/>
            <rFont val="Tahoma"/>
            <family val="2"/>
          </rPr>
          <t xml:space="preserve">See note on CFC-11
</t>
        </r>
      </text>
    </comment>
    <comment ref="J281" authorId="0" shapeId="0" xr:uid="{954DC81C-06BD-4DAE-ACC3-3AB93B52A329}">
      <text>
        <r>
          <rPr>
            <sz val="9"/>
            <color indexed="81"/>
            <rFont val="Tahoma"/>
            <family val="2"/>
          </rPr>
          <t xml:space="preserve">See notes on CFC11
</t>
        </r>
      </text>
    </comment>
    <comment ref="A282" authorId="0" shapeId="0" xr:uid="{45ECDFAF-50B6-447F-A205-AD79903ED4A2}">
      <text>
        <r>
          <rPr>
            <sz val="9"/>
            <color indexed="81"/>
            <rFont val="Tahoma"/>
            <family val="2"/>
          </rPr>
          <t xml:space="preserve">CH2ClCClFCH2Cl,
1,2,3-Trichloro-2-fluoropropane
</t>
        </r>
      </text>
    </comment>
    <comment ref="C282" authorId="0" shapeId="0" xr:uid="{E8CC6B8A-CD7C-41D3-A239-6D9FA8BE614A}">
      <text>
        <r>
          <rPr>
            <sz val="9"/>
            <color indexed="81"/>
            <rFont val="Tahoma"/>
            <family val="2"/>
          </rPr>
          <t>https://csl.noaa.gov/groups/csl5/datasets/data/hcfcs/Summary%20HCFC-251.pdf</t>
        </r>
      </text>
    </comment>
    <comment ref="D282" authorId="0" shapeId="0" xr:uid="{73E3C78A-CDC6-4B71-8C90-FFA8D82F8317}">
      <text>
        <r>
          <rPr>
            <sz val="9"/>
            <color indexed="81"/>
            <rFont val="Tahoma"/>
            <family val="2"/>
          </rPr>
          <t xml:space="preserve">Uncertainty estimated from difference between well-mixed (59) and lifetime adjusted (47) GWP </t>
        </r>
      </text>
    </comment>
    <comment ref="E282" authorId="0" shapeId="0" xr:uid="{C679FB8C-CA9A-4F71-AA5C-5ABB138F251F}">
      <text>
        <r>
          <rPr>
            <sz val="9"/>
            <color indexed="81"/>
            <rFont val="Tahoma"/>
            <family val="2"/>
          </rPr>
          <t>https://csl.noaa.gov/groups/csl5/datasets/data/hcfcs/Summary%20HCFC-251.pdf</t>
        </r>
      </text>
    </comment>
    <comment ref="F282" authorId="0" shapeId="0" xr:uid="{E648C758-1F5E-428E-B65E-11C97741BD63}">
      <text>
        <r>
          <rPr>
            <sz val="9"/>
            <color indexed="81"/>
            <rFont val="Tahoma"/>
            <family val="2"/>
          </rPr>
          <t>Assumed to be subject to the same kind of uncertainties as the GWP estimate</t>
        </r>
        <r>
          <rPr>
            <sz val="9"/>
            <color indexed="81"/>
            <rFont val="Tahoma"/>
            <family val="2"/>
          </rPr>
          <t xml:space="preserve">
</t>
        </r>
      </text>
    </comment>
    <comment ref="G282" authorId="0" shapeId="0" xr:uid="{3B0AEC99-6678-4166-A3E3-CC063E5F01A1}">
      <text>
        <r>
          <rPr>
            <sz val="9"/>
            <color indexed="81"/>
            <rFont val="Tahoma"/>
            <family val="2"/>
          </rPr>
          <t xml:space="preserve">See note on CFC-11
</t>
        </r>
      </text>
    </comment>
    <comment ref="I282" authorId="0" shapeId="0" xr:uid="{820B56CE-0222-459F-AB50-9D7B3404CC2C}">
      <text>
        <r>
          <rPr>
            <sz val="9"/>
            <color indexed="81"/>
            <rFont val="Tahoma"/>
            <family val="2"/>
          </rPr>
          <t xml:space="preserve">See note on CFC-11
</t>
        </r>
      </text>
    </comment>
    <comment ref="J282" authorId="0" shapeId="0" xr:uid="{3A2CB00B-5903-4F4F-ADEA-1339EDDC89C9}">
      <text>
        <r>
          <rPr>
            <sz val="9"/>
            <color indexed="81"/>
            <rFont val="Tahoma"/>
            <family val="2"/>
          </rPr>
          <t xml:space="preserve">See notes on CFC11
</t>
        </r>
      </text>
    </comment>
    <comment ref="A283" authorId="0" shapeId="0" xr:uid="{D5227EF9-D053-422C-A5EC-E2576CD70438}">
      <text>
        <r>
          <rPr>
            <sz val="9"/>
            <color indexed="81"/>
            <rFont val="Tahoma"/>
            <family val="2"/>
          </rPr>
          <t xml:space="preserve">CH3CClFCHCl2,
1,1,2-Trichloro-2-fluoropropane
</t>
        </r>
      </text>
    </comment>
    <comment ref="C283" authorId="0" shapeId="0" xr:uid="{B07ECC5A-6AB8-45F2-9375-956D3BB01413}">
      <text>
        <r>
          <rPr>
            <sz val="9"/>
            <color indexed="81"/>
            <rFont val="Tahoma"/>
            <family val="2"/>
          </rPr>
          <t>https://csl.noaa.gov/groups/csl5/datasets/data/hcfcs/Summary%20HCFC-251.pdf</t>
        </r>
      </text>
    </comment>
    <comment ref="D283" authorId="0" shapeId="0" xr:uid="{914C476B-94BC-4801-AC30-69912F6AAABB}">
      <text>
        <r>
          <rPr>
            <sz val="9"/>
            <color indexed="81"/>
            <rFont val="Tahoma"/>
            <family val="2"/>
          </rPr>
          <t xml:space="preserve">Uncertainty estimated from difference between well-mixed (55) and lifetime adjusted (41) GWP </t>
        </r>
      </text>
    </comment>
    <comment ref="E283" authorId="0" shapeId="0" xr:uid="{2786591C-DAAE-4232-9DF0-8D4DE40D555A}">
      <text>
        <r>
          <rPr>
            <sz val="9"/>
            <color indexed="81"/>
            <rFont val="Tahoma"/>
            <family val="2"/>
          </rPr>
          <t>https://csl.noaa.gov/groups/csl5/datasets/data/hcfcs/Summary%20HCFC-251.pdf</t>
        </r>
      </text>
    </comment>
    <comment ref="F283" authorId="0" shapeId="0" xr:uid="{1879BD8B-EBC0-4B82-9661-A078E0796034}">
      <text>
        <r>
          <rPr>
            <sz val="9"/>
            <color indexed="81"/>
            <rFont val="Tahoma"/>
            <family val="2"/>
          </rPr>
          <t>Assumed to be subject to the same kind of uncertainties as the GWP estimate</t>
        </r>
        <r>
          <rPr>
            <sz val="9"/>
            <color indexed="81"/>
            <rFont val="Tahoma"/>
            <family val="2"/>
          </rPr>
          <t xml:space="preserve">
</t>
        </r>
      </text>
    </comment>
    <comment ref="G283" authorId="0" shapeId="0" xr:uid="{5E08127D-7B80-4F6E-91AB-31AF1C5326FD}">
      <text>
        <r>
          <rPr>
            <sz val="9"/>
            <color indexed="81"/>
            <rFont val="Tahoma"/>
            <family val="2"/>
          </rPr>
          <t xml:space="preserve">See note on CFC-11
</t>
        </r>
      </text>
    </comment>
    <comment ref="I283" authorId="0" shapeId="0" xr:uid="{1DEF1A37-FA4C-40B1-B923-FDD86D5FA818}">
      <text>
        <r>
          <rPr>
            <sz val="9"/>
            <color indexed="81"/>
            <rFont val="Tahoma"/>
            <family val="2"/>
          </rPr>
          <t xml:space="preserve">See note on CFC-11
</t>
        </r>
      </text>
    </comment>
    <comment ref="J283" authorId="0" shapeId="0" xr:uid="{885589F7-369E-4C14-A4BC-6CF682F728D2}">
      <text>
        <r>
          <rPr>
            <sz val="9"/>
            <color indexed="81"/>
            <rFont val="Tahoma"/>
            <family val="2"/>
          </rPr>
          <t xml:space="preserve">See notes on CFC11
</t>
        </r>
      </text>
    </comment>
    <comment ref="A284" authorId="0" shapeId="0" xr:uid="{2F29F638-7653-4BE0-8F8F-8A9F57F43602}">
      <text>
        <r>
          <rPr>
            <sz val="9"/>
            <color indexed="81"/>
            <rFont val="Tahoma"/>
            <family val="2"/>
          </rPr>
          <t xml:space="preserve">CH2ClCHClCHFCl,
1,2,3-Trichloro-1-fluoropropane
</t>
        </r>
      </text>
    </comment>
    <comment ref="C284" authorId="0" shapeId="0" xr:uid="{C14D9823-48DF-4181-A82E-D39E0FC87B1B}">
      <text>
        <r>
          <rPr>
            <sz val="9"/>
            <color indexed="81"/>
            <rFont val="Tahoma"/>
            <family val="2"/>
          </rPr>
          <t>https://csl.noaa.gov/groups/csl5/datasets/data/hcfcs/Summary%20HCFC-251.pdf</t>
        </r>
      </text>
    </comment>
    <comment ref="D284" authorId="0" shapeId="0" xr:uid="{75FFB4AD-0466-4D8B-A265-DA48237483F8}">
      <text>
        <r>
          <rPr>
            <sz val="9"/>
            <color indexed="81"/>
            <rFont val="Tahoma"/>
            <family val="2"/>
          </rPr>
          <t xml:space="preserve">Uncertainty estimated from difference between well-mixed (31) and lifetime adjusted (21) GWP </t>
        </r>
      </text>
    </comment>
    <comment ref="E284" authorId="0" shapeId="0" xr:uid="{EE6CFAD5-1EED-4F69-A924-8798FD0DBA53}">
      <text>
        <r>
          <rPr>
            <sz val="9"/>
            <color indexed="81"/>
            <rFont val="Tahoma"/>
            <family val="2"/>
          </rPr>
          <t>https://csl.noaa.gov/groups/csl5/datasets/data/hcfcs/Summary%20HCFC-251.pdf</t>
        </r>
      </text>
    </comment>
    <comment ref="F284" authorId="0" shapeId="0" xr:uid="{BB5FE536-2A7A-4AD2-9624-5BEA9B25BC69}">
      <text>
        <r>
          <rPr>
            <sz val="9"/>
            <color indexed="81"/>
            <rFont val="Tahoma"/>
            <family val="2"/>
          </rPr>
          <t>Assumed to be subject to the same kind of uncertainties as the GWP estimate</t>
        </r>
        <r>
          <rPr>
            <sz val="9"/>
            <color indexed="81"/>
            <rFont val="Tahoma"/>
            <family val="2"/>
          </rPr>
          <t xml:space="preserve">
</t>
        </r>
      </text>
    </comment>
    <comment ref="G284" authorId="0" shapeId="0" xr:uid="{7EB5A86C-9446-4B3E-91B0-54498E70C46A}">
      <text>
        <r>
          <rPr>
            <sz val="9"/>
            <color indexed="81"/>
            <rFont val="Tahoma"/>
            <family val="2"/>
          </rPr>
          <t xml:space="preserve">See note on CFC-11
</t>
        </r>
      </text>
    </comment>
    <comment ref="I284" authorId="0" shapeId="0" xr:uid="{497A252D-A66B-4731-9E88-2DCF4F65B0E7}">
      <text>
        <r>
          <rPr>
            <sz val="9"/>
            <color indexed="81"/>
            <rFont val="Tahoma"/>
            <family val="2"/>
          </rPr>
          <t xml:space="preserve">See note on CFC-11
</t>
        </r>
      </text>
    </comment>
    <comment ref="J284" authorId="0" shapeId="0" xr:uid="{44915C4C-B06C-4372-9900-545F09796EA4}">
      <text>
        <r>
          <rPr>
            <sz val="9"/>
            <color indexed="81"/>
            <rFont val="Tahoma"/>
            <family val="2"/>
          </rPr>
          <t xml:space="preserve">See notes on CFC11
</t>
        </r>
      </text>
    </comment>
    <comment ref="A285" authorId="0" shapeId="0" xr:uid="{36C80051-4BDB-449B-A4A5-FBCC75C7531D}">
      <text>
        <r>
          <rPr>
            <sz val="9"/>
            <color indexed="81"/>
            <rFont val="Tahoma"/>
            <family val="2"/>
          </rPr>
          <t xml:space="preserve">CH2FCHClCHCl2,
1,1,2-Trichloro-3-fluoropropane
</t>
        </r>
      </text>
    </comment>
    <comment ref="C285" authorId="0" shapeId="0" xr:uid="{D7E42BE0-52A4-48CF-8FFA-978B47B03C4A}">
      <text>
        <r>
          <rPr>
            <sz val="9"/>
            <color indexed="81"/>
            <rFont val="Tahoma"/>
            <family val="2"/>
          </rPr>
          <t>https://csl.noaa.gov/groups/csl5/datasets/data/hcfcs/Summary%20HCFC-251.pdf</t>
        </r>
      </text>
    </comment>
    <comment ref="D285" authorId="0" shapeId="0" xr:uid="{755A067B-5F92-4396-9328-88D809BAA52B}">
      <text>
        <r>
          <rPr>
            <sz val="9"/>
            <color indexed="81"/>
            <rFont val="Tahoma"/>
            <family val="2"/>
          </rPr>
          <t xml:space="preserve">Uncertainty estimated from difference between well-mixed (17) and lifetime adjusted (9) GWP </t>
        </r>
      </text>
    </comment>
    <comment ref="E285" authorId="0" shapeId="0" xr:uid="{712293CA-8258-48FE-A637-2A934751561E}">
      <text>
        <r>
          <rPr>
            <sz val="9"/>
            <color indexed="81"/>
            <rFont val="Tahoma"/>
            <family val="2"/>
          </rPr>
          <t>https://csl.noaa.gov/groups/csl5/datasets/data/hcfcs/Summary%20HCFC-251.pdf</t>
        </r>
      </text>
    </comment>
    <comment ref="F285" authorId="0" shapeId="0" xr:uid="{C3BF7F84-CB01-4425-9A18-2BD0A4B10236}">
      <text>
        <r>
          <rPr>
            <sz val="9"/>
            <color indexed="81"/>
            <rFont val="Tahoma"/>
            <family val="2"/>
          </rPr>
          <t>Assumed to be subject to the same kind of uncertainties as the GWP estimate</t>
        </r>
        <r>
          <rPr>
            <sz val="9"/>
            <color indexed="81"/>
            <rFont val="Tahoma"/>
            <family val="2"/>
          </rPr>
          <t xml:space="preserve">
</t>
        </r>
      </text>
    </comment>
    <comment ref="G285" authorId="0" shapeId="0" xr:uid="{23A5C12E-BC3E-4867-B2CD-BEC31A9A54B2}">
      <text>
        <r>
          <rPr>
            <sz val="9"/>
            <color indexed="81"/>
            <rFont val="Tahoma"/>
            <family val="2"/>
          </rPr>
          <t xml:space="preserve">See note on CFC-11
</t>
        </r>
      </text>
    </comment>
    <comment ref="I285" authorId="0" shapeId="0" xr:uid="{7B1A88D4-FA66-47E6-A0CF-F0F5AC525AE6}">
      <text>
        <r>
          <rPr>
            <sz val="9"/>
            <color indexed="81"/>
            <rFont val="Tahoma"/>
            <family val="2"/>
          </rPr>
          <t xml:space="preserve">See note on CFC-11
</t>
        </r>
      </text>
    </comment>
    <comment ref="J285" authorId="0" shapeId="0" xr:uid="{3E1C2AB7-A3D7-4E81-8D73-5A17A2E09D34}">
      <text>
        <r>
          <rPr>
            <sz val="9"/>
            <color indexed="81"/>
            <rFont val="Tahoma"/>
            <family val="2"/>
          </rPr>
          <t xml:space="preserve">See notes on CFC11
</t>
        </r>
      </text>
    </comment>
    <comment ref="A286" authorId="0" shapeId="0" xr:uid="{44438474-CB15-4B9A-B990-655681125EFC}">
      <text>
        <r>
          <rPr>
            <sz val="9"/>
            <color indexed="81"/>
            <rFont val="Tahoma"/>
            <family val="2"/>
          </rPr>
          <t xml:space="preserve">CH3CHClCFCl2,
1,1,2-Trichloro-1-fluoropropane
</t>
        </r>
      </text>
    </comment>
    <comment ref="C286" authorId="0" shapeId="0" xr:uid="{0A5BE9AD-592D-4D95-90AD-3FF0DAB04512}">
      <text>
        <r>
          <rPr>
            <sz val="9"/>
            <color indexed="81"/>
            <rFont val="Tahoma"/>
            <family val="2"/>
          </rPr>
          <t>https://csl.noaa.gov/groups/csl5/datasets/data/hcfcs/Summary%20HCFC-251.pdf</t>
        </r>
      </text>
    </comment>
    <comment ref="D286" authorId="0" shapeId="0" xr:uid="{E067F7D3-16D9-4076-92A2-1ED55C909AE3}">
      <text>
        <r>
          <rPr>
            <sz val="9"/>
            <color indexed="81"/>
            <rFont val="Tahoma"/>
            <family val="2"/>
          </rPr>
          <t xml:space="preserve">Uncertainty estimated from difference between well-mixed (38) and lifetime adjusted (23) GWP </t>
        </r>
      </text>
    </comment>
    <comment ref="E286" authorId="0" shapeId="0" xr:uid="{0BEF31A7-F1F9-404F-9225-C81B370295BA}">
      <text>
        <r>
          <rPr>
            <sz val="9"/>
            <color indexed="81"/>
            <rFont val="Tahoma"/>
            <family val="2"/>
          </rPr>
          <t>https://csl.noaa.gov/groups/csl5/datasets/data/hcfcs/Summary%20HCFC-251.pdf</t>
        </r>
      </text>
    </comment>
    <comment ref="F286" authorId="0" shapeId="0" xr:uid="{E75CE8BC-5E7B-4161-9440-ADA40F4220C9}">
      <text>
        <r>
          <rPr>
            <sz val="9"/>
            <color indexed="81"/>
            <rFont val="Tahoma"/>
            <family val="2"/>
          </rPr>
          <t>Assumed to be subject to the same kind of uncertainties as the GWP estimate</t>
        </r>
        <r>
          <rPr>
            <sz val="9"/>
            <color indexed="81"/>
            <rFont val="Tahoma"/>
            <family val="2"/>
          </rPr>
          <t xml:space="preserve">
</t>
        </r>
      </text>
    </comment>
    <comment ref="G286" authorId="0" shapeId="0" xr:uid="{9BB9AB23-344E-4231-B689-CB4F7843101F}">
      <text>
        <r>
          <rPr>
            <sz val="9"/>
            <color indexed="81"/>
            <rFont val="Tahoma"/>
            <family val="2"/>
          </rPr>
          <t xml:space="preserve">See note on CFC-11
</t>
        </r>
      </text>
    </comment>
    <comment ref="I286" authorId="0" shapeId="0" xr:uid="{39AEAC32-366E-4825-9D60-5C9BDBFD73D4}">
      <text>
        <r>
          <rPr>
            <sz val="9"/>
            <color indexed="81"/>
            <rFont val="Tahoma"/>
            <family val="2"/>
          </rPr>
          <t xml:space="preserve">See note on CFC-11
</t>
        </r>
      </text>
    </comment>
    <comment ref="J286" authorId="0" shapeId="0" xr:uid="{8B1241E2-C1A9-4AC8-A9E3-D004AE93C697}">
      <text>
        <r>
          <rPr>
            <sz val="9"/>
            <color indexed="81"/>
            <rFont val="Tahoma"/>
            <family val="2"/>
          </rPr>
          <t xml:space="preserve">See notes on CFC11
</t>
        </r>
      </text>
    </comment>
    <comment ref="A287" authorId="0" shapeId="0" xr:uid="{12887D63-F35C-4875-8D1E-B9F9E797082C}">
      <text>
        <r>
          <rPr>
            <sz val="9"/>
            <color indexed="81"/>
            <rFont val="Tahoma"/>
            <family val="2"/>
          </rPr>
          <t xml:space="preserve">CH2ClCHFCHCl2,
1,1,3-Trichloro-2-fluoropropane
</t>
        </r>
      </text>
    </comment>
    <comment ref="C287" authorId="0" shapeId="0" xr:uid="{8C020589-AA8C-4ABC-A85B-396A3FF47E60}">
      <text>
        <r>
          <rPr>
            <sz val="9"/>
            <color indexed="81"/>
            <rFont val="Tahoma"/>
            <family val="2"/>
          </rPr>
          <t>https://csl.noaa.gov/groups/csl5/datasets/data/hcfcs/Summary%20HCFC-251.pdf</t>
        </r>
      </text>
    </comment>
    <comment ref="D287" authorId="0" shapeId="0" xr:uid="{062A3D27-B56E-4C1A-9265-EBCC73363852}">
      <text>
        <r>
          <rPr>
            <sz val="9"/>
            <color indexed="81"/>
            <rFont val="Tahoma"/>
            <family val="2"/>
          </rPr>
          <t xml:space="preserve">Uncertainty estimated from difference between well-mixed (23) and lifetime adjusted (14) GWP </t>
        </r>
      </text>
    </comment>
    <comment ref="E287" authorId="0" shapeId="0" xr:uid="{3F892351-2C81-496D-AEFA-876215F9AF9F}">
      <text>
        <r>
          <rPr>
            <sz val="9"/>
            <color indexed="81"/>
            <rFont val="Tahoma"/>
            <family val="2"/>
          </rPr>
          <t>https://csl.noaa.gov/groups/csl5/datasets/data/hcfcs/Summary%20HCFC-251.pdf</t>
        </r>
      </text>
    </comment>
    <comment ref="F287" authorId="0" shapeId="0" xr:uid="{4C162D57-E083-4520-BDF4-D820570792C6}">
      <text>
        <r>
          <rPr>
            <sz val="9"/>
            <color indexed="81"/>
            <rFont val="Tahoma"/>
            <family val="2"/>
          </rPr>
          <t>Assumed to be subject to the same kind of uncertainties as the GWP estimate</t>
        </r>
        <r>
          <rPr>
            <sz val="9"/>
            <color indexed="81"/>
            <rFont val="Tahoma"/>
            <family val="2"/>
          </rPr>
          <t xml:space="preserve">
</t>
        </r>
      </text>
    </comment>
    <comment ref="G287" authorId="0" shapeId="0" xr:uid="{2DC75B74-A4B8-46C9-96E5-60BB6647A569}">
      <text>
        <r>
          <rPr>
            <sz val="9"/>
            <color indexed="81"/>
            <rFont val="Tahoma"/>
            <family val="2"/>
          </rPr>
          <t xml:space="preserve">See note on CFC-11
</t>
        </r>
      </text>
    </comment>
    <comment ref="I287" authorId="0" shapeId="0" xr:uid="{FFF0CED2-E115-448B-81C5-D1F4CDC5E8A8}">
      <text>
        <r>
          <rPr>
            <sz val="9"/>
            <color indexed="81"/>
            <rFont val="Tahoma"/>
            <family val="2"/>
          </rPr>
          <t xml:space="preserve">See note on CFC-11
</t>
        </r>
      </text>
    </comment>
    <comment ref="J287" authorId="0" shapeId="0" xr:uid="{45D6CF5E-993A-4207-B6E2-6D91F75118CC}">
      <text>
        <r>
          <rPr>
            <sz val="9"/>
            <color indexed="81"/>
            <rFont val="Tahoma"/>
            <family val="2"/>
          </rPr>
          <t xml:space="preserve">See notes on CFC11
</t>
        </r>
      </text>
    </comment>
    <comment ref="A288" authorId="0" shapeId="0" xr:uid="{16D604D9-38E8-4868-9AEE-68C93AAC47B1}">
      <text>
        <r>
          <rPr>
            <sz val="9"/>
            <color indexed="81"/>
            <rFont val="Tahoma"/>
            <family val="2"/>
          </rPr>
          <t xml:space="preserve">CH3CHFCCl3,
1,1,1-Trichloro-2-fluoropropane
</t>
        </r>
      </text>
    </comment>
    <comment ref="C288" authorId="0" shapeId="0" xr:uid="{E70506EC-A219-4C78-8DCA-41419FE1DD51}">
      <text>
        <r>
          <rPr>
            <sz val="9"/>
            <color indexed="81"/>
            <rFont val="Tahoma"/>
            <family val="2"/>
          </rPr>
          <t>https://csl.noaa.gov/groups/csl5/datasets/data/hcfcs/Summary%20HCFC-251.pdf</t>
        </r>
      </text>
    </comment>
    <comment ref="D288" authorId="0" shapeId="0" xr:uid="{19E5BCD6-BFC3-4744-859C-B129F98CF16D}">
      <text>
        <r>
          <rPr>
            <sz val="9"/>
            <color indexed="81"/>
            <rFont val="Tahoma"/>
            <family val="2"/>
          </rPr>
          <t xml:space="preserve">Uncertainty estimated from difference between well-mixed (50) and lifetime adjusted (34) GWP </t>
        </r>
      </text>
    </comment>
    <comment ref="E288" authorId="0" shapeId="0" xr:uid="{7086F88E-AC0F-4289-8A24-F28582FD400A}">
      <text>
        <r>
          <rPr>
            <sz val="9"/>
            <color indexed="81"/>
            <rFont val="Tahoma"/>
            <family val="2"/>
          </rPr>
          <t>https://csl.noaa.gov/groups/csl5/datasets/data/hcfcs/Summary%20HCFC-251.pdf</t>
        </r>
      </text>
    </comment>
    <comment ref="F288" authorId="0" shapeId="0" xr:uid="{33FCCBD8-11C7-40B1-86DA-A915024D489D}">
      <text>
        <r>
          <rPr>
            <sz val="9"/>
            <color indexed="81"/>
            <rFont val="Tahoma"/>
            <family val="2"/>
          </rPr>
          <t>Assumed to be subject to the same kind of uncertainties as the GWP estimate</t>
        </r>
        <r>
          <rPr>
            <sz val="9"/>
            <color indexed="81"/>
            <rFont val="Tahoma"/>
            <family val="2"/>
          </rPr>
          <t xml:space="preserve">
</t>
        </r>
      </text>
    </comment>
    <comment ref="G288" authorId="0" shapeId="0" xr:uid="{DCC6D347-4C91-42FA-AA8B-FAA3D33CE22C}">
      <text>
        <r>
          <rPr>
            <sz val="9"/>
            <color indexed="81"/>
            <rFont val="Tahoma"/>
            <family val="2"/>
          </rPr>
          <t xml:space="preserve">See note on CFC-11
</t>
        </r>
      </text>
    </comment>
    <comment ref="I288" authorId="0" shapeId="0" xr:uid="{F2EDB18F-1BF0-4C0A-B60B-F02595A0A86B}">
      <text>
        <r>
          <rPr>
            <sz val="9"/>
            <color indexed="81"/>
            <rFont val="Tahoma"/>
            <family val="2"/>
          </rPr>
          <t xml:space="preserve">See note on CFC-11
</t>
        </r>
      </text>
    </comment>
    <comment ref="J288" authorId="0" shapeId="0" xr:uid="{F09C369D-CEC7-4BE5-829A-4954FFC443D9}">
      <text>
        <r>
          <rPr>
            <sz val="9"/>
            <color indexed="81"/>
            <rFont val="Tahoma"/>
            <family val="2"/>
          </rPr>
          <t xml:space="preserve">See notes on CFC11
</t>
        </r>
      </text>
    </comment>
    <comment ref="A289" authorId="0" shapeId="0" xr:uid="{E45E1EC5-0A01-4A54-B4AB-01ECB7F113B6}">
      <text>
        <r>
          <rPr>
            <sz val="9"/>
            <color indexed="81"/>
            <rFont val="Tahoma"/>
            <family val="2"/>
          </rPr>
          <t xml:space="preserve">CHClFCH2CCl2H,
1,1,3-Trichloro-3-fluoropropane
</t>
        </r>
      </text>
    </comment>
    <comment ref="C289" authorId="0" shapeId="0" xr:uid="{FAA56DA2-0548-425C-B624-950A3181C7F6}">
      <text>
        <r>
          <rPr>
            <sz val="9"/>
            <color indexed="81"/>
            <rFont val="Tahoma"/>
            <family val="2"/>
          </rPr>
          <t>https://csl.noaa.gov/groups/csl5/datasets/data/hcfcs/Summary%20HCFC-251.pdf</t>
        </r>
      </text>
    </comment>
    <comment ref="D289" authorId="0" shapeId="0" xr:uid="{8663B263-2CA1-491A-BB9D-53A38FEB0F7B}">
      <text>
        <r>
          <rPr>
            <sz val="9"/>
            <color indexed="81"/>
            <rFont val="Tahoma"/>
            <family val="2"/>
          </rPr>
          <t xml:space="preserve">Uncertainty estimated from difference between well-mixed (18) and lifetime adjusted (9) GWP </t>
        </r>
      </text>
    </comment>
    <comment ref="E289" authorId="0" shapeId="0" xr:uid="{CE1391A8-FCA3-4B78-A582-AC7935A69843}">
      <text>
        <r>
          <rPr>
            <sz val="9"/>
            <color indexed="81"/>
            <rFont val="Tahoma"/>
            <family val="2"/>
          </rPr>
          <t>https://csl.noaa.gov/groups/csl5/datasets/data/hcfcs/Summary%20HCFC-251.pdf</t>
        </r>
      </text>
    </comment>
    <comment ref="F289" authorId="0" shapeId="0" xr:uid="{3ABD41F0-5CBC-4DA9-BF57-37959D4CB158}">
      <text>
        <r>
          <rPr>
            <sz val="9"/>
            <color indexed="81"/>
            <rFont val="Tahoma"/>
            <family val="2"/>
          </rPr>
          <t>Assumed to be subject to the same kind of uncertainties as the GWP estimate</t>
        </r>
        <r>
          <rPr>
            <sz val="9"/>
            <color indexed="81"/>
            <rFont val="Tahoma"/>
            <family val="2"/>
          </rPr>
          <t xml:space="preserve">
</t>
        </r>
      </text>
    </comment>
    <comment ref="G289" authorId="0" shapeId="0" xr:uid="{BC93091A-0C88-4148-95BC-FD576D8A3E9E}">
      <text>
        <r>
          <rPr>
            <sz val="9"/>
            <color indexed="81"/>
            <rFont val="Tahoma"/>
            <family val="2"/>
          </rPr>
          <t xml:space="preserve">See note on CFC-11
</t>
        </r>
      </text>
    </comment>
    <comment ref="I289" authorId="0" shapeId="0" xr:uid="{1D9B52A4-BBD6-4A63-9F0C-1EE22957010F}">
      <text>
        <r>
          <rPr>
            <sz val="9"/>
            <color indexed="81"/>
            <rFont val="Tahoma"/>
            <family val="2"/>
          </rPr>
          <t xml:space="preserve">See note on CFC-11
</t>
        </r>
      </text>
    </comment>
    <comment ref="J289" authorId="0" shapeId="0" xr:uid="{1352F50D-DB1E-4233-AA80-CC662E17D96F}">
      <text>
        <r>
          <rPr>
            <sz val="9"/>
            <color indexed="81"/>
            <rFont val="Tahoma"/>
            <family val="2"/>
          </rPr>
          <t xml:space="preserve">See notes on CFC11
</t>
        </r>
      </text>
    </comment>
    <comment ref="A290" authorId="0" shapeId="0" xr:uid="{B33D1BB1-1053-4873-B69C-34DD99C73011}">
      <text>
        <r>
          <rPr>
            <sz val="9"/>
            <color indexed="81"/>
            <rFont val="Tahoma"/>
            <family val="2"/>
          </rPr>
          <t xml:space="preserve">CH2ClCH2CCl2F,
1,1,3-Trichloro-1-fluoropropane
</t>
        </r>
      </text>
    </comment>
    <comment ref="C290" authorId="0" shapeId="0" xr:uid="{E174BBB5-07B8-4521-AA4D-44B917C0C909}">
      <text>
        <r>
          <rPr>
            <sz val="9"/>
            <color indexed="81"/>
            <rFont val="Tahoma"/>
            <family val="2"/>
          </rPr>
          <t>https://csl.noaa.gov/groups/csl5/datasets/data/hcfcs/Summary%20HCFC-251.pdf</t>
        </r>
      </text>
    </comment>
    <comment ref="D290" authorId="0" shapeId="0" xr:uid="{1507A310-71DC-4B8E-AB9C-EEC45EF1BF89}">
      <text>
        <r>
          <rPr>
            <sz val="9"/>
            <color indexed="81"/>
            <rFont val="Tahoma"/>
            <family val="2"/>
          </rPr>
          <t xml:space="preserve">Uncertainty estimated from difference between well-mixed (31) and lifetime adjusted (18) GWP </t>
        </r>
      </text>
    </comment>
    <comment ref="E290" authorId="0" shapeId="0" xr:uid="{B0AFA3B5-AE81-4050-BFCC-68DEEA672B30}">
      <text>
        <r>
          <rPr>
            <sz val="9"/>
            <color indexed="81"/>
            <rFont val="Tahoma"/>
            <family val="2"/>
          </rPr>
          <t>https://csl.noaa.gov/groups/csl5/datasets/data/hcfcs/Summary%20HCFC-251.pdf</t>
        </r>
      </text>
    </comment>
    <comment ref="F290" authorId="0" shapeId="0" xr:uid="{A6E4E0A3-FE29-45EE-B7B8-6B8EC2DAC049}">
      <text>
        <r>
          <rPr>
            <sz val="9"/>
            <color indexed="81"/>
            <rFont val="Tahoma"/>
            <family val="2"/>
          </rPr>
          <t>Assumed to be subject to the same kind of uncertainties as the GWP estimate</t>
        </r>
        <r>
          <rPr>
            <sz val="9"/>
            <color indexed="81"/>
            <rFont val="Tahoma"/>
            <family val="2"/>
          </rPr>
          <t xml:space="preserve">
</t>
        </r>
      </text>
    </comment>
    <comment ref="G290" authorId="0" shapeId="0" xr:uid="{891F1D24-29C5-40B8-A8F3-6A3DB592AD97}">
      <text>
        <r>
          <rPr>
            <sz val="9"/>
            <color indexed="81"/>
            <rFont val="Tahoma"/>
            <family val="2"/>
          </rPr>
          <t xml:space="preserve">See note on CFC-11
</t>
        </r>
      </text>
    </comment>
    <comment ref="I290" authorId="0" shapeId="0" xr:uid="{E0951074-BE30-4230-A0EF-46C8E4D711E6}">
      <text>
        <r>
          <rPr>
            <sz val="9"/>
            <color indexed="81"/>
            <rFont val="Tahoma"/>
            <family val="2"/>
          </rPr>
          <t xml:space="preserve">See note on CFC-11
</t>
        </r>
      </text>
    </comment>
    <comment ref="J290" authorId="0" shapeId="0" xr:uid="{5C0AB521-20A7-4074-A35D-7E16008F7722}">
      <text>
        <r>
          <rPr>
            <sz val="9"/>
            <color indexed="81"/>
            <rFont val="Tahoma"/>
            <family val="2"/>
          </rPr>
          <t xml:space="preserve">See notes on CFC11
</t>
        </r>
      </text>
    </comment>
    <comment ref="A291" authorId="0" shapeId="0" xr:uid="{D675036F-C2F1-4B74-85E7-6C59FDA83432}">
      <text>
        <r>
          <rPr>
            <sz val="9"/>
            <color indexed="81"/>
            <rFont val="Tahoma"/>
            <family val="2"/>
          </rPr>
          <t xml:space="preserve">CH2FCH2CCl3,
1,1,1-Trichloro-3-fluoropropane
</t>
        </r>
      </text>
    </comment>
    <comment ref="C291" authorId="0" shapeId="0" xr:uid="{E3DCE126-C647-4396-8573-DD8D4E17A293}">
      <text>
        <r>
          <rPr>
            <sz val="9"/>
            <color indexed="81"/>
            <rFont val="Tahoma"/>
            <family val="2"/>
          </rPr>
          <t>https://csl.noaa.gov/groups/csl5/datasets/data/hcfcs/Summary%20HCFC-251.pdf</t>
        </r>
      </text>
    </comment>
    <comment ref="D291" authorId="0" shapeId="0" xr:uid="{490289D2-21F1-4AE3-ADDF-B4B6EE32343E}">
      <text>
        <r>
          <rPr>
            <sz val="9"/>
            <color indexed="81"/>
            <rFont val="Tahoma"/>
            <family val="2"/>
          </rPr>
          <t xml:space="preserve">Uncertainty estimated from difference between well-mixed (37) and lifetime adjusted (25) GWP </t>
        </r>
      </text>
    </comment>
    <comment ref="E291" authorId="0" shapeId="0" xr:uid="{333927F8-D03C-4A41-A29B-D1063869C4FE}">
      <text>
        <r>
          <rPr>
            <sz val="9"/>
            <color indexed="81"/>
            <rFont val="Tahoma"/>
            <family val="2"/>
          </rPr>
          <t>https://csl.noaa.gov/groups/csl5/datasets/data/hcfcs/Summary%20HCFC-251.pdf</t>
        </r>
      </text>
    </comment>
    <comment ref="F291" authorId="0" shapeId="0" xr:uid="{2AD755DF-3E4F-4B74-B387-6DFFC6347B12}">
      <text>
        <r>
          <rPr>
            <sz val="9"/>
            <color indexed="81"/>
            <rFont val="Tahoma"/>
            <family val="2"/>
          </rPr>
          <t>Assumed to be subject to the same kind of uncertainties as the GWP estimate</t>
        </r>
        <r>
          <rPr>
            <sz val="9"/>
            <color indexed="81"/>
            <rFont val="Tahoma"/>
            <family val="2"/>
          </rPr>
          <t xml:space="preserve">
</t>
        </r>
      </text>
    </comment>
    <comment ref="G291" authorId="0" shapeId="0" xr:uid="{E199D5B7-9AD3-4661-8941-AE35B628ADDE}">
      <text>
        <r>
          <rPr>
            <sz val="9"/>
            <color indexed="81"/>
            <rFont val="Tahoma"/>
            <family val="2"/>
          </rPr>
          <t xml:space="preserve">See note on CFC-11
</t>
        </r>
      </text>
    </comment>
    <comment ref="I291" authorId="0" shapeId="0" xr:uid="{28612200-64BD-47A6-9532-4F8B7DF4A153}">
      <text>
        <r>
          <rPr>
            <sz val="9"/>
            <color indexed="81"/>
            <rFont val="Tahoma"/>
            <family val="2"/>
          </rPr>
          <t xml:space="preserve">See note on CFC-11
</t>
        </r>
      </text>
    </comment>
    <comment ref="J291" authorId="0" shapeId="0" xr:uid="{B7921C23-6AAF-4CB9-B0DB-A17CC3070ED4}">
      <text>
        <r>
          <rPr>
            <sz val="9"/>
            <color indexed="81"/>
            <rFont val="Tahoma"/>
            <family val="2"/>
          </rPr>
          <t xml:space="preserve">See notes on CFC11
</t>
        </r>
      </text>
    </comment>
    <comment ref="A292" authorId="0" shapeId="0" xr:uid="{7205DD29-2C4D-4FB8-8A3B-2A9D06C7C80E}">
      <text>
        <r>
          <rPr>
            <sz val="9"/>
            <color indexed="81"/>
            <rFont val="Tahoma"/>
            <family val="2"/>
          </rPr>
          <t>CH2FCCl2CH2F,
2,2-Dichloro-1,3-difluoropropane</t>
        </r>
      </text>
    </comment>
    <comment ref="C292" authorId="0" shapeId="0" xr:uid="{1C062C88-47C1-41D1-B786-C83C7ECFD673}">
      <text>
        <r>
          <rPr>
            <sz val="9"/>
            <color indexed="81"/>
            <rFont val="Tahoma"/>
            <family val="2"/>
          </rPr>
          <t>https://csl.noaa.gov/groups/csl5/datasets/data/hcfcs/Summary%20HCFC-252.pdf</t>
        </r>
      </text>
    </comment>
    <comment ref="D292" authorId="0" shapeId="0" xr:uid="{C2D47281-FFE3-4D7C-BAB2-B5740C6E1437}">
      <text>
        <r>
          <rPr>
            <sz val="9"/>
            <color indexed="81"/>
            <rFont val="Tahoma"/>
            <family val="2"/>
          </rPr>
          <t xml:space="preserve">Uncertainty estimated from difference between well-mixed (99) and lifetime adjusted (83) GWP </t>
        </r>
      </text>
    </comment>
    <comment ref="E292" authorId="0" shapeId="0" xr:uid="{3A5F78FD-9AB0-4216-9A3B-F1BCA2CD1A0B}">
      <text>
        <r>
          <rPr>
            <sz val="9"/>
            <color indexed="81"/>
            <rFont val="Tahoma"/>
            <family val="2"/>
          </rPr>
          <t>https://csl.noaa.gov/groups/csl5/datasets/data/hcfcs/Summary%20HCFC-252.pdf</t>
        </r>
      </text>
    </comment>
    <comment ref="F292" authorId="0" shapeId="0" xr:uid="{0EEF2154-3CFB-4BB8-A16E-CEC27E6D8BC5}">
      <text>
        <r>
          <rPr>
            <sz val="9"/>
            <color indexed="81"/>
            <rFont val="Tahoma"/>
            <family val="2"/>
          </rPr>
          <t>Assumed to be subject to the same kind of uncertainties as the GWP estimate</t>
        </r>
        <r>
          <rPr>
            <sz val="9"/>
            <color indexed="81"/>
            <rFont val="Tahoma"/>
            <family val="2"/>
          </rPr>
          <t xml:space="preserve">
</t>
        </r>
      </text>
    </comment>
    <comment ref="G292" authorId="0" shapeId="0" xr:uid="{2448A4C5-EA0B-42BD-B0CD-8416E1DAEE41}">
      <text>
        <r>
          <rPr>
            <sz val="9"/>
            <color indexed="81"/>
            <rFont val="Tahoma"/>
            <family val="2"/>
          </rPr>
          <t xml:space="preserve">See note on CFC-11
</t>
        </r>
      </text>
    </comment>
    <comment ref="I292" authorId="0" shapeId="0" xr:uid="{8172549C-6EF6-4AB9-96D0-C461CE347F66}">
      <text>
        <r>
          <rPr>
            <sz val="9"/>
            <color indexed="81"/>
            <rFont val="Tahoma"/>
            <family val="2"/>
          </rPr>
          <t xml:space="preserve">See note on CFC-11
</t>
        </r>
      </text>
    </comment>
    <comment ref="J292" authorId="0" shapeId="0" xr:uid="{851D270C-D982-4592-9F7B-22D2F04CFCD2}">
      <text>
        <r>
          <rPr>
            <sz val="9"/>
            <color indexed="81"/>
            <rFont val="Tahoma"/>
            <family val="2"/>
          </rPr>
          <t xml:space="preserve">See notes on CFC11
</t>
        </r>
      </text>
    </comment>
    <comment ref="A293" authorId="0" shapeId="0" xr:uid="{9DFCBC20-832D-4945-B9BF-4D20443C4E26}">
      <text>
        <r>
          <rPr>
            <sz val="9"/>
            <color indexed="81"/>
            <rFont val="Tahoma"/>
            <family val="2"/>
          </rPr>
          <t xml:space="preserve">CH3CCl2CHF2,
2,2-Dichloro-1,1-difluoropropane
</t>
        </r>
      </text>
    </comment>
    <comment ref="C293" authorId="0" shapeId="0" xr:uid="{3833B01D-0E75-444C-AC0F-1683C8ACD05D}">
      <text>
        <r>
          <rPr>
            <sz val="9"/>
            <color indexed="81"/>
            <rFont val="Tahoma"/>
            <family val="2"/>
          </rPr>
          <t>https://csl.noaa.gov/groups/csl5/datasets/data/hcfcs/Summary%20HCFC-252.pdf</t>
        </r>
      </text>
    </comment>
    <comment ref="D293" authorId="0" shapeId="0" xr:uid="{56481C55-ABF6-4129-B751-B26FE71D53AB}">
      <text>
        <r>
          <rPr>
            <sz val="9"/>
            <color indexed="81"/>
            <rFont val="Tahoma"/>
            <family val="2"/>
          </rPr>
          <t xml:space="preserve">Uncertainty estimated from difference between well-mixed (301) and lifetime adjusted (275) GWP </t>
        </r>
      </text>
    </comment>
    <comment ref="E293" authorId="0" shapeId="0" xr:uid="{7566F9A0-767F-41AD-BAF9-60586BCF359B}">
      <text>
        <r>
          <rPr>
            <sz val="9"/>
            <color indexed="81"/>
            <rFont val="Tahoma"/>
            <family val="2"/>
          </rPr>
          <t>https://csl.noaa.gov/groups/csl5/datasets/data/hcfcs/Summary%20HCFC-252.pdf</t>
        </r>
      </text>
    </comment>
    <comment ref="F293" authorId="0" shapeId="0" xr:uid="{E91CF653-1F2D-4E5E-9A60-2D740E248702}">
      <text>
        <r>
          <rPr>
            <sz val="9"/>
            <color indexed="81"/>
            <rFont val="Tahoma"/>
            <family val="2"/>
          </rPr>
          <t>Assumed to be subject to the same kind of uncertainties as the GWP estimate</t>
        </r>
        <r>
          <rPr>
            <sz val="9"/>
            <color indexed="81"/>
            <rFont val="Tahoma"/>
            <family val="2"/>
          </rPr>
          <t xml:space="preserve">
</t>
        </r>
      </text>
    </comment>
    <comment ref="G293" authorId="0" shapeId="0" xr:uid="{39AFEDA3-6887-4A49-AEC3-66E9660C7748}">
      <text>
        <r>
          <rPr>
            <sz val="9"/>
            <color indexed="81"/>
            <rFont val="Tahoma"/>
            <family val="2"/>
          </rPr>
          <t xml:space="preserve">See note on CFC-11
</t>
        </r>
      </text>
    </comment>
    <comment ref="I293" authorId="0" shapeId="0" xr:uid="{0C6615C6-137F-4A6A-96CC-D8ACCE95EF60}">
      <text>
        <r>
          <rPr>
            <sz val="9"/>
            <color indexed="81"/>
            <rFont val="Tahoma"/>
            <family val="2"/>
          </rPr>
          <t xml:space="preserve">See note on CFC-11
</t>
        </r>
      </text>
    </comment>
    <comment ref="J293" authorId="0" shapeId="0" xr:uid="{E66A8057-1671-4A72-ACB2-F53B152D4CF3}">
      <text>
        <r>
          <rPr>
            <sz val="9"/>
            <color indexed="81"/>
            <rFont val="Tahoma"/>
            <family val="2"/>
          </rPr>
          <t xml:space="preserve">See notes on CFC11
</t>
        </r>
      </text>
    </comment>
    <comment ref="A294" authorId="0" shapeId="0" xr:uid="{53CBC59E-F29A-45B4-823A-17B2BD1B3597}">
      <text>
        <r>
          <rPr>
            <sz val="9"/>
            <color indexed="81"/>
            <rFont val="Tahoma"/>
            <family val="2"/>
          </rPr>
          <t xml:space="preserve">CH2ClCClFCH2F,
1,2-Dichloro-2,3-difluoropropane
</t>
        </r>
      </text>
    </comment>
    <comment ref="C294" authorId="0" shapeId="0" xr:uid="{CF23093C-293A-4EDD-B493-6125B27DC82C}">
      <text>
        <r>
          <rPr>
            <sz val="9"/>
            <color indexed="81"/>
            <rFont val="Tahoma"/>
            <family val="2"/>
          </rPr>
          <t>https://csl.noaa.gov/groups/csl5/datasets/data/hcfcs/Summary%20HCFC-252.pdf</t>
        </r>
      </text>
    </comment>
    <comment ref="D294" authorId="0" shapeId="0" xr:uid="{BD543A02-8DC0-40D3-8D3F-F9967382C877}">
      <text>
        <r>
          <rPr>
            <sz val="9"/>
            <color indexed="81"/>
            <rFont val="Tahoma"/>
            <family val="2"/>
          </rPr>
          <t xml:space="preserve">Uncertainty estimated from difference between well-mixed (104) and lifetime adjusted (89) GWP </t>
        </r>
      </text>
    </comment>
    <comment ref="E294" authorId="0" shapeId="0" xr:uid="{8E7791D3-3AE8-4A75-8619-7F7E9DAD67A3}">
      <text>
        <r>
          <rPr>
            <sz val="9"/>
            <color indexed="81"/>
            <rFont val="Tahoma"/>
            <family val="2"/>
          </rPr>
          <t>https://csl.noaa.gov/groups/csl5/datasets/data/hcfcs/Summary%20HCFC-252.pdf</t>
        </r>
      </text>
    </comment>
    <comment ref="F294" authorId="0" shapeId="0" xr:uid="{A001A3D6-F53C-4B70-8205-FA5F11157B25}">
      <text>
        <r>
          <rPr>
            <sz val="9"/>
            <color indexed="81"/>
            <rFont val="Tahoma"/>
            <family val="2"/>
          </rPr>
          <t>Assumed to be subject to the same kind of uncertainties as the GWP estimate</t>
        </r>
        <r>
          <rPr>
            <sz val="9"/>
            <color indexed="81"/>
            <rFont val="Tahoma"/>
            <family val="2"/>
          </rPr>
          <t xml:space="preserve">
</t>
        </r>
      </text>
    </comment>
    <comment ref="G294" authorId="0" shapeId="0" xr:uid="{277F8693-33A7-4883-B98D-5C781D5C30C6}">
      <text>
        <r>
          <rPr>
            <sz val="9"/>
            <color indexed="81"/>
            <rFont val="Tahoma"/>
            <family val="2"/>
          </rPr>
          <t xml:space="preserve">See note on CFC-11
</t>
        </r>
      </text>
    </comment>
    <comment ref="I294" authorId="0" shapeId="0" xr:uid="{6916470E-81FC-41EC-A3BB-06787597BCFD}">
      <text>
        <r>
          <rPr>
            <sz val="9"/>
            <color indexed="81"/>
            <rFont val="Tahoma"/>
            <family val="2"/>
          </rPr>
          <t xml:space="preserve">See note on CFC-11
</t>
        </r>
      </text>
    </comment>
    <comment ref="J294" authorId="0" shapeId="0" xr:uid="{B879E9FC-4236-4DDC-AAF0-D54C7D374AA9}">
      <text>
        <r>
          <rPr>
            <sz val="9"/>
            <color indexed="81"/>
            <rFont val="Tahoma"/>
            <family val="2"/>
          </rPr>
          <t xml:space="preserve">See notes on CFC11
</t>
        </r>
      </text>
    </comment>
    <comment ref="A295" authorId="0" shapeId="0" xr:uid="{561A13F3-E1B7-4E69-BB63-9B8781CE099D}">
      <text>
        <r>
          <rPr>
            <sz val="9"/>
            <color indexed="81"/>
            <rFont val="Tahoma"/>
            <family val="2"/>
          </rPr>
          <t xml:space="preserve">CH3CClFCHClF,
1,2-Dichloro-1,2-difluoropropane
</t>
        </r>
      </text>
    </comment>
    <comment ref="C295" authorId="0" shapeId="0" xr:uid="{9491AAAE-18F5-4D04-BA93-2FA3832EF4D0}">
      <text>
        <r>
          <rPr>
            <sz val="9"/>
            <color indexed="81"/>
            <rFont val="Tahoma"/>
            <family val="2"/>
          </rPr>
          <t>https://csl.noaa.gov/groups/csl5/datasets/data/hcfcs/Summary%20HCFC-252.pdf</t>
        </r>
      </text>
    </comment>
    <comment ref="D295" authorId="0" shapeId="0" xr:uid="{EAFADB4E-AB22-4B60-B18E-E27B91A3AF98}">
      <text>
        <r>
          <rPr>
            <sz val="9"/>
            <color indexed="81"/>
            <rFont val="Tahoma"/>
            <family val="2"/>
          </rPr>
          <t xml:space="preserve">Uncertainty estimated from difference between well-mixed (196) and lifetime adjusted (173) GWP </t>
        </r>
      </text>
    </comment>
    <comment ref="E295" authorId="0" shapeId="0" xr:uid="{A0ABB79A-E716-4B34-A69D-BC3F0B978C50}">
      <text>
        <r>
          <rPr>
            <sz val="9"/>
            <color indexed="81"/>
            <rFont val="Tahoma"/>
            <family val="2"/>
          </rPr>
          <t>https://csl.noaa.gov/groups/csl5/datasets/data/hcfcs/Summary%20HCFC-252.pdf</t>
        </r>
      </text>
    </comment>
    <comment ref="F295" authorId="0" shapeId="0" xr:uid="{F60C6175-EC2F-4781-90A9-15C5904201B9}">
      <text>
        <r>
          <rPr>
            <sz val="9"/>
            <color indexed="81"/>
            <rFont val="Tahoma"/>
            <family val="2"/>
          </rPr>
          <t>Assumed to be subject to the same kind of uncertainties as the GWP estimate</t>
        </r>
        <r>
          <rPr>
            <sz val="9"/>
            <color indexed="81"/>
            <rFont val="Tahoma"/>
            <family val="2"/>
          </rPr>
          <t xml:space="preserve">
</t>
        </r>
      </text>
    </comment>
    <comment ref="G295" authorId="0" shapeId="0" xr:uid="{F873B7D8-22CB-4D03-870E-9AEBC338324A}">
      <text>
        <r>
          <rPr>
            <sz val="9"/>
            <color indexed="81"/>
            <rFont val="Tahoma"/>
            <family val="2"/>
          </rPr>
          <t xml:space="preserve">See note on CFC-11
</t>
        </r>
      </text>
    </comment>
    <comment ref="I295" authorId="0" shapeId="0" xr:uid="{9C07CC76-C5FF-4895-A937-8172FA64FF45}">
      <text>
        <r>
          <rPr>
            <sz val="9"/>
            <color indexed="81"/>
            <rFont val="Tahoma"/>
            <family val="2"/>
          </rPr>
          <t xml:space="preserve">See note on CFC-11
</t>
        </r>
      </text>
    </comment>
    <comment ref="J295" authorId="0" shapeId="0" xr:uid="{60D78B82-52E1-421E-940D-9E01196335C2}">
      <text>
        <r>
          <rPr>
            <sz val="9"/>
            <color indexed="81"/>
            <rFont val="Tahoma"/>
            <family val="2"/>
          </rPr>
          <t xml:space="preserve">See notes on CFC11
</t>
        </r>
      </text>
    </comment>
    <comment ref="A296" authorId="0" shapeId="0" xr:uid="{FB7E4813-2B64-42C9-8757-15462E746A2F}">
      <text>
        <r>
          <rPr>
            <sz val="9"/>
            <color indexed="81"/>
            <rFont val="Tahoma"/>
            <family val="2"/>
          </rPr>
          <t xml:space="preserve">CH2ClCF2CH2Cl,
1,3-Dichloro-2,2-difluoropropane
</t>
        </r>
      </text>
    </comment>
    <comment ref="C296" authorId="0" shapeId="0" xr:uid="{01A988D2-C501-403A-89A4-F83410E8A3A4}">
      <text>
        <r>
          <rPr>
            <sz val="9"/>
            <color indexed="81"/>
            <rFont val="Tahoma"/>
            <family val="2"/>
          </rPr>
          <t>https://csl.noaa.gov/groups/csl5/datasets/data/hcfcs/Summary%20HCFC-252.pdf</t>
        </r>
      </text>
    </comment>
    <comment ref="D296" authorId="0" shapeId="0" xr:uid="{164EFDFF-0DF8-48AF-8A66-B47FB7A7C2BA}">
      <text>
        <r>
          <rPr>
            <sz val="9"/>
            <color indexed="81"/>
            <rFont val="Tahoma"/>
            <family val="2"/>
          </rPr>
          <t xml:space="preserve">Uncertainty estimated from difference between well-mixed (147) and lifetime adjusted (127) GWP </t>
        </r>
      </text>
    </comment>
    <comment ref="E296" authorId="0" shapeId="0" xr:uid="{C3169C5D-D991-4744-9793-E05EA95A21DB}">
      <text>
        <r>
          <rPr>
            <sz val="9"/>
            <color indexed="81"/>
            <rFont val="Tahoma"/>
            <family val="2"/>
          </rPr>
          <t>https://csl.noaa.gov/groups/csl5/datasets/data/hcfcs/Summary%20HCFC-252.pdf</t>
        </r>
      </text>
    </comment>
    <comment ref="F296" authorId="0" shapeId="0" xr:uid="{DCBA4B49-E0FC-4CE5-AE50-553556333730}">
      <text>
        <r>
          <rPr>
            <sz val="9"/>
            <color indexed="81"/>
            <rFont val="Tahoma"/>
            <family val="2"/>
          </rPr>
          <t>Assumed to be subject to the same kind of uncertainties as the GWP estimate</t>
        </r>
        <r>
          <rPr>
            <sz val="9"/>
            <color indexed="81"/>
            <rFont val="Tahoma"/>
            <family val="2"/>
          </rPr>
          <t xml:space="preserve">
</t>
        </r>
      </text>
    </comment>
    <comment ref="G296" authorId="0" shapeId="0" xr:uid="{FBC423CF-4318-4024-B0D3-1033BD5C66DC}">
      <text>
        <r>
          <rPr>
            <sz val="9"/>
            <color indexed="81"/>
            <rFont val="Tahoma"/>
            <family val="2"/>
          </rPr>
          <t xml:space="preserve">See note on CFC-11
</t>
        </r>
      </text>
    </comment>
    <comment ref="I296" authorId="0" shapeId="0" xr:uid="{08300133-5C07-4947-A791-819EFB43219A}">
      <text>
        <r>
          <rPr>
            <sz val="9"/>
            <color indexed="81"/>
            <rFont val="Tahoma"/>
            <family val="2"/>
          </rPr>
          <t xml:space="preserve">See note on CFC-11
</t>
        </r>
      </text>
    </comment>
    <comment ref="J296" authorId="0" shapeId="0" xr:uid="{5E025EC0-9B7F-490F-B880-481E5C601787}">
      <text>
        <r>
          <rPr>
            <sz val="9"/>
            <color indexed="81"/>
            <rFont val="Tahoma"/>
            <family val="2"/>
          </rPr>
          <t xml:space="preserve">See notes on CFC11
</t>
        </r>
      </text>
    </comment>
    <comment ref="A297" authorId="0" shapeId="0" xr:uid="{59C9E5FD-81DB-48CC-B4F2-AE133EF63487}">
      <text>
        <r>
          <rPr>
            <sz val="9"/>
            <color indexed="81"/>
            <rFont val="Tahoma"/>
            <family val="2"/>
          </rPr>
          <t>CH3CF2CHCl2,
1,1-Dichloro-2,2-difluoropropane</t>
        </r>
      </text>
    </comment>
    <comment ref="C297" authorId="0" shapeId="0" xr:uid="{8A746ED2-EA33-4B54-9C7F-176963C096A2}">
      <text>
        <r>
          <rPr>
            <sz val="9"/>
            <color indexed="81"/>
            <rFont val="Tahoma"/>
            <family val="2"/>
          </rPr>
          <t>https://csl.noaa.gov/groups/csl5/datasets/data/hcfcs/Summary%20HCFC-252.pdf</t>
        </r>
      </text>
    </comment>
    <comment ref="D297" authorId="0" shapeId="0" xr:uid="{929D8DBA-2885-48F2-BD97-154F9308CD2F}">
      <text>
        <r>
          <rPr>
            <sz val="9"/>
            <color indexed="81"/>
            <rFont val="Tahoma"/>
            <family val="2"/>
          </rPr>
          <t xml:space="preserve">Uncertainty estimated from difference between well-mixed (92) and lifetime adjusted (71) GWP </t>
        </r>
      </text>
    </comment>
    <comment ref="E297" authorId="0" shapeId="0" xr:uid="{0F163517-D38A-413E-94EF-409BD1596DB9}">
      <text>
        <r>
          <rPr>
            <sz val="9"/>
            <color indexed="81"/>
            <rFont val="Tahoma"/>
            <family val="2"/>
          </rPr>
          <t>https://csl.noaa.gov/groups/csl5/datasets/data/hcfcs/Summary%20HCFC-252.pdf</t>
        </r>
      </text>
    </comment>
    <comment ref="F297" authorId="0" shapeId="0" xr:uid="{9D4EC190-3DFD-455F-B2A0-85FB197AF101}">
      <text>
        <r>
          <rPr>
            <sz val="9"/>
            <color indexed="81"/>
            <rFont val="Tahoma"/>
            <family val="2"/>
          </rPr>
          <t>Assumed to be subject to the same kind of uncertainties as the GWP estimate</t>
        </r>
        <r>
          <rPr>
            <sz val="9"/>
            <color indexed="81"/>
            <rFont val="Tahoma"/>
            <family val="2"/>
          </rPr>
          <t xml:space="preserve">
</t>
        </r>
      </text>
    </comment>
    <comment ref="G297" authorId="0" shapeId="0" xr:uid="{3F868B16-7C96-4903-890A-1206C7B58910}">
      <text>
        <r>
          <rPr>
            <sz val="9"/>
            <color indexed="81"/>
            <rFont val="Tahoma"/>
            <family val="2"/>
          </rPr>
          <t xml:space="preserve">See note on CFC-11
</t>
        </r>
      </text>
    </comment>
    <comment ref="I297" authorId="0" shapeId="0" xr:uid="{F7539FA7-12DB-4684-BFA8-438D8DFA1772}">
      <text>
        <r>
          <rPr>
            <sz val="9"/>
            <color indexed="81"/>
            <rFont val="Tahoma"/>
            <family val="2"/>
          </rPr>
          <t xml:space="preserve">See note on CFC-11
</t>
        </r>
      </text>
    </comment>
    <comment ref="J297" authorId="0" shapeId="0" xr:uid="{D03DC18B-1655-466C-9C9F-55FEC7A05E77}">
      <text>
        <r>
          <rPr>
            <sz val="9"/>
            <color indexed="81"/>
            <rFont val="Tahoma"/>
            <family val="2"/>
          </rPr>
          <t xml:space="preserve">See notes on CFC11
</t>
        </r>
      </text>
    </comment>
    <comment ref="A298" authorId="0" shapeId="0" xr:uid="{CD41E04F-D427-46E1-9BEC-89A8934E4937}">
      <text>
        <r>
          <rPr>
            <sz val="9"/>
            <color indexed="81"/>
            <rFont val="Tahoma"/>
            <family val="2"/>
          </rPr>
          <t xml:space="preserve">CH2ClCHClCHF2,
2,3-Dichloro-1,1-difluoropropane
</t>
        </r>
      </text>
    </comment>
    <comment ref="C298" authorId="0" shapeId="0" xr:uid="{C68E13DC-BCCC-4129-92B0-533AF5535ED0}">
      <text>
        <r>
          <rPr>
            <sz val="9"/>
            <color indexed="81"/>
            <rFont val="Tahoma"/>
            <family val="2"/>
          </rPr>
          <t>https://csl.noaa.gov/groups/csl5/datasets/data/hcfcs/Summary%20HCFC-252.pdf</t>
        </r>
      </text>
    </comment>
    <comment ref="D298" authorId="0" shapeId="0" xr:uid="{ADB83223-159C-4952-BF3B-6C99F498A3F9}">
      <text>
        <r>
          <rPr>
            <sz val="9"/>
            <color indexed="81"/>
            <rFont val="Tahoma"/>
            <family val="2"/>
          </rPr>
          <t xml:space="preserve">Uncertainty estimated from difference between well-mixed (49) and lifetime adjusted (37) GWP </t>
        </r>
      </text>
    </comment>
    <comment ref="E298" authorId="0" shapeId="0" xr:uid="{C59DA2D4-3722-4843-8B77-C8DA657C6DE6}">
      <text>
        <r>
          <rPr>
            <sz val="9"/>
            <color indexed="81"/>
            <rFont val="Tahoma"/>
            <family val="2"/>
          </rPr>
          <t>https://csl.noaa.gov/groups/csl5/datasets/data/hcfcs/Summary%20HCFC-252.pdf</t>
        </r>
      </text>
    </comment>
    <comment ref="F298" authorId="0" shapeId="0" xr:uid="{5C73AB25-79B6-401B-A352-86F19AA27200}">
      <text>
        <r>
          <rPr>
            <sz val="9"/>
            <color indexed="81"/>
            <rFont val="Tahoma"/>
            <family val="2"/>
          </rPr>
          <t>Assumed to be subject to the same kind of uncertainties as the GWP estimate</t>
        </r>
        <r>
          <rPr>
            <sz val="9"/>
            <color indexed="81"/>
            <rFont val="Tahoma"/>
            <family val="2"/>
          </rPr>
          <t xml:space="preserve">
</t>
        </r>
      </text>
    </comment>
    <comment ref="G298" authorId="0" shapeId="0" xr:uid="{736DAAB1-2380-4BFF-92D2-FA232FC88EFE}">
      <text>
        <r>
          <rPr>
            <sz val="9"/>
            <color indexed="81"/>
            <rFont val="Tahoma"/>
            <family val="2"/>
          </rPr>
          <t xml:space="preserve">See note on CFC-11
</t>
        </r>
      </text>
    </comment>
    <comment ref="I298" authorId="0" shapeId="0" xr:uid="{E7120C95-D19A-4FE6-913D-30B10127E876}">
      <text>
        <r>
          <rPr>
            <sz val="9"/>
            <color indexed="81"/>
            <rFont val="Tahoma"/>
            <family val="2"/>
          </rPr>
          <t xml:space="preserve">See note on CFC-11
</t>
        </r>
      </text>
    </comment>
    <comment ref="J298" authorId="0" shapeId="0" xr:uid="{89B306FE-2BF6-4C0A-81D6-1ECC95902056}">
      <text>
        <r>
          <rPr>
            <sz val="9"/>
            <color indexed="81"/>
            <rFont val="Tahoma"/>
            <family val="2"/>
          </rPr>
          <t xml:space="preserve">See notes on CFC11
</t>
        </r>
      </text>
    </comment>
    <comment ref="A299" authorId="0" shapeId="0" xr:uid="{28F5CB13-F405-4C96-8901-0C9ECCF5AFD3}">
      <text>
        <r>
          <rPr>
            <sz val="9"/>
            <color indexed="81"/>
            <rFont val="Tahoma"/>
            <family val="2"/>
          </rPr>
          <t xml:space="preserve">CH2FCHClCHClF,
1,2-Dichloro-1,3-difluoropropane
</t>
        </r>
      </text>
    </comment>
    <comment ref="C299" authorId="0" shapeId="0" xr:uid="{2F5592BA-618E-4E59-85EA-FD6D76EFDB04}">
      <text>
        <r>
          <rPr>
            <sz val="9"/>
            <color indexed="81"/>
            <rFont val="Tahoma"/>
            <family val="2"/>
          </rPr>
          <t>https://csl.noaa.gov/groups/csl5/datasets/data/hcfcs/Summary%20HCFC-252.pdf</t>
        </r>
      </text>
    </comment>
    <comment ref="D299" authorId="0" shapeId="0" xr:uid="{007DD321-F27A-4698-8C9C-04A0BDE31A19}">
      <text>
        <r>
          <rPr>
            <sz val="9"/>
            <color indexed="81"/>
            <rFont val="Tahoma"/>
            <family val="2"/>
          </rPr>
          <t xml:space="preserve">Uncertainty estimated from difference between well-mixed (62) and lifetime adjusted (48) GWP </t>
        </r>
      </text>
    </comment>
    <comment ref="E299" authorId="0" shapeId="0" xr:uid="{CB7631F3-9C6C-4841-A7DE-41421F97DAB6}">
      <text>
        <r>
          <rPr>
            <sz val="9"/>
            <color indexed="81"/>
            <rFont val="Tahoma"/>
            <family val="2"/>
          </rPr>
          <t>https://csl.noaa.gov/groups/csl5/datasets/data/hcfcs/Summary%20HCFC-252.pdf</t>
        </r>
      </text>
    </comment>
    <comment ref="F299" authorId="0" shapeId="0" xr:uid="{56213A13-D4A5-4E26-A786-C865B8DA567E}">
      <text>
        <r>
          <rPr>
            <sz val="9"/>
            <color indexed="81"/>
            <rFont val="Tahoma"/>
            <family val="2"/>
          </rPr>
          <t>Assumed to be subject to the same kind of uncertainties as the GWP estimate</t>
        </r>
        <r>
          <rPr>
            <sz val="9"/>
            <color indexed="81"/>
            <rFont val="Tahoma"/>
            <family val="2"/>
          </rPr>
          <t xml:space="preserve">
</t>
        </r>
      </text>
    </comment>
    <comment ref="G299" authorId="0" shapeId="0" xr:uid="{71977684-2FA5-4AF4-B796-AAA9AEED29E4}">
      <text>
        <r>
          <rPr>
            <sz val="9"/>
            <color indexed="81"/>
            <rFont val="Tahoma"/>
            <family val="2"/>
          </rPr>
          <t xml:space="preserve">See note on CFC-11
</t>
        </r>
      </text>
    </comment>
    <comment ref="I299" authorId="0" shapeId="0" xr:uid="{56517FDE-2E15-4318-9B7D-9AF1AA45541C}">
      <text>
        <r>
          <rPr>
            <sz val="9"/>
            <color indexed="81"/>
            <rFont val="Tahoma"/>
            <family val="2"/>
          </rPr>
          <t xml:space="preserve">See note on CFC-11
</t>
        </r>
      </text>
    </comment>
    <comment ref="J299" authorId="0" shapeId="0" xr:uid="{5560D8C5-D782-4246-A0B3-E577228F2C12}">
      <text>
        <r>
          <rPr>
            <sz val="9"/>
            <color indexed="81"/>
            <rFont val="Tahoma"/>
            <family val="2"/>
          </rPr>
          <t xml:space="preserve">See notes on CFC11
</t>
        </r>
      </text>
    </comment>
    <comment ref="A300" authorId="0" shapeId="0" xr:uid="{20F88591-4ADF-422E-A7AC-63B179E6618E}">
      <text>
        <r>
          <rPr>
            <sz val="9"/>
            <color indexed="81"/>
            <rFont val="Tahoma"/>
            <family val="2"/>
          </rPr>
          <t xml:space="preserve">CH3CHClCClF2,
1,2-Dichloro-1,1-difluoropropane
</t>
        </r>
      </text>
    </comment>
    <comment ref="C300" authorId="0" shapeId="0" xr:uid="{21055403-23C7-4BFE-B89B-59D0437F3222}">
      <text>
        <r>
          <rPr>
            <sz val="9"/>
            <color indexed="81"/>
            <rFont val="Tahoma"/>
            <family val="2"/>
          </rPr>
          <t>https://csl.noaa.gov/groups/csl5/datasets/data/hcfcs/Summary%20HCFC-252.pdf</t>
        </r>
      </text>
    </comment>
    <comment ref="D300" authorId="0" shapeId="0" xr:uid="{1DBE33BF-AD08-472F-AB22-87C65A983F6C}">
      <text>
        <r>
          <rPr>
            <sz val="9"/>
            <color indexed="81"/>
            <rFont val="Tahoma"/>
            <family val="2"/>
          </rPr>
          <t xml:space="preserve">Uncertainty estimated from difference between well-mixed (68) and lifetime adjusted (47) GWP </t>
        </r>
      </text>
    </comment>
    <comment ref="E300" authorId="0" shapeId="0" xr:uid="{E27BE14F-BC54-4F0F-936C-D24F582DC942}">
      <text>
        <r>
          <rPr>
            <sz val="9"/>
            <color indexed="81"/>
            <rFont val="Tahoma"/>
            <family val="2"/>
          </rPr>
          <t>https://csl.noaa.gov/groups/csl5/datasets/data/hcfcs/Summary%20HCFC-252.pdf</t>
        </r>
      </text>
    </comment>
    <comment ref="F300" authorId="0" shapeId="0" xr:uid="{CDAC4462-5431-4CE7-AB27-C38169F31B14}">
      <text>
        <r>
          <rPr>
            <sz val="9"/>
            <color indexed="81"/>
            <rFont val="Tahoma"/>
            <family val="2"/>
          </rPr>
          <t>Assumed to be subject to the same kind of uncertainties as the GWP estimate</t>
        </r>
        <r>
          <rPr>
            <sz val="9"/>
            <color indexed="81"/>
            <rFont val="Tahoma"/>
            <family val="2"/>
          </rPr>
          <t xml:space="preserve">
</t>
        </r>
      </text>
    </comment>
    <comment ref="G300" authorId="0" shapeId="0" xr:uid="{C957B404-D9F9-42D1-A449-35CAC7BC111A}">
      <text>
        <r>
          <rPr>
            <sz val="9"/>
            <color indexed="81"/>
            <rFont val="Tahoma"/>
            <family val="2"/>
          </rPr>
          <t xml:space="preserve">See note on CFC-11
</t>
        </r>
      </text>
    </comment>
    <comment ref="I300" authorId="0" shapeId="0" xr:uid="{4CE2B0D4-E44C-4020-A3EC-F386FEC8CDC4}">
      <text>
        <r>
          <rPr>
            <sz val="9"/>
            <color indexed="81"/>
            <rFont val="Tahoma"/>
            <family val="2"/>
          </rPr>
          <t xml:space="preserve">See note on CFC-11
</t>
        </r>
      </text>
    </comment>
    <comment ref="J300" authorId="0" shapeId="0" xr:uid="{23615B4B-1A82-4DA4-BA0F-5B5B15BB7C3E}">
      <text>
        <r>
          <rPr>
            <sz val="9"/>
            <color indexed="81"/>
            <rFont val="Tahoma"/>
            <family val="2"/>
          </rPr>
          <t xml:space="preserve">See notes on CFC11
</t>
        </r>
      </text>
    </comment>
    <comment ref="A301" authorId="0" shapeId="0" xr:uid="{BD06F5E2-56B6-40BC-BBC5-96CD6C89BB8D}">
      <text>
        <r>
          <rPr>
            <sz val="9"/>
            <color indexed="81"/>
            <rFont val="Tahoma"/>
            <family val="2"/>
          </rPr>
          <t>CH2ClCHFCHClF,
1,3-Dichloro-1,2-difluoropropane</t>
        </r>
      </text>
    </comment>
    <comment ref="C301" authorId="0" shapeId="0" xr:uid="{B59BDBD9-C6B7-4A23-B246-6786B5EB0FA7}">
      <text>
        <r>
          <rPr>
            <sz val="9"/>
            <color indexed="81"/>
            <rFont val="Tahoma"/>
            <family val="2"/>
          </rPr>
          <t>https://csl.noaa.gov/groups/csl5/datasets/data/hcfcs/Summary%20HCFC-252.pdf</t>
        </r>
      </text>
    </comment>
    <comment ref="D301" authorId="0" shapeId="0" xr:uid="{BFD373DC-A25B-4C50-AF35-E83B570D24C3}">
      <text>
        <r>
          <rPr>
            <sz val="9"/>
            <color indexed="81"/>
            <rFont val="Tahoma"/>
            <family val="2"/>
          </rPr>
          <t xml:space="preserve">Uncertainty estimated from difference between well-mixed (63) and lifetime adjusted (47                                                                                                       ) GWP </t>
        </r>
      </text>
    </comment>
    <comment ref="E301" authorId="0" shapeId="0" xr:uid="{1A9CA2D3-7A5B-40F9-A527-2ED90070AB83}">
      <text>
        <r>
          <rPr>
            <sz val="9"/>
            <color indexed="81"/>
            <rFont val="Tahoma"/>
            <family val="2"/>
          </rPr>
          <t>https://csl.noaa.gov/groups/csl5/datasets/data/hcfcs/Summary%20HCFC-252.pdf</t>
        </r>
      </text>
    </comment>
    <comment ref="F301" authorId="0" shapeId="0" xr:uid="{49F56254-F5A5-4AF0-BA62-0927CDB584AA}">
      <text>
        <r>
          <rPr>
            <sz val="9"/>
            <color indexed="81"/>
            <rFont val="Tahoma"/>
            <family val="2"/>
          </rPr>
          <t>Assumed to be subject to the same kind of uncertainties as the GWP estimate</t>
        </r>
        <r>
          <rPr>
            <sz val="9"/>
            <color indexed="81"/>
            <rFont val="Tahoma"/>
            <family val="2"/>
          </rPr>
          <t xml:space="preserve">
</t>
        </r>
      </text>
    </comment>
    <comment ref="G301" authorId="0" shapeId="0" xr:uid="{CC24C2CC-565F-40E2-9EBC-0072C7D6ECCA}">
      <text>
        <r>
          <rPr>
            <sz val="9"/>
            <color indexed="81"/>
            <rFont val="Tahoma"/>
            <family val="2"/>
          </rPr>
          <t xml:space="preserve">See note on CFC-11
</t>
        </r>
      </text>
    </comment>
    <comment ref="I301" authorId="0" shapeId="0" xr:uid="{603E3372-C7AD-4514-839F-48B4221E6576}">
      <text>
        <r>
          <rPr>
            <sz val="9"/>
            <color indexed="81"/>
            <rFont val="Tahoma"/>
            <family val="2"/>
          </rPr>
          <t xml:space="preserve">See note on CFC-11
</t>
        </r>
      </text>
    </comment>
    <comment ref="J301" authorId="0" shapeId="0" xr:uid="{676FA46E-C304-41F9-A627-997EC00EC7F3}">
      <text>
        <r>
          <rPr>
            <sz val="9"/>
            <color indexed="81"/>
            <rFont val="Tahoma"/>
            <family val="2"/>
          </rPr>
          <t xml:space="preserve">See notes on CFC11
</t>
        </r>
      </text>
    </comment>
    <comment ref="A302" authorId="0" shapeId="0" xr:uid="{69884EED-3508-4003-A887-F31405112AC2}">
      <text>
        <r>
          <rPr>
            <sz val="9"/>
            <color indexed="81"/>
            <rFont val="Tahoma"/>
            <family val="2"/>
          </rPr>
          <t xml:space="preserve">CH2FCHFCHCl2,
1,1-Dichloro-2,3-difluoropropane
</t>
        </r>
      </text>
    </comment>
    <comment ref="C302" authorId="0" shapeId="0" xr:uid="{7E9A9B61-C3A6-45A8-AD15-F1A59DC03B72}">
      <text>
        <r>
          <rPr>
            <sz val="9"/>
            <color indexed="81"/>
            <rFont val="Tahoma"/>
            <family val="2"/>
          </rPr>
          <t>https://csl.noaa.gov/groups/csl5/datasets/data/hcfcs/Summary%20HCFC-252.pdf</t>
        </r>
      </text>
    </comment>
    <comment ref="D302" authorId="0" shapeId="0" xr:uid="{15A4D899-EEFB-4D1D-B231-7D13FEE7B719}">
      <text>
        <r>
          <rPr>
            <sz val="9"/>
            <color indexed="81"/>
            <rFont val="Tahoma"/>
            <family val="2"/>
          </rPr>
          <t xml:space="preserve">Uncertainty estimated from difference between well-mixed (31) and lifetime adjusted (18) GWP </t>
        </r>
      </text>
    </comment>
    <comment ref="E302" authorId="0" shapeId="0" xr:uid="{489CD16D-780D-4716-B771-E622546A0491}">
      <text>
        <r>
          <rPr>
            <sz val="9"/>
            <color indexed="81"/>
            <rFont val="Tahoma"/>
            <family val="2"/>
          </rPr>
          <t>https://csl.noaa.gov/groups/csl5/datasets/data/hcfcs/Summary%20HCFC-252.pdf</t>
        </r>
      </text>
    </comment>
    <comment ref="F302" authorId="0" shapeId="0" xr:uid="{F8D2752E-06A7-4E49-8A27-893DC3039464}">
      <text>
        <r>
          <rPr>
            <sz val="9"/>
            <color indexed="81"/>
            <rFont val="Tahoma"/>
            <family val="2"/>
          </rPr>
          <t>Assumed to be subject to the same kind of uncertainties as the GWP estimate</t>
        </r>
        <r>
          <rPr>
            <sz val="9"/>
            <color indexed="81"/>
            <rFont val="Tahoma"/>
            <family val="2"/>
          </rPr>
          <t xml:space="preserve">
</t>
        </r>
      </text>
    </comment>
    <comment ref="G302" authorId="0" shapeId="0" xr:uid="{02436A74-45CC-4310-B749-7835EB730B44}">
      <text>
        <r>
          <rPr>
            <sz val="9"/>
            <color indexed="81"/>
            <rFont val="Tahoma"/>
            <family val="2"/>
          </rPr>
          <t xml:space="preserve">See note on CFC-11
</t>
        </r>
      </text>
    </comment>
    <comment ref="I302" authorId="0" shapeId="0" xr:uid="{21A23B57-7557-407C-823F-EAEEF0311056}">
      <text>
        <r>
          <rPr>
            <sz val="9"/>
            <color indexed="81"/>
            <rFont val="Tahoma"/>
            <family val="2"/>
          </rPr>
          <t xml:space="preserve">See note on CFC-11
</t>
        </r>
      </text>
    </comment>
    <comment ref="J302" authorId="0" shapeId="0" xr:uid="{4978D9BC-A3B9-447E-9695-500D476FE1F1}">
      <text>
        <r>
          <rPr>
            <sz val="9"/>
            <color indexed="81"/>
            <rFont val="Tahoma"/>
            <family val="2"/>
          </rPr>
          <t xml:space="preserve">See notes on CFC11
</t>
        </r>
      </text>
    </comment>
    <comment ref="A303" authorId="0" shapeId="0" xr:uid="{AFB04A8C-FA57-4A4B-9C7C-B3218A9EE4B2}">
      <text>
        <r>
          <rPr>
            <sz val="9"/>
            <color indexed="81"/>
            <rFont val="Tahoma"/>
            <family val="2"/>
          </rPr>
          <t xml:space="preserve">CH3CHFCCl2F,
1,1-Dichloro-1,2-difluoropropane
</t>
        </r>
      </text>
    </comment>
    <comment ref="C303" authorId="0" shapeId="0" xr:uid="{00003543-B215-4F53-ACEC-C8CD6CC7C5D4}">
      <text>
        <r>
          <rPr>
            <sz val="9"/>
            <color indexed="81"/>
            <rFont val="Tahoma"/>
            <family val="2"/>
          </rPr>
          <t>https://csl.noaa.gov/groups/csl5/datasets/data/hcfcs/Summary%20HCFC-252.pdf</t>
        </r>
      </text>
    </comment>
    <comment ref="D303" authorId="0" shapeId="0" xr:uid="{66CECB92-8072-4FE4-B411-E0FBD7D0450C}">
      <text>
        <r>
          <rPr>
            <sz val="9"/>
            <color indexed="81"/>
            <rFont val="Tahoma"/>
            <family val="2"/>
          </rPr>
          <t xml:space="preserve">Uncertainty estimated from difference between well-mixed (85) and lifetime adjusted (60) GWP </t>
        </r>
      </text>
    </comment>
    <comment ref="E303" authorId="0" shapeId="0" xr:uid="{7FA16C24-B19B-460F-9E6C-A5B595D64C14}">
      <text>
        <r>
          <rPr>
            <sz val="9"/>
            <color indexed="81"/>
            <rFont val="Tahoma"/>
            <family val="2"/>
          </rPr>
          <t>https://csl.noaa.gov/groups/csl5/datasets/data/hcfcs/Summary%20HCFC-252.pdf</t>
        </r>
      </text>
    </comment>
    <comment ref="F303" authorId="0" shapeId="0" xr:uid="{2A687320-F410-40A6-B2AD-E024C735CDC8}">
      <text>
        <r>
          <rPr>
            <sz val="9"/>
            <color indexed="81"/>
            <rFont val="Tahoma"/>
            <family val="2"/>
          </rPr>
          <t>Assumed to be subject to the same kind of uncertainties as the GWP estimate</t>
        </r>
        <r>
          <rPr>
            <sz val="9"/>
            <color indexed="81"/>
            <rFont val="Tahoma"/>
            <family val="2"/>
          </rPr>
          <t xml:space="preserve">
</t>
        </r>
      </text>
    </comment>
    <comment ref="G303" authorId="0" shapeId="0" xr:uid="{F4799E3C-E964-4DF2-B6DC-DB483CB123EF}">
      <text>
        <r>
          <rPr>
            <sz val="9"/>
            <color indexed="81"/>
            <rFont val="Tahoma"/>
            <family val="2"/>
          </rPr>
          <t xml:space="preserve">See note on CFC-11
</t>
        </r>
      </text>
    </comment>
    <comment ref="I303" authorId="0" shapeId="0" xr:uid="{6050C65C-C065-449C-AF48-817B47920DE9}">
      <text>
        <r>
          <rPr>
            <sz val="9"/>
            <color indexed="81"/>
            <rFont val="Tahoma"/>
            <family val="2"/>
          </rPr>
          <t xml:space="preserve">See note on CFC-11
</t>
        </r>
      </text>
    </comment>
    <comment ref="J303" authorId="0" shapeId="0" xr:uid="{4352B9B9-E9EB-411C-AA1A-118C490D9373}">
      <text>
        <r>
          <rPr>
            <sz val="9"/>
            <color indexed="81"/>
            <rFont val="Tahoma"/>
            <family val="2"/>
          </rPr>
          <t xml:space="preserve">See notes on CFC11
</t>
        </r>
      </text>
    </comment>
    <comment ref="A304" authorId="0" shapeId="0" xr:uid="{D9A5A980-08E4-4ADE-A64B-A530C46330FA}">
      <text>
        <r>
          <rPr>
            <sz val="9"/>
            <color indexed="81"/>
            <rFont val="Tahoma"/>
            <family val="2"/>
          </rPr>
          <t>CHClFCH2CHClF,
1,3-Dichloro-1,3-difluoropropane</t>
        </r>
      </text>
    </comment>
    <comment ref="C304" authorId="0" shapeId="0" xr:uid="{4CFD11AB-2AFB-4B54-85B2-4DB74C44D15A}">
      <text>
        <r>
          <rPr>
            <sz val="9"/>
            <color indexed="81"/>
            <rFont val="Tahoma"/>
            <family val="2"/>
          </rPr>
          <t>https://csl.noaa.gov/groups/csl5/datasets/data/hcfcs/Summary%20HCFC-252.pdf</t>
        </r>
      </text>
    </comment>
    <comment ref="D304" authorId="0" shapeId="0" xr:uid="{78241408-51BE-4446-908E-96DED5E8AE68}">
      <text>
        <r>
          <rPr>
            <sz val="9"/>
            <color indexed="81"/>
            <rFont val="Tahoma"/>
            <family val="2"/>
          </rPr>
          <t xml:space="preserve">Uncertainty estimated from difference between well-mixed (88) and lifetime adjusted (67) GWP </t>
        </r>
      </text>
    </comment>
    <comment ref="E304" authorId="0" shapeId="0" xr:uid="{E764AD2C-D950-4BC0-AED8-A8D1E4A2DB89}">
      <text>
        <r>
          <rPr>
            <sz val="9"/>
            <color indexed="81"/>
            <rFont val="Tahoma"/>
            <family val="2"/>
          </rPr>
          <t>https://csl.noaa.gov/groups/csl5/datasets/data/hcfcs/Summary%20HCFC-252.pdf</t>
        </r>
      </text>
    </comment>
    <comment ref="F304" authorId="0" shapeId="0" xr:uid="{6C6BAD52-13CC-41C2-A91B-85586EC40CFE}">
      <text>
        <r>
          <rPr>
            <sz val="9"/>
            <color indexed="81"/>
            <rFont val="Tahoma"/>
            <family val="2"/>
          </rPr>
          <t>Assumed to be subject to the same kind of uncertainties as the GWP estimate</t>
        </r>
        <r>
          <rPr>
            <sz val="9"/>
            <color indexed="81"/>
            <rFont val="Tahoma"/>
            <family val="2"/>
          </rPr>
          <t xml:space="preserve">
</t>
        </r>
      </text>
    </comment>
    <comment ref="G304" authorId="0" shapeId="0" xr:uid="{B786F0BD-26E9-4B1D-9698-6933727AC719}">
      <text>
        <r>
          <rPr>
            <sz val="9"/>
            <color indexed="81"/>
            <rFont val="Tahoma"/>
            <family val="2"/>
          </rPr>
          <t xml:space="preserve">See note on CFC-11
</t>
        </r>
      </text>
    </comment>
    <comment ref="I304" authorId="0" shapeId="0" xr:uid="{F2966015-AD43-4920-81FB-12935901E8C8}">
      <text>
        <r>
          <rPr>
            <sz val="9"/>
            <color indexed="81"/>
            <rFont val="Tahoma"/>
            <family val="2"/>
          </rPr>
          <t xml:space="preserve">See note on CFC-11
</t>
        </r>
      </text>
    </comment>
    <comment ref="J304" authorId="0" shapeId="0" xr:uid="{D4C1560F-774C-4AA8-825F-44F064A5354A}">
      <text>
        <r>
          <rPr>
            <sz val="9"/>
            <color indexed="81"/>
            <rFont val="Tahoma"/>
            <family val="2"/>
          </rPr>
          <t xml:space="preserve">See notes on CFC11
</t>
        </r>
      </text>
    </comment>
    <comment ref="A305" authorId="0" shapeId="0" xr:uid="{7FC36BC6-124C-4E9E-BC3B-6D4DD6637858}">
      <text>
        <r>
          <rPr>
            <sz val="9"/>
            <color indexed="81"/>
            <rFont val="Tahoma"/>
            <family val="2"/>
          </rPr>
          <t xml:space="preserve">CHCl2CH2CHF2,
1,1-Dichloro-3,3-difluoropropane
</t>
        </r>
      </text>
    </comment>
    <comment ref="C305" authorId="0" shapeId="0" xr:uid="{A7ED8C4E-C4E7-4E75-B7E6-BEA8D99C6657}">
      <text>
        <r>
          <rPr>
            <sz val="9"/>
            <color indexed="81"/>
            <rFont val="Tahoma"/>
            <family val="2"/>
          </rPr>
          <t>https://csl.noaa.gov/groups/csl5/datasets/data/hcfcs/Summary%20HCFC-252.pdf</t>
        </r>
      </text>
    </comment>
    <comment ref="D305" authorId="0" shapeId="0" xr:uid="{935AE634-B882-43B1-A010-C29B8D63BAB2}">
      <text>
        <r>
          <rPr>
            <sz val="9"/>
            <color indexed="81"/>
            <rFont val="Tahoma"/>
            <family val="2"/>
          </rPr>
          <t xml:space="preserve">Uncertainty estimated from difference between well-mixed (46) and lifetime adjusted (31) GWP </t>
        </r>
      </text>
    </comment>
    <comment ref="E305" authorId="0" shapeId="0" xr:uid="{B9CBB87E-A44F-4831-A0D6-F67A72A9E0C1}">
      <text>
        <r>
          <rPr>
            <sz val="9"/>
            <color indexed="81"/>
            <rFont val="Tahoma"/>
            <family val="2"/>
          </rPr>
          <t>https://csl.noaa.gov/groups/csl5/datasets/data/hcfcs/Summary%20HCFC-252.pdf</t>
        </r>
      </text>
    </comment>
    <comment ref="F305" authorId="0" shapeId="0" xr:uid="{36D46A73-C8C4-45AF-95FB-042873989DEB}">
      <text>
        <r>
          <rPr>
            <sz val="9"/>
            <color indexed="81"/>
            <rFont val="Tahoma"/>
            <family val="2"/>
          </rPr>
          <t>Assumed to be subject to the same kind of uncertainties as the GWP estimate</t>
        </r>
        <r>
          <rPr>
            <sz val="9"/>
            <color indexed="81"/>
            <rFont val="Tahoma"/>
            <family val="2"/>
          </rPr>
          <t xml:space="preserve">
</t>
        </r>
      </text>
    </comment>
    <comment ref="G305" authorId="0" shapeId="0" xr:uid="{80515E5A-055D-4B51-AA15-61E371492090}">
      <text>
        <r>
          <rPr>
            <sz val="9"/>
            <color indexed="81"/>
            <rFont val="Tahoma"/>
            <family val="2"/>
          </rPr>
          <t xml:space="preserve">See note on CFC-11
</t>
        </r>
      </text>
    </comment>
    <comment ref="I305" authorId="0" shapeId="0" xr:uid="{EE1DA56F-B646-4EF3-9AFF-1ACB284D25E5}">
      <text>
        <r>
          <rPr>
            <sz val="9"/>
            <color indexed="81"/>
            <rFont val="Tahoma"/>
            <family val="2"/>
          </rPr>
          <t xml:space="preserve">See note on CFC-11
</t>
        </r>
      </text>
    </comment>
    <comment ref="J305" authorId="0" shapeId="0" xr:uid="{FEE63974-6427-4BD5-B4EC-40678FEDF293}">
      <text>
        <r>
          <rPr>
            <sz val="9"/>
            <color indexed="81"/>
            <rFont val="Tahoma"/>
            <family val="2"/>
          </rPr>
          <t xml:space="preserve">See notes on CFC11
</t>
        </r>
      </text>
    </comment>
    <comment ref="A306" authorId="0" shapeId="0" xr:uid="{E7F19E37-FA5E-4864-A55E-4493A69A29F0}">
      <text>
        <r>
          <rPr>
            <sz val="9"/>
            <color indexed="81"/>
            <rFont val="Tahoma"/>
            <family val="2"/>
          </rPr>
          <t xml:space="preserve">CH2ClCH2CClF2,
1,3-Dichloro-1,1-difluoropropane
</t>
        </r>
      </text>
    </comment>
    <comment ref="C306" authorId="0" shapeId="0" xr:uid="{9C43DC3F-E99C-45D1-BD99-FBDA026D237C}">
      <text>
        <r>
          <rPr>
            <sz val="9"/>
            <color indexed="81"/>
            <rFont val="Tahoma"/>
            <family val="2"/>
          </rPr>
          <t>https://csl.noaa.gov/groups/csl5/datasets/data/hcfcs/Summary%20HCFC-252.pdf</t>
        </r>
      </text>
    </comment>
    <comment ref="D306" authorId="0" shapeId="0" xr:uid="{4AE3A6EA-CFEE-461B-90A7-06CFF365E388}">
      <text>
        <r>
          <rPr>
            <sz val="9"/>
            <color indexed="81"/>
            <rFont val="Tahoma"/>
            <family val="2"/>
          </rPr>
          <t xml:space="preserve">Uncertainty estimated from difference between well-mixed (80) and lifetime adjusted (59) GWP </t>
        </r>
      </text>
    </comment>
    <comment ref="E306" authorId="0" shapeId="0" xr:uid="{138157A4-58E4-45F3-AC01-7DD3248D7743}">
      <text>
        <r>
          <rPr>
            <sz val="9"/>
            <color indexed="81"/>
            <rFont val="Tahoma"/>
            <family val="2"/>
          </rPr>
          <t>https://csl.noaa.gov/groups/csl5/datasets/data/hcfcs/Summary%20HCFC-252.pdf</t>
        </r>
      </text>
    </comment>
    <comment ref="F306" authorId="0" shapeId="0" xr:uid="{5FED59EA-D66E-4B62-98C7-6EDB832AEF34}">
      <text>
        <r>
          <rPr>
            <sz val="9"/>
            <color indexed="81"/>
            <rFont val="Tahoma"/>
            <family val="2"/>
          </rPr>
          <t>Assumed to be subject to the same kind of uncertainties as the GWP estimate</t>
        </r>
        <r>
          <rPr>
            <sz val="9"/>
            <color indexed="81"/>
            <rFont val="Tahoma"/>
            <family val="2"/>
          </rPr>
          <t xml:space="preserve">
</t>
        </r>
      </text>
    </comment>
    <comment ref="G306" authorId="0" shapeId="0" xr:uid="{B9104980-20F3-42B2-BE1D-1DBE7930274D}">
      <text>
        <r>
          <rPr>
            <sz val="9"/>
            <color indexed="81"/>
            <rFont val="Tahoma"/>
            <family val="2"/>
          </rPr>
          <t xml:space="preserve">See note on CFC-11
</t>
        </r>
      </text>
    </comment>
    <comment ref="I306" authorId="0" shapeId="0" xr:uid="{B806C314-3E12-46BC-823C-FB077314436A}">
      <text>
        <r>
          <rPr>
            <sz val="9"/>
            <color indexed="81"/>
            <rFont val="Tahoma"/>
            <family val="2"/>
          </rPr>
          <t xml:space="preserve">See note on CFC-11
</t>
        </r>
      </text>
    </comment>
    <comment ref="J306" authorId="0" shapeId="0" xr:uid="{A0C085C1-44A6-41C4-B736-03D99AE0FCD7}">
      <text>
        <r>
          <rPr>
            <sz val="9"/>
            <color indexed="81"/>
            <rFont val="Tahoma"/>
            <family val="2"/>
          </rPr>
          <t xml:space="preserve">See notes on CFC11
</t>
        </r>
      </text>
    </comment>
    <comment ref="A307" authorId="0" shapeId="0" xr:uid="{04B57245-028F-45B7-8C13-1C2665BF662F}">
      <text>
        <r>
          <rPr>
            <sz val="9"/>
            <color indexed="81"/>
            <rFont val="Tahoma"/>
            <family val="2"/>
          </rPr>
          <t>C3H4Cl2F2,
Dichloro-difluoropropane
All isomers</t>
        </r>
      </text>
    </comment>
    <comment ref="C307" authorId="0" shapeId="0" xr:uid="{ED96F51C-FBE6-4C44-A47D-44BA5D096AF1}">
      <text>
        <r>
          <rPr>
            <sz val="9"/>
            <color indexed="81"/>
            <rFont val="Tahoma"/>
            <family val="2"/>
          </rPr>
          <t>https://csl.noaa.gov/groups/csl5/datasets/data/hcfcs/Summary%20HCFC-252.pdf</t>
        </r>
      </text>
    </comment>
    <comment ref="D307" authorId="0" shapeId="0" xr:uid="{E2641246-28AB-42EB-8238-82F7CB9EA3B9}">
      <text>
        <r>
          <rPr>
            <sz val="9"/>
            <color indexed="81"/>
            <rFont val="Tahoma"/>
            <family val="2"/>
          </rPr>
          <t xml:space="preserve">Uncertainty estimated from difference between well-mixed (66) and lifetime adjusted (45) GWP </t>
        </r>
      </text>
    </comment>
    <comment ref="E307" authorId="0" shapeId="0" xr:uid="{DF3AA612-3EC9-4CCE-AE87-2C0D5A3E353A}">
      <text>
        <r>
          <rPr>
            <sz val="9"/>
            <color indexed="81"/>
            <rFont val="Tahoma"/>
            <family val="2"/>
          </rPr>
          <t>https://csl.noaa.gov/groups/csl5/datasets/data/hcfcs/Summary%20HCFC-252.pdf</t>
        </r>
      </text>
    </comment>
    <comment ref="F307" authorId="0" shapeId="0" xr:uid="{49C60AF1-1F58-4AB6-ACC3-945A8DB64CCD}">
      <text>
        <r>
          <rPr>
            <sz val="9"/>
            <color indexed="81"/>
            <rFont val="Tahoma"/>
            <family val="2"/>
          </rPr>
          <t>Assumed to be subject to the same kind of uncertainties as the GWP estimate</t>
        </r>
        <r>
          <rPr>
            <sz val="9"/>
            <color indexed="81"/>
            <rFont val="Tahoma"/>
            <family val="2"/>
          </rPr>
          <t xml:space="preserve">
</t>
        </r>
      </text>
    </comment>
    <comment ref="G307" authorId="0" shapeId="0" xr:uid="{7EAE1C73-055E-43FD-B281-FAF62C2C4518}">
      <text>
        <r>
          <rPr>
            <sz val="9"/>
            <color indexed="81"/>
            <rFont val="Tahoma"/>
            <family val="2"/>
          </rPr>
          <t xml:space="preserve">See note on CFC-11
</t>
        </r>
      </text>
    </comment>
    <comment ref="I307" authorId="0" shapeId="0" xr:uid="{10AFAD3F-B9A1-47DA-B9E3-49D36CA2B4FE}">
      <text>
        <r>
          <rPr>
            <sz val="9"/>
            <color indexed="81"/>
            <rFont val="Tahoma"/>
            <family val="2"/>
          </rPr>
          <t xml:space="preserve">See note on CFC-11
</t>
        </r>
      </text>
    </comment>
    <comment ref="J307" authorId="0" shapeId="0" xr:uid="{BEBB989B-DB9D-41AE-AAF9-A7C3C9C02F1B}">
      <text>
        <r>
          <rPr>
            <sz val="9"/>
            <color indexed="81"/>
            <rFont val="Tahoma"/>
            <family val="2"/>
          </rPr>
          <t xml:space="preserve">See notes on CFC11
</t>
        </r>
      </text>
    </comment>
    <comment ref="A308" authorId="0" shapeId="0" xr:uid="{98A9C2DF-658A-4FA8-8B89-5E8336FEDB9E}">
      <text>
        <r>
          <rPr>
            <sz val="9"/>
            <color indexed="81"/>
            <rFont val="Tahoma"/>
            <family val="2"/>
          </rPr>
          <t xml:space="preserve">CH2FCClFCH2F,
2-Chloro-1,2,3-trifluoropropane
</t>
        </r>
      </text>
    </comment>
    <comment ref="C308" authorId="0" shapeId="0" xr:uid="{3BF21200-E259-4113-BF41-D9873F274055}">
      <text>
        <r>
          <rPr>
            <sz val="9"/>
            <color indexed="81"/>
            <rFont val="Tahoma"/>
            <family val="2"/>
          </rPr>
          <t>https://csl.noaa.gov/groups/csl5/datasets/data/hcfcs/Summary%20HCFC-253.pdf</t>
        </r>
      </text>
    </comment>
    <comment ref="D308" authorId="0" shapeId="0" xr:uid="{FA784FE2-6609-422D-BFE7-21D382BD11ED}">
      <text>
        <r>
          <rPr>
            <sz val="9"/>
            <color indexed="81"/>
            <rFont val="Tahoma"/>
            <family val="2"/>
          </rPr>
          <t xml:space="preserve">Uncertainty estimated from difference between well-mixed (246) and lifetime adjusted (221) GWP </t>
        </r>
      </text>
    </comment>
    <comment ref="E308" authorId="0" shapeId="0" xr:uid="{3A26390D-323F-44ED-9E6F-3124DDCA6CD5}">
      <text>
        <r>
          <rPr>
            <sz val="9"/>
            <color indexed="81"/>
            <rFont val="Tahoma"/>
            <family val="2"/>
          </rPr>
          <t>https://csl.noaa.gov/groups/csl5/datasets/data/hcfcs/Summary%20HCFC-253.pdf</t>
        </r>
      </text>
    </comment>
    <comment ref="F308" authorId="0" shapeId="0" xr:uid="{8DC1723E-5E20-4DBB-89DF-85248B77C313}">
      <text>
        <r>
          <rPr>
            <sz val="9"/>
            <color indexed="81"/>
            <rFont val="Tahoma"/>
            <family val="2"/>
          </rPr>
          <t>Assumed to be subject to the same kind of uncertainties as the GWP estimate</t>
        </r>
        <r>
          <rPr>
            <sz val="9"/>
            <color indexed="81"/>
            <rFont val="Tahoma"/>
            <family val="2"/>
          </rPr>
          <t xml:space="preserve">
</t>
        </r>
      </text>
    </comment>
    <comment ref="G308" authorId="0" shapeId="0" xr:uid="{20A1496D-763C-40AE-98D6-F160094C902B}">
      <text>
        <r>
          <rPr>
            <sz val="9"/>
            <color indexed="81"/>
            <rFont val="Tahoma"/>
            <family val="2"/>
          </rPr>
          <t xml:space="preserve">See note on CFC-11
</t>
        </r>
      </text>
    </comment>
    <comment ref="I308" authorId="0" shapeId="0" xr:uid="{0382AD68-828C-4BA9-AD7A-AD5E49DA64A0}">
      <text>
        <r>
          <rPr>
            <sz val="9"/>
            <color indexed="81"/>
            <rFont val="Tahoma"/>
            <family val="2"/>
          </rPr>
          <t xml:space="preserve">See note on CFC-11
</t>
        </r>
      </text>
    </comment>
    <comment ref="J308" authorId="0" shapeId="0" xr:uid="{06D566F9-FE7B-449E-9E66-1BB72BF05A93}">
      <text>
        <r>
          <rPr>
            <sz val="9"/>
            <color indexed="81"/>
            <rFont val="Tahoma"/>
            <family val="2"/>
          </rPr>
          <t xml:space="preserve">See notes on CFC11
</t>
        </r>
      </text>
    </comment>
    <comment ref="A309" authorId="0" shapeId="0" xr:uid="{3F6F70B8-E54E-4891-BC3A-F24980CE0CB3}">
      <text>
        <r>
          <rPr>
            <sz val="9"/>
            <color indexed="81"/>
            <rFont val="Tahoma"/>
            <family val="2"/>
          </rPr>
          <t xml:space="preserve">CH3CClFCHF2,
2-Chloro-1,1,2-trifluoropropane
</t>
        </r>
      </text>
    </comment>
    <comment ref="C309" authorId="0" shapeId="0" xr:uid="{FB1F04EB-5682-4B34-A799-B331607997FA}">
      <text>
        <r>
          <rPr>
            <sz val="9"/>
            <color indexed="81"/>
            <rFont val="Tahoma"/>
            <family val="2"/>
          </rPr>
          <t>https://csl.noaa.gov/groups/csl5/datasets/data/hcfcs/Summary%20HCFC-253.pdf</t>
        </r>
      </text>
    </comment>
    <comment ref="D309" authorId="0" shapeId="0" xr:uid="{C5E39076-05CD-4ED5-AF71-E9814C3761CC}">
      <text>
        <r>
          <rPr>
            <sz val="9"/>
            <color indexed="81"/>
            <rFont val="Tahoma"/>
            <family val="2"/>
          </rPr>
          <t xml:space="preserve">Uncertainty estimated from difference between well-mixed (704) and lifetime adjusted (665) GWP </t>
        </r>
      </text>
    </comment>
    <comment ref="E309" authorId="0" shapeId="0" xr:uid="{64B6C8D1-CB88-46CF-8271-73C369E65E51}">
      <text>
        <r>
          <rPr>
            <sz val="9"/>
            <color indexed="81"/>
            <rFont val="Tahoma"/>
            <family val="2"/>
          </rPr>
          <t>https://csl.noaa.gov/groups/csl5/datasets/data/hcfcs/Summary%20HCFC-253.pdf</t>
        </r>
      </text>
    </comment>
    <comment ref="F309" authorId="0" shapeId="0" xr:uid="{C5AAB59C-3EF3-4EF7-AEB3-E11EF81403E3}">
      <text>
        <r>
          <rPr>
            <sz val="9"/>
            <color indexed="81"/>
            <rFont val="Tahoma"/>
            <family val="2"/>
          </rPr>
          <t>Assumed to be subject to the same kind of uncertainties as the GWP estimate</t>
        </r>
        <r>
          <rPr>
            <sz val="9"/>
            <color indexed="81"/>
            <rFont val="Tahoma"/>
            <family val="2"/>
          </rPr>
          <t xml:space="preserve">
</t>
        </r>
      </text>
    </comment>
    <comment ref="G309" authorId="0" shapeId="0" xr:uid="{C376DC94-AF04-4432-B2BD-CA918F8C0B35}">
      <text>
        <r>
          <rPr>
            <sz val="9"/>
            <color indexed="81"/>
            <rFont val="Tahoma"/>
            <family val="2"/>
          </rPr>
          <t xml:space="preserve">See note on CFC-11
</t>
        </r>
      </text>
    </comment>
    <comment ref="I309" authorId="0" shapeId="0" xr:uid="{C95B0B7B-B92B-4DF1-BA9A-4CDDF2E54F5D}">
      <text>
        <r>
          <rPr>
            <sz val="9"/>
            <color indexed="81"/>
            <rFont val="Tahoma"/>
            <family val="2"/>
          </rPr>
          <t xml:space="preserve">See note on CFC-11
</t>
        </r>
      </text>
    </comment>
    <comment ref="J309" authorId="0" shapeId="0" xr:uid="{BF489DE3-0A92-429D-8C3D-FABEF2BF7A74}">
      <text>
        <r>
          <rPr>
            <sz val="9"/>
            <color indexed="81"/>
            <rFont val="Tahoma"/>
            <family val="2"/>
          </rPr>
          <t xml:space="preserve">See notes on CFC11
</t>
        </r>
      </text>
    </comment>
    <comment ref="A310" authorId="0" shapeId="0" xr:uid="{32E4F171-9E36-435C-819E-194902EF4725}">
      <text>
        <r>
          <rPr>
            <sz val="9"/>
            <color indexed="81"/>
            <rFont val="Tahoma"/>
            <family val="2"/>
          </rPr>
          <t xml:space="preserve">CH2ClCF2CH2F,
1-Chloro-2,2,3-trifluoropropane
</t>
        </r>
      </text>
    </comment>
    <comment ref="C310" authorId="0" shapeId="0" xr:uid="{933A7015-CDCC-4DA6-BA8A-F1D8BAD48C2B}">
      <text>
        <r>
          <rPr>
            <sz val="9"/>
            <color indexed="81"/>
            <rFont val="Tahoma"/>
            <family val="2"/>
          </rPr>
          <t>https://csl.noaa.gov/groups/csl5/datasets/data/hcfcs/Summary%20HCFC-253.pdf</t>
        </r>
      </text>
    </comment>
    <comment ref="D310" authorId="0" shapeId="0" xr:uid="{9B70DD01-E749-43DC-88FB-52180AC88AD9}">
      <text>
        <r>
          <rPr>
            <sz val="9"/>
            <color indexed="81"/>
            <rFont val="Tahoma"/>
            <family val="2"/>
          </rPr>
          <t xml:space="preserve">Uncertainty estimated from difference between well-mixed (289) and lifetime adjusted (263) GWP </t>
        </r>
      </text>
    </comment>
    <comment ref="E310" authorId="0" shapeId="0" xr:uid="{926CB809-8CBB-4963-A74A-E97CD2E5CBD6}">
      <text>
        <r>
          <rPr>
            <sz val="9"/>
            <color indexed="81"/>
            <rFont val="Tahoma"/>
            <family val="2"/>
          </rPr>
          <t>https://csl.noaa.gov/groups/csl5/datasets/data/hcfcs/Summary%20HCFC-253.pdf</t>
        </r>
      </text>
    </comment>
    <comment ref="F310" authorId="0" shapeId="0" xr:uid="{4CD5ED76-9347-456B-9F1C-22FDD07B72B4}">
      <text>
        <r>
          <rPr>
            <sz val="9"/>
            <color indexed="81"/>
            <rFont val="Tahoma"/>
            <family val="2"/>
          </rPr>
          <t>Assumed to be subject to the same kind of uncertainties as the GWP estimate</t>
        </r>
        <r>
          <rPr>
            <sz val="9"/>
            <color indexed="81"/>
            <rFont val="Tahoma"/>
            <family val="2"/>
          </rPr>
          <t xml:space="preserve">
</t>
        </r>
      </text>
    </comment>
    <comment ref="G310" authorId="0" shapeId="0" xr:uid="{BC235BEC-9AA7-43A4-B565-543F88E3DA56}">
      <text>
        <r>
          <rPr>
            <sz val="9"/>
            <color indexed="81"/>
            <rFont val="Tahoma"/>
            <family val="2"/>
          </rPr>
          <t xml:space="preserve">See note on CFC-11
</t>
        </r>
      </text>
    </comment>
    <comment ref="I310" authorId="0" shapeId="0" xr:uid="{6718A51C-7C8E-40FE-B6E4-C08670BE82BA}">
      <text>
        <r>
          <rPr>
            <sz val="9"/>
            <color indexed="81"/>
            <rFont val="Tahoma"/>
            <family val="2"/>
          </rPr>
          <t xml:space="preserve">See note on CFC-11
</t>
        </r>
      </text>
    </comment>
    <comment ref="J310" authorId="0" shapeId="0" xr:uid="{4A924978-1D44-4DB3-B0DE-707BD65AC05D}">
      <text>
        <r>
          <rPr>
            <sz val="9"/>
            <color indexed="81"/>
            <rFont val="Tahoma"/>
            <family val="2"/>
          </rPr>
          <t xml:space="preserve">See notes on CFC11
</t>
        </r>
      </text>
    </comment>
    <comment ref="A311" authorId="0" shapeId="0" xr:uid="{A37EB698-3436-472D-ACE0-F9E9953219BD}">
      <text>
        <r>
          <rPr>
            <sz val="9"/>
            <color indexed="81"/>
            <rFont val="Tahoma"/>
            <family val="2"/>
          </rPr>
          <t>CH3CF2CHClF,
1-Chloro-1,2,2-trifluoropropane</t>
        </r>
      </text>
    </comment>
    <comment ref="C311" authorId="0" shapeId="0" xr:uid="{CBC8C799-6B42-4A44-BAF0-3866E17D58D4}">
      <text>
        <r>
          <rPr>
            <sz val="9"/>
            <color indexed="81"/>
            <rFont val="Tahoma"/>
            <family val="2"/>
          </rPr>
          <t>https://csl.noaa.gov/groups/csl5/datasets/data/hcfcs/Summary%20HCFC-253.pdf</t>
        </r>
      </text>
    </comment>
    <comment ref="D311" authorId="0" shapeId="0" xr:uid="{E9F5B10E-A3D6-45AB-BE39-564C130EDBAB}">
      <text>
        <r>
          <rPr>
            <sz val="9"/>
            <color indexed="81"/>
            <rFont val="Tahoma"/>
            <family val="2"/>
          </rPr>
          <t xml:space="preserve">Uncertainty estimated from difference between well-mixed (326) and lifetime adjusted (293) GWP </t>
        </r>
      </text>
    </comment>
    <comment ref="E311" authorId="0" shapeId="0" xr:uid="{8D796169-D977-4CBB-B9B0-14BAB2B2D0DE}">
      <text>
        <r>
          <rPr>
            <sz val="9"/>
            <color indexed="81"/>
            <rFont val="Tahoma"/>
            <family val="2"/>
          </rPr>
          <t>https://csl.noaa.gov/groups/csl5/datasets/data/hcfcs/Summary%20HCFC-253.pdf</t>
        </r>
      </text>
    </comment>
    <comment ref="F311" authorId="0" shapeId="0" xr:uid="{3D951CD1-0286-46CA-A840-D3B874EE29D3}">
      <text>
        <r>
          <rPr>
            <sz val="9"/>
            <color indexed="81"/>
            <rFont val="Tahoma"/>
            <family val="2"/>
          </rPr>
          <t>Assumed to be subject to the same kind of uncertainties as the GWP estimate</t>
        </r>
        <r>
          <rPr>
            <sz val="9"/>
            <color indexed="81"/>
            <rFont val="Tahoma"/>
            <family val="2"/>
          </rPr>
          <t xml:space="preserve">
</t>
        </r>
      </text>
    </comment>
    <comment ref="G311" authorId="0" shapeId="0" xr:uid="{184F2943-1270-41B4-861E-9C1335957252}">
      <text>
        <r>
          <rPr>
            <sz val="9"/>
            <color indexed="81"/>
            <rFont val="Tahoma"/>
            <family val="2"/>
          </rPr>
          <t xml:space="preserve">See note on CFC-11
</t>
        </r>
      </text>
    </comment>
    <comment ref="I311" authorId="0" shapeId="0" xr:uid="{4C70985F-4008-45FD-BA31-477038D86773}">
      <text>
        <r>
          <rPr>
            <sz val="9"/>
            <color indexed="81"/>
            <rFont val="Tahoma"/>
            <family val="2"/>
          </rPr>
          <t xml:space="preserve">See note on CFC-11
</t>
        </r>
      </text>
    </comment>
    <comment ref="J311" authorId="0" shapeId="0" xr:uid="{F9316D4D-0A6C-4B0C-BA90-A82E75F068E4}">
      <text>
        <r>
          <rPr>
            <sz val="9"/>
            <color indexed="81"/>
            <rFont val="Tahoma"/>
            <family val="2"/>
          </rPr>
          <t xml:space="preserve">See notes on CFC11
</t>
        </r>
      </text>
    </comment>
    <comment ref="A312" authorId="0" shapeId="0" xr:uid="{2E9EDCEB-CDAE-4288-9D67-A085E0BBB395}">
      <text>
        <r>
          <rPr>
            <sz val="9"/>
            <color indexed="81"/>
            <rFont val="Tahoma"/>
            <family val="2"/>
          </rPr>
          <t>CH2FCHClCHF2,
2-Chloro-1,1,3-trifluoropropane</t>
        </r>
      </text>
    </comment>
    <comment ref="C312" authorId="0" shapeId="0" xr:uid="{2D52FB7A-638D-4BB2-828F-C738C8E3B57A}">
      <text>
        <r>
          <rPr>
            <sz val="9"/>
            <color indexed="81"/>
            <rFont val="Tahoma"/>
            <family val="2"/>
          </rPr>
          <t>https://csl.noaa.gov/groups/csl5/datasets/data/hcfcs/Summary%20HCFC-253.pdf</t>
        </r>
      </text>
    </comment>
    <comment ref="D312" authorId="0" shapeId="0" xr:uid="{0475C135-D334-4DB8-837B-536BFF2D2E55}">
      <text>
        <r>
          <rPr>
            <sz val="9"/>
            <color indexed="81"/>
            <rFont val="Tahoma"/>
            <family val="2"/>
          </rPr>
          <t xml:space="preserve">Uncertainty estimated from difference between well-mixed (111) and lifetime adjusted (91) GWP </t>
        </r>
      </text>
    </comment>
    <comment ref="E312" authorId="0" shapeId="0" xr:uid="{553C7748-34DA-431A-84B8-A450FD88A038}">
      <text>
        <r>
          <rPr>
            <sz val="9"/>
            <color indexed="81"/>
            <rFont val="Tahoma"/>
            <family val="2"/>
          </rPr>
          <t>https://csl.noaa.gov/groups/csl5/datasets/data/hcfcs/Summary%20HCFC-253.pdf</t>
        </r>
      </text>
    </comment>
    <comment ref="F312" authorId="0" shapeId="0" xr:uid="{D2478FAE-DB29-40F3-9AAF-FC0BE288FA83}">
      <text>
        <r>
          <rPr>
            <sz val="9"/>
            <color indexed="81"/>
            <rFont val="Tahoma"/>
            <family val="2"/>
          </rPr>
          <t>Assumed to be subject to the same kind of uncertainties as the GWP estimate</t>
        </r>
        <r>
          <rPr>
            <sz val="9"/>
            <color indexed="81"/>
            <rFont val="Tahoma"/>
            <family val="2"/>
          </rPr>
          <t xml:space="preserve">
</t>
        </r>
      </text>
    </comment>
    <comment ref="G312" authorId="0" shapeId="0" xr:uid="{D77DA6EA-63B4-417C-99D8-A4A408019077}">
      <text>
        <r>
          <rPr>
            <sz val="9"/>
            <color indexed="81"/>
            <rFont val="Tahoma"/>
            <family val="2"/>
          </rPr>
          <t xml:space="preserve">See note on CFC-11
</t>
        </r>
      </text>
    </comment>
    <comment ref="I312" authorId="0" shapeId="0" xr:uid="{5B5120D7-9FC8-440E-AA18-05EA8A0B8E9C}">
      <text>
        <r>
          <rPr>
            <sz val="9"/>
            <color indexed="81"/>
            <rFont val="Tahoma"/>
            <family val="2"/>
          </rPr>
          <t xml:space="preserve">See note on CFC-11
</t>
        </r>
      </text>
    </comment>
    <comment ref="J312" authorId="0" shapeId="0" xr:uid="{969F230F-9819-4D7C-8FF0-D784BFA214AA}">
      <text>
        <r>
          <rPr>
            <sz val="9"/>
            <color indexed="81"/>
            <rFont val="Tahoma"/>
            <family val="2"/>
          </rPr>
          <t xml:space="preserve">See notes on CFC11
</t>
        </r>
      </text>
    </comment>
    <comment ref="A313" authorId="0" shapeId="0" xr:uid="{E2442840-DEB0-4DEC-AABB-56ACE73449F1}">
      <text>
        <r>
          <rPr>
            <sz val="9"/>
            <color indexed="81"/>
            <rFont val="Tahoma"/>
            <family val="2"/>
          </rPr>
          <t xml:space="preserve">CH3CHClCF3,
2-Chloro-1,1,1-trifluoropropane
</t>
        </r>
      </text>
    </comment>
    <comment ref="C313" authorId="0" shapeId="0" xr:uid="{E9228097-EB88-4BA4-A7DC-FAAA7B9148B2}">
      <text>
        <r>
          <rPr>
            <sz val="9"/>
            <color indexed="81"/>
            <rFont val="Tahoma"/>
            <family val="2"/>
          </rPr>
          <t>https://csl.noaa.gov/groups/csl5/datasets/data/hcfcs/Summary%20HCFC-253.pdf</t>
        </r>
      </text>
    </comment>
    <comment ref="D313" authorId="0" shapeId="0" xr:uid="{A35EE683-ED74-418D-A5A3-B8DC51109227}">
      <text>
        <r>
          <rPr>
            <sz val="9"/>
            <color indexed="81"/>
            <rFont val="Tahoma"/>
            <family val="2"/>
          </rPr>
          <t xml:space="preserve">Uncertainty estimated from difference between well-mixed (62) and lifetime adjusted (57) GWP </t>
        </r>
      </text>
    </comment>
    <comment ref="E313" authorId="0" shapeId="0" xr:uid="{E154595C-AE51-42BF-947C-A2A923B70565}">
      <text>
        <r>
          <rPr>
            <sz val="9"/>
            <color indexed="81"/>
            <rFont val="Tahoma"/>
            <family val="2"/>
          </rPr>
          <t>https://csl.noaa.gov/groups/csl5/datasets/data/hcfcs/Summary%20HCFC-253.pdf</t>
        </r>
      </text>
    </comment>
    <comment ref="F313" authorId="0" shapeId="0" xr:uid="{FAB6164E-4C90-4E71-8292-AD2EF163BCA4}">
      <text>
        <r>
          <rPr>
            <sz val="9"/>
            <color indexed="81"/>
            <rFont val="Tahoma"/>
            <family val="2"/>
          </rPr>
          <t>Assumed to be subject to the same kind of uncertainties as the GWP estimate</t>
        </r>
        <r>
          <rPr>
            <sz val="9"/>
            <color indexed="81"/>
            <rFont val="Tahoma"/>
            <family val="2"/>
          </rPr>
          <t xml:space="preserve">
</t>
        </r>
      </text>
    </comment>
    <comment ref="G313" authorId="0" shapeId="0" xr:uid="{F395B1CC-03BB-4BE4-9538-35C99D65F2E8}">
      <text>
        <r>
          <rPr>
            <sz val="9"/>
            <color indexed="81"/>
            <rFont val="Tahoma"/>
            <family val="2"/>
          </rPr>
          <t xml:space="preserve">See note on CFC-11
</t>
        </r>
      </text>
    </comment>
    <comment ref="I313" authorId="0" shapeId="0" xr:uid="{AEA0D8EF-F9F9-4C86-B6DF-F64FE3E56373}">
      <text>
        <r>
          <rPr>
            <sz val="9"/>
            <color indexed="81"/>
            <rFont val="Tahoma"/>
            <family val="2"/>
          </rPr>
          <t xml:space="preserve">See note on CFC-11
</t>
        </r>
      </text>
    </comment>
    <comment ref="J313" authorId="0" shapeId="0" xr:uid="{E1E5423E-0017-4E0D-A661-9C16372AFF38}">
      <text>
        <r>
          <rPr>
            <sz val="9"/>
            <color indexed="81"/>
            <rFont val="Tahoma"/>
            <family val="2"/>
          </rPr>
          <t xml:space="preserve">See notes on CFC11
</t>
        </r>
      </text>
    </comment>
    <comment ref="A314" authorId="0" shapeId="0" xr:uid="{867A336C-5B00-467C-9BD0-08C77E160585}">
      <text>
        <r>
          <rPr>
            <sz val="9"/>
            <color indexed="81"/>
            <rFont val="Tahoma"/>
            <family val="2"/>
          </rPr>
          <t xml:space="preserve">CH2ClCHFCHF2,
3-Chloro-1,1,2-trifluoropropane
</t>
        </r>
      </text>
    </comment>
    <comment ref="C314" authorId="0" shapeId="0" xr:uid="{B327AC47-EF2C-417D-A0C0-7C6C1AD951E6}">
      <text>
        <r>
          <rPr>
            <sz val="9"/>
            <color indexed="81"/>
            <rFont val="Tahoma"/>
            <family val="2"/>
          </rPr>
          <t>https://csl.noaa.gov/groups/csl5/datasets/data/hcfcs/Summary%20HCFC-253.pdf</t>
        </r>
      </text>
    </comment>
    <comment ref="D314" authorId="0" shapeId="0" xr:uid="{5FF14763-98C6-41E6-8A9E-6EFDCFEAAF7D}">
      <text>
        <r>
          <rPr>
            <sz val="9"/>
            <color indexed="81"/>
            <rFont val="Tahoma"/>
            <family val="2"/>
          </rPr>
          <t xml:space="preserve">Uncertainty estimated from difference between well-mixed (94) and lifetime adjusted (75) GWP </t>
        </r>
      </text>
    </comment>
    <comment ref="E314" authorId="0" shapeId="0" xr:uid="{3BD1D442-23D4-41A9-88F9-804FAF886617}">
      <text>
        <r>
          <rPr>
            <sz val="9"/>
            <color indexed="81"/>
            <rFont val="Tahoma"/>
            <family val="2"/>
          </rPr>
          <t>https://csl.noaa.gov/groups/csl5/datasets/data/hcfcs/Summary%20HCFC-253.pdf</t>
        </r>
      </text>
    </comment>
    <comment ref="F314" authorId="0" shapeId="0" xr:uid="{6F6222F5-E7BF-44B0-8293-45998FD6ADAA}">
      <text>
        <r>
          <rPr>
            <sz val="9"/>
            <color indexed="81"/>
            <rFont val="Tahoma"/>
            <family val="2"/>
          </rPr>
          <t>Assumed to be subject to the same kind of uncertainties as the GWP estimate</t>
        </r>
        <r>
          <rPr>
            <sz val="9"/>
            <color indexed="81"/>
            <rFont val="Tahoma"/>
            <family val="2"/>
          </rPr>
          <t xml:space="preserve">
</t>
        </r>
      </text>
    </comment>
    <comment ref="G314" authorId="0" shapeId="0" xr:uid="{E60243AA-45CB-4CED-92EB-C0A7E42A1E8A}">
      <text>
        <r>
          <rPr>
            <sz val="9"/>
            <color indexed="81"/>
            <rFont val="Tahoma"/>
            <family val="2"/>
          </rPr>
          <t xml:space="preserve">See note on CFC-11
</t>
        </r>
      </text>
    </comment>
    <comment ref="I314" authorId="0" shapeId="0" xr:uid="{961BBDD0-E09E-4F11-8108-23504D7DFB49}">
      <text>
        <r>
          <rPr>
            <sz val="9"/>
            <color indexed="81"/>
            <rFont val="Tahoma"/>
            <family val="2"/>
          </rPr>
          <t xml:space="preserve">See note on CFC-11
</t>
        </r>
      </text>
    </comment>
    <comment ref="J314" authorId="0" shapeId="0" xr:uid="{86D80384-BFFC-43E7-A805-3A4404AF7F22}">
      <text>
        <r>
          <rPr>
            <sz val="9"/>
            <color indexed="81"/>
            <rFont val="Tahoma"/>
            <family val="2"/>
          </rPr>
          <t xml:space="preserve">See notes on CFC11
</t>
        </r>
      </text>
    </comment>
    <comment ref="A315" authorId="0" shapeId="0" xr:uid="{75D4970C-26DB-48B3-AF7D-60602D580666}">
      <text>
        <r>
          <rPr>
            <sz val="9"/>
            <color indexed="81"/>
            <rFont val="Tahoma"/>
            <family val="2"/>
          </rPr>
          <t xml:space="preserve">CH2FCHFCHClF,
1-Chloro-1,2,3-trifluoropropane
</t>
        </r>
      </text>
    </comment>
    <comment ref="C315" authorId="0" shapeId="0" xr:uid="{934A9F5C-03A4-4F3F-BD86-3408173491D3}">
      <text>
        <r>
          <rPr>
            <sz val="9"/>
            <color indexed="81"/>
            <rFont val="Tahoma"/>
            <family val="2"/>
          </rPr>
          <t>https://csl.noaa.gov/groups/csl5/datasets/data/hcfcs/Summary%20HCFC-253.pdf</t>
        </r>
      </text>
    </comment>
    <comment ref="D315" authorId="0" shapeId="0" xr:uid="{4B400840-34E3-4F7D-A386-F74EF8D8259D}">
      <text>
        <r>
          <rPr>
            <sz val="9"/>
            <color indexed="81"/>
            <rFont val="Tahoma"/>
            <family val="2"/>
          </rPr>
          <t xml:space="preserve">Uncertainty estimated from difference between well-mixed (108) and lifetime adjusted (87) GWP </t>
        </r>
      </text>
    </comment>
    <comment ref="E315" authorId="0" shapeId="0" xr:uid="{CCAF08E9-9EBA-4119-B047-3C244F063F1A}">
      <text>
        <r>
          <rPr>
            <sz val="9"/>
            <color indexed="81"/>
            <rFont val="Tahoma"/>
            <family val="2"/>
          </rPr>
          <t>https://csl.noaa.gov/groups/csl5/datasets/data/hcfcs/Summary%20HCFC-253.pdf</t>
        </r>
      </text>
    </comment>
    <comment ref="F315" authorId="0" shapeId="0" xr:uid="{6CAF2620-E3F3-4DA3-B221-E75085984E23}">
      <text>
        <r>
          <rPr>
            <sz val="9"/>
            <color indexed="81"/>
            <rFont val="Tahoma"/>
            <family val="2"/>
          </rPr>
          <t>Assumed to be subject to the same kind of uncertainties as the GWP estimate</t>
        </r>
        <r>
          <rPr>
            <sz val="9"/>
            <color indexed="81"/>
            <rFont val="Tahoma"/>
            <family val="2"/>
          </rPr>
          <t xml:space="preserve">
</t>
        </r>
      </text>
    </comment>
    <comment ref="G315" authorId="0" shapeId="0" xr:uid="{5D13251A-0BA6-4E1F-8880-E0298C6D1C5F}">
      <text>
        <r>
          <rPr>
            <sz val="9"/>
            <color indexed="81"/>
            <rFont val="Tahoma"/>
            <family val="2"/>
          </rPr>
          <t xml:space="preserve">See note on CFC-11
</t>
        </r>
      </text>
    </comment>
    <comment ref="I315" authorId="0" shapeId="0" xr:uid="{9E4C52D4-8437-47F8-8516-F6B78B444D5A}">
      <text>
        <r>
          <rPr>
            <sz val="9"/>
            <color indexed="81"/>
            <rFont val="Tahoma"/>
            <family val="2"/>
          </rPr>
          <t xml:space="preserve">See note on CFC-11
</t>
        </r>
      </text>
    </comment>
    <comment ref="J315" authorId="0" shapeId="0" xr:uid="{82DC6AE2-5C7B-477C-953A-C14C869DA80D}">
      <text>
        <r>
          <rPr>
            <sz val="9"/>
            <color indexed="81"/>
            <rFont val="Tahoma"/>
            <family val="2"/>
          </rPr>
          <t xml:space="preserve">See notes on CFC11
</t>
        </r>
      </text>
    </comment>
    <comment ref="A316" authorId="0" shapeId="0" xr:uid="{42547F26-8E8F-4AE2-B77D-DE8068A66A34}">
      <text>
        <r>
          <rPr>
            <sz val="9"/>
            <color indexed="81"/>
            <rFont val="Tahoma"/>
            <family val="2"/>
          </rPr>
          <t>CH3CHFCClF2,
1-Chloro-1,1,2-trifluoropropane</t>
        </r>
      </text>
    </comment>
    <comment ref="C316" authorId="0" shapeId="0" xr:uid="{016F768A-5303-4C8D-8916-73A20E394E19}">
      <text>
        <r>
          <rPr>
            <sz val="9"/>
            <color indexed="81"/>
            <rFont val="Tahoma"/>
            <family val="2"/>
          </rPr>
          <t>https://csl.noaa.gov/groups/csl5/datasets/data/hcfcs/Summary%20HCFC-253.pdf</t>
        </r>
      </text>
    </comment>
    <comment ref="D316" authorId="0" shapeId="0" xr:uid="{38553740-1936-49F9-9818-14BC6F749064}">
      <text>
        <r>
          <rPr>
            <sz val="9"/>
            <color indexed="81"/>
            <rFont val="Tahoma"/>
            <family val="2"/>
          </rPr>
          <t xml:space="preserve">Uncertainty estimated from difference between well-mixed (125) and lifetime adjusted (95) GWP </t>
        </r>
      </text>
    </comment>
    <comment ref="E316" authorId="0" shapeId="0" xr:uid="{6418AEA6-D0C6-409B-834F-79BE03C59A2C}">
      <text>
        <r>
          <rPr>
            <sz val="9"/>
            <color indexed="81"/>
            <rFont val="Tahoma"/>
            <family val="2"/>
          </rPr>
          <t>https://csl.noaa.gov/groups/csl5/datasets/data/hcfcs/Summary%20HCFC-253.pdf</t>
        </r>
      </text>
    </comment>
    <comment ref="F316" authorId="0" shapeId="0" xr:uid="{32C70469-A680-43B9-9901-6C6F22CF0313}">
      <text>
        <r>
          <rPr>
            <sz val="9"/>
            <color indexed="81"/>
            <rFont val="Tahoma"/>
            <family val="2"/>
          </rPr>
          <t>Assumed to be subject to the same kind of uncertainties as the GWP estimate</t>
        </r>
        <r>
          <rPr>
            <sz val="9"/>
            <color indexed="81"/>
            <rFont val="Tahoma"/>
            <family val="2"/>
          </rPr>
          <t xml:space="preserve">
</t>
        </r>
      </text>
    </comment>
    <comment ref="G316" authorId="0" shapeId="0" xr:uid="{471A9E71-0E81-4DD3-A3BD-D66B9C3A8A70}">
      <text>
        <r>
          <rPr>
            <sz val="9"/>
            <color indexed="81"/>
            <rFont val="Tahoma"/>
            <family val="2"/>
          </rPr>
          <t xml:space="preserve">See note on CFC-11
</t>
        </r>
      </text>
    </comment>
    <comment ref="I316" authorId="0" shapeId="0" xr:uid="{C88AB15E-CDDF-46DB-AB82-687321B7C870}">
      <text>
        <r>
          <rPr>
            <sz val="9"/>
            <color indexed="81"/>
            <rFont val="Tahoma"/>
            <family val="2"/>
          </rPr>
          <t xml:space="preserve">See note on CFC-11
</t>
        </r>
      </text>
    </comment>
    <comment ref="J316" authorId="0" shapeId="0" xr:uid="{990E55C8-91F1-4A3A-B599-CC69C900F4D9}">
      <text>
        <r>
          <rPr>
            <sz val="9"/>
            <color indexed="81"/>
            <rFont val="Tahoma"/>
            <family val="2"/>
          </rPr>
          <t xml:space="preserve">See notes on CFC11
</t>
        </r>
      </text>
    </comment>
    <comment ref="A317" authorId="0" shapeId="0" xr:uid="{F6B5EA28-0BD2-4B75-ACFF-EBD2F6497A7E}">
      <text>
        <r>
          <rPr>
            <sz val="9"/>
            <color indexed="81"/>
            <rFont val="Tahoma"/>
            <family val="2"/>
          </rPr>
          <t xml:space="preserve">CHClFCH2CHF2,
1-Chloro-1,3,3-trifluoropropane
</t>
        </r>
      </text>
    </comment>
    <comment ref="C317" authorId="0" shapeId="0" xr:uid="{DAAC4C04-9E55-44FC-870D-10D121F3FE3F}">
      <text>
        <r>
          <rPr>
            <sz val="9"/>
            <color indexed="81"/>
            <rFont val="Tahoma"/>
            <family val="2"/>
          </rPr>
          <t>https://csl.noaa.gov/groups/csl5/datasets/data/hcfcs/Summary%20HCFC-253.pdf</t>
        </r>
      </text>
    </comment>
    <comment ref="D317" authorId="0" shapeId="0" xr:uid="{C7527FBB-06DF-4974-92D8-0030D832E275}">
      <text>
        <r>
          <rPr>
            <sz val="9"/>
            <color indexed="81"/>
            <rFont val="Tahoma"/>
            <family val="2"/>
          </rPr>
          <t xml:space="preserve">Uncertainty estimated from difference between well-mixed (177) and lifetime adjusted (147) GWP </t>
        </r>
      </text>
    </comment>
    <comment ref="E317" authorId="0" shapeId="0" xr:uid="{08E7EDD4-8A7F-403F-A6E9-9AD80A2B0955}">
      <text>
        <r>
          <rPr>
            <sz val="9"/>
            <color indexed="81"/>
            <rFont val="Tahoma"/>
            <family val="2"/>
          </rPr>
          <t>https://csl.noaa.gov/groups/csl5/datasets/data/hcfcs/Summary%20HCFC-253.pdf</t>
        </r>
      </text>
    </comment>
    <comment ref="F317" authorId="0" shapeId="0" xr:uid="{A5D09246-5377-4DBB-B3B4-926D9EE06E6A}">
      <text>
        <r>
          <rPr>
            <sz val="9"/>
            <color indexed="81"/>
            <rFont val="Tahoma"/>
            <family val="2"/>
          </rPr>
          <t>Assumed to be subject to the same kind of uncertainties as the GWP estimate</t>
        </r>
        <r>
          <rPr>
            <sz val="9"/>
            <color indexed="81"/>
            <rFont val="Tahoma"/>
            <family val="2"/>
          </rPr>
          <t xml:space="preserve">
</t>
        </r>
      </text>
    </comment>
    <comment ref="G317" authorId="0" shapeId="0" xr:uid="{3B51F619-DD11-44DA-9FE5-1151B8058DF4}">
      <text>
        <r>
          <rPr>
            <sz val="9"/>
            <color indexed="81"/>
            <rFont val="Tahoma"/>
            <family val="2"/>
          </rPr>
          <t xml:space="preserve">See note on CFC-11
</t>
        </r>
      </text>
    </comment>
    <comment ref="I317" authorId="0" shapeId="0" xr:uid="{FF0C762B-6C65-477B-98C8-AB04B8E5C271}">
      <text>
        <r>
          <rPr>
            <sz val="9"/>
            <color indexed="81"/>
            <rFont val="Tahoma"/>
            <family val="2"/>
          </rPr>
          <t xml:space="preserve">See note on CFC-11
</t>
        </r>
      </text>
    </comment>
    <comment ref="J317" authorId="0" shapeId="0" xr:uid="{941E37F5-DE7C-4EF7-8E25-810B409C2851}">
      <text>
        <r>
          <rPr>
            <sz val="9"/>
            <color indexed="81"/>
            <rFont val="Tahoma"/>
            <family val="2"/>
          </rPr>
          <t xml:space="preserve">See notes on CFC11
</t>
        </r>
      </text>
    </comment>
    <comment ref="A318" authorId="0" shapeId="0" xr:uid="{FBD2A78E-375F-42FF-BE4C-D35453536C3A}">
      <text>
        <r>
          <rPr>
            <sz val="9"/>
            <color indexed="81"/>
            <rFont val="Tahoma"/>
            <family val="2"/>
          </rPr>
          <t>CH2ClCH2CF3,
3-Chloro-1,1,1-trifluoropropane</t>
        </r>
      </text>
    </comment>
    <comment ref="C318" authorId="0" shapeId="0" xr:uid="{1F7ABD14-4AEE-44CE-BA3C-44CB6220357D}">
      <text>
        <r>
          <rPr>
            <sz val="9"/>
            <color indexed="81"/>
            <rFont val="Tahoma"/>
            <family val="2"/>
          </rPr>
          <t>https://csl.noaa.gov/groups/csl5/datasets/data/hcfcs/Summary%20HCFC-253.pdf</t>
        </r>
      </text>
    </comment>
    <comment ref="D318" authorId="0" shapeId="0" xr:uid="{DA0EEE1B-A00F-47FF-B129-9952A478B935}">
      <text>
        <r>
          <rPr>
            <sz val="9"/>
            <color indexed="81"/>
            <rFont val="Tahoma"/>
            <family val="2"/>
          </rPr>
          <t xml:space="preserve">Uncertainty estimated from difference between well-mixed (78) and lifetime adjusted (58) GWP </t>
        </r>
      </text>
    </comment>
    <comment ref="E318" authorId="0" shapeId="0" xr:uid="{3EAE60FD-2150-4604-9D76-C6CA19DE0980}">
      <text>
        <r>
          <rPr>
            <sz val="9"/>
            <color indexed="81"/>
            <rFont val="Tahoma"/>
            <family val="2"/>
          </rPr>
          <t>https://csl.noaa.gov/groups/csl5/datasets/data/hcfcs/Summary%20HCFC-253.pdf</t>
        </r>
      </text>
    </comment>
    <comment ref="F318" authorId="0" shapeId="0" xr:uid="{6F74A36B-F390-47C1-9FF5-70BC5F6C140B}">
      <text>
        <r>
          <rPr>
            <sz val="9"/>
            <color indexed="81"/>
            <rFont val="Tahoma"/>
            <family val="2"/>
          </rPr>
          <t>Assumed to be subject to the same kind of uncertainties as the GWP estimate</t>
        </r>
        <r>
          <rPr>
            <sz val="9"/>
            <color indexed="81"/>
            <rFont val="Tahoma"/>
            <family val="2"/>
          </rPr>
          <t xml:space="preserve">
</t>
        </r>
      </text>
    </comment>
    <comment ref="G318" authorId="0" shapeId="0" xr:uid="{B26E9A96-8D0D-40A5-ACFD-04523670913F}">
      <text>
        <r>
          <rPr>
            <sz val="9"/>
            <color indexed="81"/>
            <rFont val="Tahoma"/>
            <family val="2"/>
          </rPr>
          <t xml:space="preserve">See note on CFC-11
</t>
        </r>
      </text>
    </comment>
    <comment ref="I318" authorId="0" shapeId="0" xr:uid="{9FE9327D-5F5F-4CF8-925B-832703986A4A}">
      <text>
        <r>
          <rPr>
            <sz val="9"/>
            <color indexed="81"/>
            <rFont val="Tahoma"/>
            <family val="2"/>
          </rPr>
          <t xml:space="preserve">See note on CFC-11
</t>
        </r>
      </text>
    </comment>
    <comment ref="J318" authorId="0" shapeId="0" xr:uid="{F0B1C19C-A89E-48E2-B5C0-A7366F8684AB}">
      <text>
        <r>
          <rPr>
            <sz val="9"/>
            <color indexed="81"/>
            <rFont val="Tahoma"/>
            <family val="2"/>
          </rPr>
          <t xml:space="preserve">See notes on CFC11
</t>
        </r>
      </text>
    </comment>
    <comment ref="A319" authorId="0" shapeId="0" xr:uid="{640E65E0-874C-4DE9-9FF3-90AD5D5C4C0A}">
      <text>
        <r>
          <rPr>
            <sz val="9"/>
            <color indexed="81"/>
            <rFont val="Tahoma"/>
            <family val="2"/>
          </rPr>
          <t xml:space="preserve">CH2FCH2CClF2,
1-Chloro-1,1,3-trifluoropropane
</t>
        </r>
      </text>
    </comment>
    <comment ref="C319" authorId="0" shapeId="0" xr:uid="{EC6844F7-A2A4-45F8-8BB8-1D99E7A1077B}">
      <text>
        <r>
          <rPr>
            <sz val="9"/>
            <color indexed="81"/>
            <rFont val="Tahoma"/>
            <family val="2"/>
          </rPr>
          <t>https://csl.noaa.gov/groups/csl5/datasets/data/hcfcs/Summary%20HCFC-253.pdf</t>
        </r>
      </text>
    </comment>
    <comment ref="D319" authorId="0" shapeId="0" xr:uid="{0212595A-75EB-465B-B6DF-E305077713E7}">
      <text>
        <r>
          <rPr>
            <sz val="9"/>
            <color indexed="81"/>
            <rFont val="Tahoma"/>
            <family val="2"/>
          </rPr>
          <t xml:space="preserve">Uncertainty estimated from difference between well-mixed (164) and lifetime adjusted (132) GWP </t>
        </r>
      </text>
    </comment>
    <comment ref="E319" authorId="0" shapeId="0" xr:uid="{4632DC04-9075-4CB9-A8FB-81C5AA91F4C5}">
      <text>
        <r>
          <rPr>
            <sz val="9"/>
            <color indexed="81"/>
            <rFont val="Tahoma"/>
            <family val="2"/>
          </rPr>
          <t>https://csl.noaa.gov/groups/csl5/datasets/data/hcfcs/Summary%20HCFC-253.pdf</t>
        </r>
      </text>
    </comment>
    <comment ref="F319" authorId="0" shapeId="0" xr:uid="{E1AEA882-A983-4BC4-8FBD-4B3AC7B58F3D}">
      <text>
        <r>
          <rPr>
            <sz val="9"/>
            <color indexed="81"/>
            <rFont val="Tahoma"/>
            <family val="2"/>
          </rPr>
          <t>Assumed to be subject to the same kind of uncertainties as the GWP estimate</t>
        </r>
        <r>
          <rPr>
            <sz val="9"/>
            <color indexed="81"/>
            <rFont val="Tahoma"/>
            <family val="2"/>
          </rPr>
          <t xml:space="preserve">
</t>
        </r>
      </text>
    </comment>
    <comment ref="G319" authorId="0" shapeId="0" xr:uid="{C43FF574-CC81-4283-91CD-D66CD4CB72E1}">
      <text>
        <r>
          <rPr>
            <sz val="9"/>
            <color indexed="81"/>
            <rFont val="Tahoma"/>
            <family val="2"/>
          </rPr>
          <t xml:space="preserve">See note on CFC-11
</t>
        </r>
      </text>
    </comment>
    <comment ref="I319" authorId="0" shapeId="0" xr:uid="{0ECCB891-BC96-4C5B-8BC2-DAF0F9BCD124}">
      <text>
        <r>
          <rPr>
            <sz val="9"/>
            <color indexed="81"/>
            <rFont val="Tahoma"/>
            <family val="2"/>
          </rPr>
          <t xml:space="preserve">See note on CFC-11
</t>
        </r>
      </text>
    </comment>
    <comment ref="J319" authorId="0" shapeId="0" xr:uid="{11C4ABA9-3A6D-4463-8A99-AA58E5141FED}">
      <text>
        <r>
          <rPr>
            <sz val="9"/>
            <color indexed="81"/>
            <rFont val="Tahoma"/>
            <family val="2"/>
          </rPr>
          <t xml:space="preserve">See notes on CFC11
</t>
        </r>
      </text>
    </comment>
    <comment ref="A320" authorId="0" shapeId="0" xr:uid="{575F8DAD-5C8F-4234-9E60-866D2D1C3A6F}">
      <text>
        <r>
          <rPr>
            <sz val="9"/>
            <color indexed="81"/>
            <rFont val="Tahoma"/>
            <family val="2"/>
          </rPr>
          <t>CH3CCl2CH2F</t>
        </r>
      </text>
    </comment>
    <comment ref="C320" authorId="0" shapeId="0" xr:uid="{07B5A528-3D89-4D4C-8BF5-901824696899}">
      <text>
        <r>
          <rPr>
            <sz val="9"/>
            <color indexed="81"/>
            <rFont val="Tahoma"/>
            <family val="2"/>
          </rPr>
          <t>https://csl.noaa.gov/groups/csl5/datasets/data/hcfcs/Summary%20HCFC-253.pdf</t>
        </r>
      </text>
    </comment>
    <comment ref="D320" authorId="0" shapeId="0" xr:uid="{7C009FD9-7E60-46E5-9C2A-06DF76EDA6AA}">
      <text>
        <r>
          <rPr>
            <sz val="9"/>
            <color indexed="81"/>
            <rFont val="Tahoma"/>
            <family val="2"/>
          </rPr>
          <t xml:space="preserve">Uncertainty estimated from difference between well-mixed (48) and lifetime adjusted (36) GWP </t>
        </r>
      </text>
    </comment>
    <comment ref="F320" authorId="0" shapeId="0" xr:uid="{D84B821B-D4D4-4E0C-825B-B1816EB8CBA5}">
      <text>
        <r>
          <rPr>
            <sz val="9"/>
            <color indexed="81"/>
            <rFont val="Tahoma"/>
            <family val="2"/>
          </rPr>
          <t>Assumed to be subject to the same kind of uncertainties as the GWP estimate</t>
        </r>
        <r>
          <rPr>
            <sz val="9"/>
            <color indexed="81"/>
            <rFont val="Tahoma"/>
            <family val="2"/>
          </rPr>
          <t xml:space="preserve">
</t>
        </r>
      </text>
    </comment>
    <comment ref="G320" authorId="0" shapeId="0" xr:uid="{6C29BCC4-291B-4A91-B476-927902D4FB76}">
      <text>
        <r>
          <rPr>
            <sz val="9"/>
            <color indexed="81"/>
            <rFont val="Tahoma"/>
            <family val="2"/>
          </rPr>
          <t xml:space="preserve">See note on CFC-11
</t>
        </r>
      </text>
    </comment>
    <comment ref="I320" authorId="0" shapeId="0" xr:uid="{F6B7C825-D0EC-4489-95E5-D4B15AC1F6CB}">
      <text>
        <r>
          <rPr>
            <sz val="9"/>
            <color indexed="81"/>
            <rFont val="Tahoma"/>
            <family val="2"/>
          </rPr>
          <t xml:space="preserve">See note on CFC-11
</t>
        </r>
      </text>
    </comment>
    <comment ref="J320" authorId="0" shapeId="0" xr:uid="{D6EAF6CC-FFD9-45D9-921F-4E3C6AB2C357}">
      <text>
        <r>
          <rPr>
            <sz val="9"/>
            <color indexed="81"/>
            <rFont val="Tahoma"/>
            <family val="2"/>
          </rPr>
          <t xml:space="preserve">See notes on CFC11
</t>
        </r>
      </text>
    </comment>
    <comment ref="A321" authorId="0" shapeId="0" xr:uid="{FBB468CF-0704-48D8-9C88-549B5E1DC73F}">
      <text>
        <r>
          <rPr>
            <sz val="9"/>
            <color indexed="81"/>
            <rFont val="Tahoma"/>
            <family val="2"/>
          </rPr>
          <t xml:space="preserve">1,2-Dichloro-2-fluoropropane
</t>
        </r>
      </text>
    </comment>
    <comment ref="C321" authorId="0" shapeId="0" xr:uid="{DF87326C-8301-489E-A389-DFC95F6E5EC0}">
      <text>
        <r>
          <rPr>
            <sz val="9"/>
            <color indexed="81"/>
            <rFont val="Tahoma"/>
            <family val="2"/>
          </rPr>
          <t>https://csl.noaa.gov/groups/csl5/datasets/data/hcfcs/Summary%20HCFC-253.pdf</t>
        </r>
      </text>
    </comment>
    <comment ref="D321" authorId="0" shapeId="0" xr:uid="{D7257FDA-EF42-48E5-92B6-EF3CF8625D3F}">
      <text>
        <r>
          <rPr>
            <sz val="9"/>
            <color indexed="81"/>
            <rFont val="Tahoma"/>
            <family val="2"/>
          </rPr>
          <t xml:space="preserve">Uncertainty estimated from difference between well-mixed (99) and lifetime adjusted (84) GWP </t>
        </r>
      </text>
    </comment>
    <comment ref="F321" authorId="0" shapeId="0" xr:uid="{BD81F157-6C87-469E-8F41-78D1243FF838}">
      <text>
        <r>
          <rPr>
            <sz val="9"/>
            <color indexed="81"/>
            <rFont val="Tahoma"/>
            <family val="2"/>
          </rPr>
          <t>Assumed to be subject to the same kind of uncertainties as the GWP estimate</t>
        </r>
        <r>
          <rPr>
            <sz val="9"/>
            <color indexed="81"/>
            <rFont val="Tahoma"/>
            <family val="2"/>
          </rPr>
          <t xml:space="preserve">
</t>
        </r>
      </text>
    </comment>
    <comment ref="G321" authorId="0" shapeId="0" xr:uid="{2EE7600A-8863-4C06-AE3F-18906851F67B}">
      <text>
        <r>
          <rPr>
            <sz val="9"/>
            <color indexed="81"/>
            <rFont val="Tahoma"/>
            <family val="2"/>
          </rPr>
          <t xml:space="preserve">See note on CFC-11
</t>
        </r>
      </text>
    </comment>
    <comment ref="I321" authorId="0" shapeId="0" xr:uid="{0ABBDB48-5DEC-4519-8793-1509C69EBC62}">
      <text>
        <r>
          <rPr>
            <sz val="9"/>
            <color indexed="81"/>
            <rFont val="Tahoma"/>
            <family val="2"/>
          </rPr>
          <t xml:space="preserve">See note on CFC-11
</t>
        </r>
      </text>
    </comment>
    <comment ref="J321" authorId="0" shapeId="0" xr:uid="{F6C32E76-513D-4D4A-B418-285FA926142A}">
      <text>
        <r>
          <rPr>
            <sz val="9"/>
            <color indexed="81"/>
            <rFont val="Tahoma"/>
            <family val="2"/>
          </rPr>
          <t xml:space="preserve">See notes on CFC11
</t>
        </r>
      </text>
    </comment>
    <comment ref="A322" authorId="0" shapeId="0" xr:uid="{E9A5E989-5644-4A88-B4A8-C95391AA131E}">
      <text>
        <r>
          <rPr>
            <sz val="9"/>
            <color indexed="81"/>
            <rFont val="Tahoma"/>
            <family val="2"/>
          </rPr>
          <t xml:space="preserve">1,2-Dichloro-3-fluoropropane
</t>
        </r>
      </text>
    </comment>
    <comment ref="C322" authorId="0" shapeId="0" xr:uid="{9CBFB682-6D23-49E2-8673-D4CD2A9F0CCE}">
      <text>
        <r>
          <rPr>
            <sz val="9"/>
            <color indexed="81"/>
            <rFont val="Tahoma"/>
            <family val="2"/>
          </rPr>
          <t>https://csl.noaa.gov/groups/csl5/datasets/data/hcfcs/Summary%20HCFC-253.pdf</t>
        </r>
      </text>
    </comment>
    <comment ref="D322" authorId="0" shapeId="0" xr:uid="{5F02BCA0-B4A0-45BE-AF1B-7789C9267064}">
      <text>
        <r>
          <rPr>
            <sz val="9"/>
            <color indexed="81"/>
            <rFont val="Tahoma"/>
            <family val="2"/>
          </rPr>
          <t xml:space="preserve">Uncertainty estimated from difference between well-mixed (12) and lifetime adjusted (7) GWP </t>
        </r>
      </text>
    </comment>
    <comment ref="F322" authorId="0" shapeId="0" xr:uid="{C5709BD4-758F-4FD4-ABEC-3EA15CDAE7D3}">
      <text>
        <r>
          <rPr>
            <sz val="9"/>
            <color indexed="81"/>
            <rFont val="Tahoma"/>
            <family val="2"/>
          </rPr>
          <t>Assumed to be subject to the same kind of uncertainties as the GWP estimate</t>
        </r>
        <r>
          <rPr>
            <sz val="9"/>
            <color indexed="81"/>
            <rFont val="Tahoma"/>
            <family val="2"/>
          </rPr>
          <t xml:space="preserve">
</t>
        </r>
      </text>
    </comment>
    <comment ref="G322" authorId="0" shapeId="0" xr:uid="{CC5DFC73-DBC1-47B8-A4C6-CC2830E5B49E}">
      <text>
        <r>
          <rPr>
            <sz val="9"/>
            <color indexed="81"/>
            <rFont val="Tahoma"/>
            <family val="2"/>
          </rPr>
          <t xml:space="preserve">See note on CFC-11
</t>
        </r>
      </text>
    </comment>
    <comment ref="I322" authorId="0" shapeId="0" xr:uid="{94D09916-2EE3-4C38-A07A-6D8127696F13}">
      <text>
        <r>
          <rPr>
            <sz val="9"/>
            <color indexed="81"/>
            <rFont val="Tahoma"/>
            <family val="2"/>
          </rPr>
          <t xml:space="preserve">See note on CFC-11
</t>
        </r>
      </text>
    </comment>
    <comment ref="J322" authorId="0" shapeId="0" xr:uid="{10FDEA10-7149-4374-9C66-3B1FB09D193A}">
      <text>
        <r>
          <rPr>
            <sz val="9"/>
            <color indexed="81"/>
            <rFont val="Tahoma"/>
            <family val="2"/>
          </rPr>
          <t xml:space="preserve">See notes on CFC11
</t>
        </r>
      </text>
    </comment>
    <comment ref="A323" authorId="0" shapeId="0" xr:uid="{5CDACEBF-4161-4CF2-8CA4-AA122B8D69ED}">
      <text>
        <r>
          <rPr>
            <sz val="9"/>
            <color indexed="81"/>
            <rFont val="Tahoma"/>
            <family val="2"/>
          </rPr>
          <t xml:space="preserve">1,2-Dichloro-1-fluoropropane
</t>
        </r>
      </text>
    </comment>
    <comment ref="C323" authorId="0" shapeId="0" xr:uid="{4F05FE6D-AB66-4E45-988F-57E5E22DE404}">
      <text>
        <r>
          <rPr>
            <sz val="9"/>
            <color indexed="81"/>
            <rFont val="Tahoma"/>
            <family val="2"/>
          </rPr>
          <t>https://csl.noaa.gov/groups/csl5/datasets/data/hcfcs/Summary%20HCFC-253.pdf</t>
        </r>
      </text>
    </comment>
    <comment ref="D323" authorId="0" shapeId="0" xr:uid="{6DF71005-C7AD-49E9-A48C-3C7C72C83135}">
      <text>
        <r>
          <rPr>
            <sz val="9"/>
            <color indexed="81"/>
            <rFont val="Tahoma"/>
            <family val="2"/>
          </rPr>
          <t xml:space="preserve">Uncertainty estimated from difference between well-mixed (23) and lifetime adjusted (14) GWP </t>
        </r>
      </text>
    </comment>
    <comment ref="F323" authorId="0" shapeId="0" xr:uid="{9BDF4C9C-C20C-4F14-B5BE-9AEADCC547F1}">
      <text>
        <r>
          <rPr>
            <sz val="9"/>
            <color indexed="81"/>
            <rFont val="Tahoma"/>
            <family val="2"/>
          </rPr>
          <t>Assumed to be subject to the same kind of uncertainties as the GWP estimate</t>
        </r>
        <r>
          <rPr>
            <sz val="9"/>
            <color indexed="81"/>
            <rFont val="Tahoma"/>
            <family val="2"/>
          </rPr>
          <t xml:space="preserve">
</t>
        </r>
      </text>
    </comment>
    <comment ref="G323" authorId="0" shapeId="0" xr:uid="{64DDF1F4-D791-4BF0-B015-45922E435340}">
      <text>
        <r>
          <rPr>
            <sz val="9"/>
            <color indexed="81"/>
            <rFont val="Tahoma"/>
            <family val="2"/>
          </rPr>
          <t xml:space="preserve">See note on CFC-11
</t>
        </r>
      </text>
    </comment>
    <comment ref="I323" authorId="0" shapeId="0" xr:uid="{5CC94175-A621-4B4F-885D-50E6567F4E78}">
      <text>
        <r>
          <rPr>
            <sz val="9"/>
            <color indexed="81"/>
            <rFont val="Tahoma"/>
            <family val="2"/>
          </rPr>
          <t xml:space="preserve">See note on CFC-11
</t>
        </r>
      </text>
    </comment>
    <comment ref="J323" authorId="0" shapeId="0" xr:uid="{152978AD-5904-499B-8753-AD47263334FB}">
      <text>
        <r>
          <rPr>
            <sz val="9"/>
            <color indexed="81"/>
            <rFont val="Tahoma"/>
            <family val="2"/>
          </rPr>
          <t xml:space="preserve">See notes on CFC11
</t>
        </r>
      </text>
    </comment>
    <comment ref="A324" authorId="0" shapeId="0" xr:uid="{E31E61F1-F2E3-4F63-99A4-FCD159182A5A}">
      <text>
        <r>
          <rPr>
            <sz val="9"/>
            <color indexed="81"/>
            <rFont val="Tahoma"/>
            <family val="2"/>
          </rPr>
          <t xml:space="preserve">1,3-Dichloro-2-fluoropropane
</t>
        </r>
      </text>
    </comment>
    <comment ref="C324" authorId="0" shapeId="0" xr:uid="{703123D3-0A4D-45E9-A7A4-2732FCA13BF2}">
      <text>
        <r>
          <rPr>
            <sz val="9"/>
            <color indexed="81"/>
            <rFont val="Tahoma"/>
            <family val="2"/>
          </rPr>
          <t>https://csl.noaa.gov/groups/csl5/datasets/data/hcfcs/Summary%20HCFC-253.pdf</t>
        </r>
      </text>
    </comment>
    <comment ref="D324" authorId="0" shapeId="0" xr:uid="{1CDB9532-741C-4316-8E09-9A7D832EFD11}">
      <text>
        <r>
          <rPr>
            <sz val="9"/>
            <color indexed="81"/>
            <rFont val="Tahoma"/>
            <family val="2"/>
          </rPr>
          <t xml:space="preserve">Uncertainty estimated from difference between well-mixed (20) and lifetime adjusted (12) GWP </t>
        </r>
      </text>
    </comment>
    <comment ref="F324" authorId="0" shapeId="0" xr:uid="{F9CAD46E-9433-4CF1-AD0D-C876CF0D67AA}">
      <text>
        <r>
          <rPr>
            <sz val="9"/>
            <color indexed="81"/>
            <rFont val="Tahoma"/>
            <family val="2"/>
          </rPr>
          <t>Assumed to be subject to the same kind of uncertainties as the GWP estimate</t>
        </r>
        <r>
          <rPr>
            <sz val="9"/>
            <color indexed="81"/>
            <rFont val="Tahoma"/>
            <family val="2"/>
          </rPr>
          <t xml:space="preserve">
</t>
        </r>
      </text>
    </comment>
    <comment ref="G324" authorId="0" shapeId="0" xr:uid="{FBC8C49C-BFE8-4070-A63D-4D1EDEEC9B36}">
      <text>
        <r>
          <rPr>
            <sz val="9"/>
            <color indexed="81"/>
            <rFont val="Tahoma"/>
            <family val="2"/>
          </rPr>
          <t xml:space="preserve">See note on CFC-11
</t>
        </r>
      </text>
    </comment>
    <comment ref="I324" authorId="0" shapeId="0" xr:uid="{45B0AD77-C552-4D21-AF92-B22AD0B838BD}">
      <text>
        <r>
          <rPr>
            <sz val="9"/>
            <color indexed="81"/>
            <rFont val="Tahoma"/>
            <family val="2"/>
          </rPr>
          <t xml:space="preserve">See note on CFC-11
</t>
        </r>
      </text>
    </comment>
    <comment ref="J324" authorId="0" shapeId="0" xr:uid="{A7632B71-E672-437E-AD07-AE34F27B57D5}">
      <text>
        <r>
          <rPr>
            <sz val="9"/>
            <color indexed="81"/>
            <rFont val="Tahoma"/>
            <family val="2"/>
          </rPr>
          <t xml:space="preserve">See notes on CFC11
</t>
        </r>
      </text>
    </comment>
    <comment ref="A325" authorId="0" shapeId="0" xr:uid="{2A48A88F-DC6F-4FF7-AEC9-7953A748538E}">
      <text>
        <r>
          <rPr>
            <sz val="9"/>
            <color indexed="81"/>
            <rFont val="Tahoma"/>
            <family val="2"/>
          </rPr>
          <t xml:space="preserve">1,1-Dichloro-2-fluoropropane
</t>
        </r>
      </text>
    </comment>
    <comment ref="C325" authorId="0" shapeId="0" xr:uid="{79E3993E-108D-4E22-BBFB-3E76DA01B675}">
      <text>
        <r>
          <rPr>
            <sz val="9"/>
            <color indexed="81"/>
            <rFont val="Tahoma"/>
            <family val="2"/>
          </rPr>
          <t>https://csl.noaa.gov/groups/csl5/datasets/data/hcfcs/Summary%20HCFC-253.pdf</t>
        </r>
      </text>
    </comment>
    <comment ref="D325" authorId="0" shapeId="0" xr:uid="{658506D6-4239-418D-93D9-54D5C53F67CF}">
      <text>
        <r>
          <rPr>
            <sz val="9"/>
            <color indexed="81"/>
            <rFont val="Tahoma"/>
            <family val="2"/>
          </rPr>
          <t xml:space="preserve">Uncertainty estimated from difference between well-mixed (20) and lifetime adjusted (12) GWP </t>
        </r>
      </text>
    </comment>
    <comment ref="F325" authorId="0" shapeId="0" xr:uid="{E3DC0FD3-B1E9-452E-ACF0-9AEEFE0FD6F3}">
      <text>
        <r>
          <rPr>
            <sz val="9"/>
            <color indexed="81"/>
            <rFont val="Tahoma"/>
            <family val="2"/>
          </rPr>
          <t>Assumed to be subject to the same kind of uncertainties as the GWP estimate</t>
        </r>
        <r>
          <rPr>
            <sz val="9"/>
            <color indexed="81"/>
            <rFont val="Tahoma"/>
            <family val="2"/>
          </rPr>
          <t xml:space="preserve">
</t>
        </r>
      </text>
    </comment>
    <comment ref="G325" authorId="0" shapeId="0" xr:uid="{845FF878-22DC-446E-B21D-DB938F3C3DB4}">
      <text>
        <r>
          <rPr>
            <sz val="9"/>
            <color indexed="81"/>
            <rFont val="Tahoma"/>
            <family val="2"/>
          </rPr>
          <t xml:space="preserve">See note on CFC-11
</t>
        </r>
      </text>
    </comment>
    <comment ref="I325" authorId="0" shapeId="0" xr:uid="{65C48332-238C-4284-BBFB-4CCF202C3174}">
      <text>
        <r>
          <rPr>
            <sz val="9"/>
            <color indexed="81"/>
            <rFont val="Tahoma"/>
            <family val="2"/>
          </rPr>
          <t xml:space="preserve">See note on CFC-11
</t>
        </r>
      </text>
    </comment>
    <comment ref="J325" authorId="0" shapeId="0" xr:uid="{D36CB7A1-48D8-476A-AFE8-0ABD085403EC}">
      <text>
        <r>
          <rPr>
            <sz val="9"/>
            <color indexed="81"/>
            <rFont val="Tahoma"/>
            <family val="2"/>
          </rPr>
          <t xml:space="preserve">See notes on CFC11
</t>
        </r>
      </text>
    </comment>
    <comment ref="A326" authorId="0" shapeId="0" xr:uid="{365D0B3C-67F6-4EE1-9247-C683B0B14F5D}">
      <text>
        <r>
          <rPr>
            <sz val="9"/>
            <color indexed="81"/>
            <rFont val="Tahoma"/>
            <family val="2"/>
          </rPr>
          <t xml:space="preserve">CH2ClCH2CHClF
</t>
        </r>
      </text>
    </comment>
    <comment ref="C326" authorId="0" shapeId="0" xr:uid="{E5D85937-A2FB-42F6-869A-68D8DEC513F7}">
      <text>
        <r>
          <rPr>
            <sz val="9"/>
            <color indexed="81"/>
            <rFont val="Tahoma"/>
            <family val="2"/>
          </rPr>
          <t>https://csl.noaa.gov/groups/csl5/datasets/data/hcfcs/Summary%20HCFC-253.pdf</t>
        </r>
      </text>
    </comment>
    <comment ref="D326" authorId="0" shapeId="0" xr:uid="{C00E2664-3E45-4406-A4CD-D135EDF274E3}">
      <text>
        <r>
          <rPr>
            <sz val="9"/>
            <color indexed="81"/>
            <rFont val="Tahoma"/>
            <family val="2"/>
          </rPr>
          <t xml:space="preserve">Uncertainty estimated from difference between well-mixed (31) and lifetime adjusted (20) GWP </t>
        </r>
      </text>
    </comment>
    <comment ref="F326" authorId="0" shapeId="0" xr:uid="{352F19E2-3382-4CF4-A9FF-B8632DE532D9}">
      <text>
        <r>
          <rPr>
            <sz val="9"/>
            <color indexed="81"/>
            <rFont val="Tahoma"/>
            <family val="2"/>
          </rPr>
          <t>Assumed to be subject to the same kind of uncertainties as the GWP estimate</t>
        </r>
        <r>
          <rPr>
            <sz val="9"/>
            <color indexed="81"/>
            <rFont val="Tahoma"/>
            <family val="2"/>
          </rPr>
          <t xml:space="preserve">
</t>
        </r>
      </text>
    </comment>
    <comment ref="G326" authorId="0" shapeId="0" xr:uid="{2679EBF5-4724-4E46-8AF1-49D62E5584E0}">
      <text>
        <r>
          <rPr>
            <sz val="9"/>
            <color indexed="81"/>
            <rFont val="Tahoma"/>
            <family val="2"/>
          </rPr>
          <t xml:space="preserve">See note on CFC-11
</t>
        </r>
      </text>
    </comment>
    <comment ref="I326" authorId="0" shapeId="0" xr:uid="{928724A4-3023-4782-87DB-2FCFAD5D5583}">
      <text>
        <r>
          <rPr>
            <sz val="9"/>
            <color indexed="81"/>
            <rFont val="Tahoma"/>
            <family val="2"/>
          </rPr>
          <t xml:space="preserve">See note on CFC-11
</t>
        </r>
      </text>
    </comment>
    <comment ref="J326" authorId="0" shapeId="0" xr:uid="{E0F9E779-6FFD-40FD-B84D-4F6FAC9E2E06}">
      <text>
        <r>
          <rPr>
            <sz val="9"/>
            <color indexed="81"/>
            <rFont val="Tahoma"/>
            <family val="2"/>
          </rPr>
          <t xml:space="preserve">See notes on CFC11
</t>
        </r>
      </text>
    </comment>
    <comment ref="A327" authorId="0" shapeId="0" xr:uid="{52E75FFF-DFF7-4FEA-A189-C37678A986E3}">
      <text>
        <r>
          <rPr>
            <sz val="9"/>
            <color indexed="81"/>
            <rFont val="Tahoma"/>
            <family val="2"/>
          </rPr>
          <t xml:space="preserve">1,1-Dichloro-3-fluoropropane
</t>
        </r>
      </text>
    </comment>
    <comment ref="C327" authorId="0" shapeId="0" xr:uid="{8FEFA9FE-D369-4D7D-B923-20041EC111BD}">
      <text>
        <r>
          <rPr>
            <sz val="9"/>
            <color indexed="81"/>
            <rFont val="Tahoma"/>
            <family val="2"/>
          </rPr>
          <t>https://csl.noaa.gov/groups/csl5/datasets/data/hcfcs/Summary%20HCFC-253.pdf</t>
        </r>
      </text>
    </comment>
    <comment ref="D327" authorId="0" shapeId="0" xr:uid="{7F6B1040-C731-4014-A84D-10C7E5EC9107}">
      <text>
        <r>
          <rPr>
            <sz val="9"/>
            <color indexed="81"/>
            <rFont val="Tahoma"/>
            <family val="2"/>
          </rPr>
          <t xml:space="preserve">Uncertainty estimated from difference between well-mixed (17) and lifetime adjusted (9) GWP </t>
        </r>
      </text>
    </comment>
    <comment ref="F327" authorId="0" shapeId="0" xr:uid="{D7F2C9A6-0478-4DCE-B93E-38DC5A302FEF}">
      <text>
        <r>
          <rPr>
            <sz val="9"/>
            <color indexed="81"/>
            <rFont val="Tahoma"/>
            <family val="2"/>
          </rPr>
          <t>Assumed to be subject to the same kind of uncertainties as the GWP estimate</t>
        </r>
        <r>
          <rPr>
            <sz val="9"/>
            <color indexed="81"/>
            <rFont val="Tahoma"/>
            <family val="2"/>
          </rPr>
          <t xml:space="preserve">
</t>
        </r>
      </text>
    </comment>
    <comment ref="G327" authorId="0" shapeId="0" xr:uid="{5CD23439-68DC-498D-B829-2FA80137124E}">
      <text>
        <r>
          <rPr>
            <sz val="9"/>
            <color indexed="81"/>
            <rFont val="Tahoma"/>
            <family val="2"/>
          </rPr>
          <t xml:space="preserve">See note on CFC-11
</t>
        </r>
      </text>
    </comment>
    <comment ref="I327" authorId="0" shapeId="0" xr:uid="{B102952F-B1CA-427F-8DE4-7209DE599FAF}">
      <text>
        <r>
          <rPr>
            <sz val="9"/>
            <color indexed="81"/>
            <rFont val="Tahoma"/>
            <family val="2"/>
          </rPr>
          <t xml:space="preserve">See note on CFC-11
</t>
        </r>
      </text>
    </comment>
    <comment ref="J327" authorId="0" shapeId="0" xr:uid="{C102BAE1-6274-41AC-9D68-4444F9DCDE32}">
      <text>
        <r>
          <rPr>
            <sz val="9"/>
            <color indexed="81"/>
            <rFont val="Tahoma"/>
            <family val="2"/>
          </rPr>
          <t xml:space="preserve">See notes on CFC11
</t>
        </r>
      </text>
    </comment>
    <comment ref="A328" authorId="0" shapeId="0" xr:uid="{2E720525-C745-4122-B723-E0EBF597C984}">
      <text>
        <r>
          <rPr>
            <sz val="9"/>
            <color indexed="81"/>
            <rFont val="Tahoma"/>
            <family val="2"/>
          </rPr>
          <t xml:space="preserve">1,1-Dichloro-1-fluoropropane
</t>
        </r>
      </text>
    </comment>
    <comment ref="C328" authorId="0" shapeId="0" xr:uid="{107D2CA6-EB23-405C-B849-9F65877EA997}">
      <text>
        <r>
          <rPr>
            <sz val="9"/>
            <color indexed="81"/>
            <rFont val="Tahoma"/>
            <family val="2"/>
          </rPr>
          <t>https://csl.noaa.gov/groups/csl5/datasets/data/hcfcs/Summary%20HCFC-253.pdf</t>
        </r>
      </text>
    </comment>
    <comment ref="D328" authorId="0" shapeId="0" xr:uid="{A2E0D77C-1300-4CC6-9ADE-61630E708CDC}">
      <text>
        <r>
          <rPr>
            <sz val="9"/>
            <color indexed="81"/>
            <rFont val="Tahoma"/>
            <family val="2"/>
          </rPr>
          <t xml:space="preserve">Uncertainty estimated from difference between well-mixed (61) and lifetime adjusted (39) GWP </t>
        </r>
      </text>
    </comment>
    <comment ref="F328" authorId="0" shapeId="0" xr:uid="{25BA4287-BC16-4E9D-A4A8-2D3A39D16E1B}">
      <text>
        <r>
          <rPr>
            <sz val="9"/>
            <color indexed="81"/>
            <rFont val="Tahoma"/>
            <family val="2"/>
          </rPr>
          <t>Assumed to be subject to the same kind of uncertainties as the GWP estimate</t>
        </r>
        <r>
          <rPr>
            <sz val="9"/>
            <color indexed="81"/>
            <rFont val="Tahoma"/>
            <family val="2"/>
          </rPr>
          <t xml:space="preserve">
</t>
        </r>
      </text>
    </comment>
    <comment ref="G328" authorId="0" shapeId="0" xr:uid="{A9FE3AD1-C3CC-4067-AD33-CA0E7D618289}">
      <text>
        <r>
          <rPr>
            <sz val="9"/>
            <color indexed="81"/>
            <rFont val="Tahoma"/>
            <family val="2"/>
          </rPr>
          <t xml:space="preserve">See note on CFC-11
</t>
        </r>
      </text>
    </comment>
    <comment ref="I328" authorId="0" shapeId="0" xr:uid="{EB0DB500-7C07-4429-9873-CA2C049178C8}">
      <text>
        <r>
          <rPr>
            <sz val="9"/>
            <color indexed="81"/>
            <rFont val="Tahoma"/>
            <family val="2"/>
          </rPr>
          <t xml:space="preserve">See note on CFC-11
</t>
        </r>
      </text>
    </comment>
    <comment ref="J328" authorId="0" shapeId="0" xr:uid="{4B66CF98-F939-4FF8-AA4E-41503837D99A}">
      <text>
        <r>
          <rPr>
            <sz val="9"/>
            <color indexed="81"/>
            <rFont val="Tahoma"/>
            <family val="2"/>
          </rPr>
          <t xml:space="preserve">See notes on CFC11
</t>
        </r>
      </text>
    </comment>
    <comment ref="A329" authorId="0" shapeId="0" xr:uid="{4C6B4168-7B9C-4E5D-8A8D-82C14F839D7B}">
      <text>
        <r>
          <rPr>
            <sz val="9"/>
            <color indexed="81"/>
            <rFont val="Tahoma"/>
            <family val="2"/>
          </rPr>
          <t xml:space="preserve">2-Chloro-1,2-difluoropropane
</t>
        </r>
      </text>
    </comment>
    <comment ref="C329" authorId="0" shapeId="0" xr:uid="{82DBB025-7BE2-4B50-9D14-F3B15A45CF7A}">
      <text>
        <r>
          <rPr>
            <sz val="9"/>
            <color indexed="81"/>
            <rFont val="Tahoma"/>
            <family val="2"/>
          </rPr>
          <t>https://csl.noaa.gov/groups/csl5/datasets/data/hcfcs/Summary%20HCFC-253.pdf</t>
        </r>
      </text>
    </comment>
    <comment ref="D329" authorId="0" shapeId="0" xr:uid="{3860F486-0A14-4B9D-B2EE-BE86827A3638}">
      <text>
        <r>
          <rPr>
            <sz val="9"/>
            <color indexed="81"/>
            <rFont val="Tahoma"/>
            <family val="2"/>
          </rPr>
          <t xml:space="preserve">Uncertainty estimated from difference between well-mixed (254) and lifetime adjusted (227) GWP </t>
        </r>
      </text>
    </comment>
    <comment ref="F329" authorId="0" shapeId="0" xr:uid="{D5A32601-922B-4551-934C-F8C1476AAC88}">
      <text>
        <r>
          <rPr>
            <sz val="9"/>
            <color indexed="81"/>
            <rFont val="Tahoma"/>
            <family val="2"/>
          </rPr>
          <t>Assumed to be subject to the same kind of uncertainties as the GWP estimate</t>
        </r>
        <r>
          <rPr>
            <sz val="9"/>
            <color indexed="81"/>
            <rFont val="Tahoma"/>
            <family val="2"/>
          </rPr>
          <t xml:space="preserve">
</t>
        </r>
      </text>
    </comment>
    <comment ref="G329" authorId="0" shapeId="0" xr:uid="{7B0E8BFA-67E9-44C7-AA19-3A96879CEB53}">
      <text>
        <r>
          <rPr>
            <sz val="9"/>
            <color indexed="81"/>
            <rFont val="Tahoma"/>
            <family val="2"/>
          </rPr>
          <t xml:space="preserve">See note on CFC-11
</t>
        </r>
      </text>
    </comment>
    <comment ref="I329" authorId="0" shapeId="0" xr:uid="{DE8BFBE1-1301-4A25-A10C-05A50253587C}">
      <text>
        <r>
          <rPr>
            <sz val="9"/>
            <color indexed="81"/>
            <rFont val="Tahoma"/>
            <family val="2"/>
          </rPr>
          <t xml:space="preserve">See note on CFC-11
</t>
        </r>
      </text>
    </comment>
    <comment ref="J329" authorId="0" shapeId="0" xr:uid="{E475C5DB-C231-4826-B810-49BA039D7719}">
      <text>
        <r>
          <rPr>
            <sz val="9"/>
            <color indexed="81"/>
            <rFont val="Tahoma"/>
            <family val="2"/>
          </rPr>
          <t xml:space="preserve">See notes on CFC11
</t>
        </r>
      </text>
    </comment>
    <comment ref="A330" authorId="0" shapeId="0" xr:uid="{08594C86-147A-4B3F-8682-A557A32125A3}">
      <text>
        <r>
          <rPr>
            <sz val="9"/>
            <color indexed="81"/>
            <rFont val="Tahoma"/>
            <family val="2"/>
          </rPr>
          <t xml:space="preserve">1-Chloro-2,2-difluoropropane
</t>
        </r>
      </text>
    </comment>
    <comment ref="C330" authorId="0" shapeId="0" xr:uid="{5F635C82-7AC8-4CAA-8C97-12CD1D65B7E5}">
      <text>
        <r>
          <rPr>
            <sz val="9"/>
            <color indexed="81"/>
            <rFont val="Tahoma"/>
            <family val="2"/>
          </rPr>
          <t>https://csl.noaa.gov/groups/csl5/datasets/data/hcfcs/Summary%20HCFC-253.pdf</t>
        </r>
      </text>
    </comment>
    <comment ref="D330" authorId="0" shapeId="0" xr:uid="{B3328BD4-7CFB-413B-85E6-99352BB8A7A2}">
      <text>
        <r>
          <rPr>
            <sz val="9"/>
            <color indexed="81"/>
            <rFont val="Tahoma"/>
            <family val="2"/>
          </rPr>
          <t xml:space="preserve">Uncertainty estimated from difference between well-mixed (221) and lifetime adjusted (196) GWP </t>
        </r>
      </text>
    </comment>
    <comment ref="F330" authorId="0" shapeId="0" xr:uid="{A8575027-A6A7-48D7-8A50-F9260790B94D}">
      <text>
        <r>
          <rPr>
            <sz val="9"/>
            <color indexed="81"/>
            <rFont val="Tahoma"/>
            <family val="2"/>
          </rPr>
          <t>Assumed to be subject to the same kind of uncertainties as the GWP estimate</t>
        </r>
        <r>
          <rPr>
            <sz val="9"/>
            <color indexed="81"/>
            <rFont val="Tahoma"/>
            <family val="2"/>
          </rPr>
          <t xml:space="preserve">
</t>
        </r>
      </text>
    </comment>
    <comment ref="G330" authorId="0" shapeId="0" xr:uid="{9287D152-130C-4E92-A841-1F24F7B6346B}">
      <text>
        <r>
          <rPr>
            <sz val="9"/>
            <color indexed="81"/>
            <rFont val="Tahoma"/>
            <family val="2"/>
          </rPr>
          <t xml:space="preserve">See note on CFC-11
</t>
        </r>
      </text>
    </comment>
    <comment ref="I330" authorId="0" shapeId="0" xr:uid="{A8A1746F-0BCB-42CF-9B83-F16C67342468}">
      <text>
        <r>
          <rPr>
            <sz val="9"/>
            <color indexed="81"/>
            <rFont val="Tahoma"/>
            <family val="2"/>
          </rPr>
          <t xml:space="preserve">See note on CFC-11
</t>
        </r>
      </text>
    </comment>
    <comment ref="J330" authorId="0" shapeId="0" xr:uid="{80B3E43B-7BA5-4725-A3E0-ABD941D21794}">
      <text>
        <r>
          <rPr>
            <sz val="9"/>
            <color indexed="81"/>
            <rFont val="Tahoma"/>
            <family val="2"/>
          </rPr>
          <t xml:space="preserve">See notes on CFC11
</t>
        </r>
      </text>
    </comment>
    <comment ref="A331" authorId="0" shapeId="0" xr:uid="{53AB1AAB-2386-4406-B76C-7B849719C052}">
      <text>
        <r>
          <rPr>
            <sz val="9"/>
            <color indexed="81"/>
            <rFont val="Tahoma"/>
            <family val="2"/>
          </rPr>
          <t xml:space="preserve">2-Chloro-1,3-difluoropropane
</t>
        </r>
      </text>
    </comment>
    <comment ref="C331" authorId="0" shapeId="0" xr:uid="{5146B74E-05F1-497E-B3F4-23387E5B227C}">
      <text>
        <r>
          <rPr>
            <sz val="9"/>
            <color indexed="81"/>
            <rFont val="Tahoma"/>
            <family val="2"/>
          </rPr>
          <t>https://csl.noaa.gov/groups/csl5/datasets/data/hcfcs/Summary%20HCFC-253.pdf</t>
        </r>
      </text>
    </comment>
    <comment ref="D331" authorId="0" shapeId="0" xr:uid="{45FAB347-A286-476A-BEC7-91E76E3723FB}">
      <text>
        <r>
          <rPr>
            <sz val="9"/>
            <color indexed="81"/>
            <rFont val="Tahoma"/>
            <family val="2"/>
          </rPr>
          <t xml:space="preserve">Uncertainty estimated from difference between well-mixed (40) and lifetime adjusted (29) GWP </t>
        </r>
      </text>
    </comment>
    <comment ref="F331" authorId="0" shapeId="0" xr:uid="{0757FD87-6677-4280-BBA9-11B98843508B}">
      <text>
        <r>
          <rPr>
            <sz val="9"/>
            <color indexed="81"/>
            <rFont val="Tahoma"/>
            <family val="2"/>
          </rPr>
          <t>Assumed to be subject to the same kind of uncertainties as the GWP estimate</t>
        </r>
        <r>
          <rPr>
            <sz val="9"/>
            <color indexed="81"/>
            <rFont val="Tahoma"/>
            <family val="2"/>
          </rPr>
          <t xml:space="preserve">
</t>
        </r>
      </text>
    </comment>
    <comment ref="G331" authorId="0" shapeId="0" xr:uid="{4841F8C4-3E42-4AEE-A1C7-A22C637DB721}">
      <text>
        <r>
          <rPr>
            <sz val="9"/>
            <color indexed="81"/>
            <rFont val="Tahoma"/>
            <family val="2"/>
          </rPr>
          <t xml:space="preserve">See note on CFC-11
</t>
        </r>
      </text>
    </comment>
    <comment ref="I331" authorId="0" shapeId="0" xr:uid="{E37911DF-E27D-4D76-932B-A9D9B7A6CC1F}">
      <text>
        <r>
          <rPr>
            <sz val="9"/>
            <color indexed="81"/>
            <rFont val="Tahoma"/>
            <family val="2"/>
          </rPr>
          <t xml:space="preserve">See note on CFC-11
</t>
        </r>
      </text>
    </comment>
    <comment ref="J331" authorId="0" shapeId="0" xr:uid="{65559FC9-9848-40EA-B959-BB0D4C3A14E2}">
      <text>
        <r>
          <rPr>
            <sz val="9"/>
            <color indexed="81"/>
            <rFont val="Tahoma"/>
            <family val="2"/>
          </rPr>
          <t xml:space="preserve">See notes on CFC11
</t>
        </r>
      </text>
    </comment>
    <comment ref="A332" authorId="0" shapeId="0" xr:uid="{9B24A5D4-F95C-4C59-AAC8-067E850838E4}">
      <text>
        <r>
          <rPr>
            <sz val="9"/>
            <color indexed="81"/>
            <rFont val="Tahoma"/>
            <family val="2"/>
          </rPr>
          <t xml:space="preserve">2-Chloro-1,1-difluoropropane
</t>
        </r>
      </text>
    </comment>
    <comment ref="C332" authorId="0" shapeId="0" xr:uid="{5E82EF07-0770-4547-881B-D6B37A395F44}">
      <text>
        <r>
          <rPr>
            <sz val="9"/>
            <color indexed="81"/>
            <rFont val="Tahoma"/>
            <family val="2"/>
          </rPr>
          <t>https://csl.noaa.gov/groups/csl5/datasets/data/hcfcs/Summary%20HCFC-253.pdf</t>
        </r>
      </text>
    </comment>
    <comment ref="D332" authorId="0" shapeId="0" xr:uid="{82026AE3-AF25-4A10-84A4-43FC642CA979}">
      <text>
        <r>
          <rPr>
            <sz val="9"/>
            <color indexed="81"/>
            <rFont val="Tahoma"/>
            <family val="2"/>
          </rPr>
          <t xml:space="preserve">Uncertainty estimated from difference between well-mixed (42) and lifetime adjusted (28) GWP </t>
        </r>
      </text>
    </comment>
    <comment ref="F332" authorId="0" shapeId="0" xr:uid="{571A7E67-130F-4935-AC7D-8A8BCFF2E407}">
      <text>
        <r>
          <rPr>
            <sz val="9"/>
            <color indexed="81"/>
            <rFont val="Tahoma"/>
            <family val="2"/>
          </rPr>
          <t>Assumed to be subject to the same kind of uncertainties as the GWP estimate</t>
        </r>
        <r>
          <rPr>
            <sz val="9"/>
            <color indexed="81"/>
            <rFont val="Tahoma"/>
            <family val="2"/>
          </rPr>
          <t xml:space="preserve">
</t>
        </r>
      </text>
    </comment>
    <comment ref="G332" authorId="0" shapeId="0" xr:uid="{0EA6BEE6-EA14-418F-BC86-547C7F2652DD}">
      <text>
        <r>
          <rPr>
            <sz val="9"/>
            <color indexed="81"/>
            <rFont val="Tahoma"/>
            <family val="2"/>
          </rPr>
          <t xml:space="preserve">See note on CFC-11
</t>
        </r>
      </text>
    </comment>
    <comment ref="I332" authorId="0" shapeId="0" xr:uid="{9D2C2397-D25E-4C1A-A598-1E869525E7CF}">
      <text>
        <r>
          <rPr>
            <sz val="9"/>
            <color indexed="81"/>
            <rFont val="Tahoma"/>
            <family val="2"/>
          </rPr>
          <t xml:space="preserve">See note on CFC-11
</t>
        </r>
      </text>
    </comment>
    <comment ref="J332" authorId="0" shapeId="0" xr:uid="{C4158077-A54E-4DB2-BF2A-9E7B53392526}">
      <text>
        <r>
          <rPr>
            <sz val="9"/>
            <color indexed="81"/>
            <rFont val="Tahoma"/>
            <family val="2"/>
          </rPr>
          <t xml:space="preserve">See notes on CFC11
</t>
        </r>
      </text>
    </comment>
    <comment ref="A333" authorId="0" shapeId="0" xr:uid="{0FC52C4B-A615-4642-8633-BCCA1B9A7886}">
      <text>
        <r>
          <rPr>
            <sz val="9"/>
            <color indexed="81"/>
            <rFont val="Tahoma"/>
            <family val="2"/>
          </rPr>
          <t xml:space="preserve">1-Chloro-2,3-difluoropropane
</t>
        </r>
      </text>
    </comment>
    <comment ref="C333" authorId="0" shapeId="0" xr:uid="{46C07ACB-F58A-4D0A-9DE9-6F74CD016948}">
      <text>
        <r>
          <rPr>
            <sz val="9"/>
            <color indexed="81"/>
            <rFont val="Tahoma"/>
            <family val="2"/>
          </rPr>
          <t>https://csl.noaa.gov/groups/csl5/datasets/data/hcfcs/Summary%20HCFC-253.pdf</t>
        </r>
      </text>
    </comment>
    <comment ref="D333" authorId="0" shapeId="0" xr:uid="{F1E660ED-86C7-4F00-9E1A-1E274B297D13}">
      <text>
        <r>
          <rPr>
            <sz val="9"/>
            <color indexed="81"/>
            <rFont val="Tahoma"/>
            <family val="2"/>
          </rPr>
          <t xml:space="preserve">Uncertainty estimated from difference between well-mixed (41) and lifetime adjusted (29) GWP </t>
        </r>
      </text>
    </comment>
    <comment ref="F333" authorId="0" shapeId="0" xr:uid="{940AC877-50EC-42C3-B7A7-1E2081839279}">
      <text>
        <r>
          <rPr>
            <sz val="9"/>
            <color indexed="81"/>
            <rFont val="Tahoma"/>
            <family val="2"/>
          </rPr>
          <t>Assumed to be subject to the same kind of uncertainties as the GWP estimate</t>
        </r>
        <r>
          <rPr>
            <sz val="9"/>
            <color indexed="81"/>
            <rFont val="Tahoma"/>
            <family val="2"/>
          </rPr>
          <t xml:space="preserve">
</t>
        </r>
      </text>
    </comment>
    <comment ref="G333" authorId="0" shapeId="0" xr:uid="{48F61A7D-D0C0-484F-BDF8-240467A0FFD8}">
      <text>
        <r>
          <rPr>
            <sz val="9"/>
            <color indexed="81"/>
            <rFont val="Tahoma"/>
            <family val="2"/>
          </rPr>
          <t xml:space="preserve">See note on CFC-11
</t>
        </r>
      </text>
    </comment>
    <comment ref="I333" authorId="0" shapeId="0" xr:uid="{8CE18F7C-5043-4245-95B8-CA1CEAB70DA7}">
      <text>
        <r>
          <rPr>
            <sz val="9"/>
            <color indexed="81"/>
            <rFont val="Tahoma"/>
            <family val="2"/>
          </rPr>
          <t xml:space="preserve">See note on CFC-11
</t>
        </r>
      </text>
    </comment>
    <comment ref="J333" authorId="0" shapeId="0" xr:uid="{3585EB2D-1FF1-43A7-BB97-1C9654B2B222}">
      <text>
        <r>
          <rPr>
            <sz val="9"/>
            <color indexed="81"/>
            <rFont val="Tahoma"/>
            <family val="2"/>
          </rPr>
          <t xml:space="preserve">See notes on CFC11
</t>
        </r>
      </text>
    </comment>
    <comment ref="A334" authorId="0" shapeId="0" xr:uid="{9EE559C9-A1EE-41CB-8516-8866B5215E8B}">
      <text>
        <r>
          <rPr>
            <sz val="9"/>
            <color indexed="81"/>
            <rFont val="Tahoma"/>
            <family val="2"/>
          </rPr>
          <t xml:space="preserve">1-Chloro-1,2-difluoropropane
</t>
        </r>
      </text>
    </comment>
    <comment ref="C334" authorId="0" shapeId="0" xr:uid="{D6A98B09-53CD-47B3-A749-97B6C2CE9EF1}">
      <text>
        <r>
          <rPr>
            <sz val="9"/>
            <color indexed="81"/>
            <rFont val="Tahoma"/>
            <family val="2"/>
          </rPr>
          <t>https://csl.noaa.gov/groups/csl5/datasets/data/hcfcs/Summary%20HCFC-253.pdf</t>
        </r>
      </text>
    </comment>
    <comment ref="D334" authorId="0" shapeId="0" xr:uid="{91291487-C3AD-4462-BA96-E5F39014A68D}">
      <text>
        <r>
          <rPr>
            <sz val="9"/>
            <color indexed="81"/>
            <rFont val="Tahoma"/>
            <family val="2"/>
          </rPr>
          <t xml:space="preserve">Uncertainty estimated from difference between well-mixed (52) and lifetime adjusted (35) GWP </t>
        </r>
      </text>
    </comment>
    <comment ref="F334" authorId="0" shapeId="0" xr:uid="{97024B6B-948E-4D82-B5A1-E7577133600A}">
      <text>
        <r>
          <rPr>
            <sz val="9"/>
            <color indexed="81"/>
            <rFont val="Tahoma"/>
            <family val="2"/>
          </rPr>
          <t>Assumed to be subject to the same kind of uncertainties as the GWP estimate</t>
        </r>
        <r>
          <rPr>
            <sz val="9"/>
            <color indexed="81"/>
            <rFont val="Tahoma"/>
            <family val="2"/>
          </rPr>
          <t xml:space="preserve">
</t>
        </r>
      </text>
    </comment>
    <comment ref="G334" authorId="0" shapeId="0" xr:uid="{3C1212A0-C9E3-4133-A57F-052E54E58F9D}">
      <text>
        <r>
          <rPr>
            <sz val="9"/>
            <color indexed="81"/>
            <rFont val="Tahoma"/>
            <family val="2"/>
          </rPr>
          <t xml:space="preserve">See note on CFC-11
</t>
        </r>
      </text>
    </comment>
    <comment ref="I334" authorId="0" shapeId="0" xr:uid="{233AEE2D-8D4F-453A-B4FC-CCB40D76867E}">
      <text>
        <r>
          <rPr>
            <sz val="9"/>
            <color indexed="81"/>
            <rFont val="Tahoma"/>
            <family val="2"/>
          </rPr>
          <t xml:space="preserve">See note on CFC-11
</t>
        </r>
      </text>
    </comment>
    <comment ref="J334" authorId="0" shapeId="0" xr:uid="{6C2183D0-2829-4506-B967-24CD68A0FC75}">
      <text>
        <r>
          <rPr>
            <sz val="9"/>
            <color indexed="81"/>
            <rFont val="Tahoma"/>
            <family val="2"/>
          </rPr>
          <t xml:space="preserve">See notes on CFC11
</t>
        </r>
      </text>
    </comment>
    <comment ref="A335" authorId="0" shapeId="0" xr:uid="{58D2F77A-A93A-4FAA-BFA6-71037ED76C79}">
      <text>
        <r>
          <rPr>
            <sz val="9"/>
            <color indexed="81"/>
            <rFont val="Tahoma"/>
            <family val="2"/>
          </rPr>
          <t xml:space="preserve">3-Chloro-1,1-difluoropropane
</t>
        </r>
      </text>
    </comment>
    <comment ref="C335" authorId="0" shapeId="0" xr:uid="{0F4FB4AC-71B6-4A4F-BBB8-9B99B7EBBF78}">
      <text>
        <r>
          <rPr>
            <sz val="9"/>
            <color indexed="81"/>
            <rFont val="Tahoma"/>
            <family val="2"/>
          </rPr>
          <t>https://csl.noaa.gov/groups/csl5/datasets/data/hcfcs/Summary%20HCFC-253.pdf</t>
        </r>
      </text>
    </comment>
    <comment ref="D335" authorId="0" shapeId="0" xr:uid="{6A2BA518-33EB-425D-A3E6-B1545A693F47}">
      <text>
        <r>
          <rPr>
            <sz val="9"/>
            <color indexed="81"/>
            <rFont val="Tahoma"/>
            <family val="2"/>
          </rPr>
          <t xml:space="preserve">Uncertainty estimated from difference between well-mixed (52) and lifetime adjusted (37) GWP </t>
        </r>
      </text>
    </comment>
    <comment ref="F335" authorId="0" shapeId="0" xr:uid="{2A8C4983-92CF-4E0D-8420-572117226EF3}">
      <text>
        <r>
          <rPr>
            <sz val="9"/>
            <color indexed="81"/>
            <rFont val="Tahoma"/>
            <family val="2"/>
          </rPr>
          <t>Assumed to be subject to the same kind of uncertainties as the GWP estimate</t>
        </r>
        <r>
          <rPr>
            <sz val="9"/>
            <color indexed="81"/>
            <rFont val="Tahoma"/>
            <family val="2"/>
          </rPr>
          <t xml:space="preserve">
</t>
        </r>
      </text>
    </comment>
    <comment ref="G335" authorId="0" shapeId="0" xr:uid="{923D56B1-7D67-4DF7-905B-282857B412DB}">
      <text>
        <r>
          <rPr>
            <sz val="9"/>
            <color indexed="81"/>
            <rFont val="Tahoma"/>
            <family val="2"/>
          </rPr>
          <t xml:space="preserve">See note on CFC-11
</t>
        </r>
      </text>
    </comment>
    <comment ref="I335" authorId="0" shapeId="0" xr:uid="{C7B120EE-127A-46A9-8A1B-9F67FE52E84F}">
      <text>
        <r>
          <rPr>
            <sz val="9"/>
            <color indexed="81"/>
            <rFont val="Tahoma"/>
            <family val="2"/>
          </rPr>
          <t xml:space="preserve">See note on CFC-11
</t>
        </r>
      </text>
    </comment>
    <comment ref="J335" authorId="0" shapeId="0" xr:uid="{529895AA-F9B7-4C40-8CD7-7B611CCE7E9D}">
      <text>
        <r>
          <rPr>
            <sz val="9"/>
            <color indexed="81"/>
            <rFont val="Tahoma"/>
            <family val="2"/>
          </rPr>
          <t xml:space="preserve">See notes on CFC11
</t>
        </r>
      </text>
    </comment>
    <comment ref="A336" authorId="0" shapeId="0" xr:uid="{2D310D4A-F1DF-4452-97D6-4F7A934170B8}">
      <text>
        <r>
          <rPr>
            <sz val="9"/>
            <color indexed="81"/>
            <rFont val="Tahoma"/>
            <family val="2"/>
          </rPr>
          <t xml:space="preserve">1-Chloro-1,3-difluoropropane
</t>
        </r>
      </text>
    </comment>
    <comment ref="C336" authorId="0" shapeId="0" xr:uid="{BBF29579-2A7D-4056-B239-EF09EEAC61AA}">
      <text>
        <r>
          <rPr>
            <sz val="9"/>
            <color indexed="81"/>
            <rFont val="Tahoma"/>
            <family val="2"/>
          </rPr>
          <t>https://csl.noaa.gov/groups/csl5/datasets/data/hcfcs/Summary%20HCFC-253.pdf</t>
        </r>
      </text>
    </comment>
    <comment ref="D336" authorId="0" shapeId="0" xr:uid="{1F476E5C-CE97-4253-9F89-B94CFC63B6C7}">
      <text>
        <r>
          <rPr>
            <sz val="9"/>
            <color indexed="81"/>
            <rFont val="Tahoma"/>
            <family val="2"/>
          </rPr>
          <t xml:space="preserve">Uncertainty estimated from difference between well-mixed (64) and lifetime adjusted (46) GWP </t>
        </r>
      </text>
    </comment>
    <comment ref="F336" authorId="0" shapeId="0" xr:uid="{AE7C9CF7-F36F-4B46-BC12-18D2B9AD3E42}">
      <text>
        <r>
          <rPr>
            <sz val="9"/>
            <color indexed="81"/>
            <rFont val="Tahoma"/>
            <family val="2"/>
          </rPr>
          <t>Assumed to be subject to the same kind of uncertainties as the GWP estimate</t>
        </r>
        <r>
          <rPr>
            <sz val="9"/>
            <color indexed="81"/>
            <rFont val="Tahoma"/>
            <family val="2"/>
          </rPr>
          <t xml:space="preserve">
</t>
        </r>
      </text>
    </comment>
    <comment ref="G336" authorId="0" shapeId="0" xr:uid="{C934F28F-D239-452F-8D24-C6700C9900C5}">
      <text>
        <r>
          <rPr>
            <sz val="9"/>
            <color indexed="81"/>
            <rFont val="Tahoma"/>
            <family val="2"/>
          </rPr>
          <t xml:space="preserve">See note on CFC-11
</t>
        </r>
      </text>
    </comment>
    <comment ref="I336" authorId="0" shapeId="0" xr:uid="{C9788277-C35E-480B-B602-E118784BCB6D}">
      <text>
        <r>
          <rPr>
            <sz val="9"/>
            <color indexed="81"/>
            <rFont val="Tahoma"/>
            <family val="2"/>
          </rPr>
          <t xml:space="preserve">See note on CFC-11
</t>
        </r>
      </text>
    </comment>
    <comment ref="J336" authorId="0" shapeId="0" xr:uid="{7960145D-664E-465B-963D-4BB652FF00D3}">
      <text>
        <r>
          <rPr>
            <sz val="9"/>
            <color indexed="81"/>
            <rFont val="Tahoma"/>
            <family val="2"/>
          </rPr>
          <t xml:space="preserve">See notes on CFC11
</t>
        </r>
      </text>
    </comment>
    <comment ref="A337" authorId="0" shapeId="0" xr:uid="{AA9CDD6C-A8F9-475F-AE27-6E3CB9DEA13B}">
      <text>
        <r>
          <rPr>
            <sz val="9"/>
            <color indexed="81"/>
            <rFont val="Tahoma"/>
            <family val="2"/>
          </rPr>
          <t xml:space="preserve">1-Chloro-1,1-difluoropropane
</t>
        </r>
      </text>
    </comment>
    <comment ref="C337" authorId="0" shapeId="0" xr:uid="{3FCC010A-532B-45C6-868B-49BE3151D038}">
      <text>
        <r>
          <rPr>
            <sz val="9"/>
            <color indexed="81"/>
            <rFont val="Tahoma"/>
            <family val="2"/>
          </rPr>
          <t>https://csl.noaa.gov/groups/csl5/datasets/data/hcfcs/Summary%20HCFC-253.pdf</t>
        </r>
      </text>
    </comment>
    <comment ref="D337" authorId="0" shapeId="0" xr:uid="{C0CFA0A9-521B-4BC8-A506-7ADB1A3A11A5}">
      <text>
        <r>
          <rPr>
            <sz val="9"/>
            <color indexed="81"/>
            <rFont val="Tahoma"/>
            <family val="2"/>
          </rPr>
          <t xml:space="preserve">Uncertainty estimated from difference between well-mixed (138) and lifetime adjusted (107) GWP </t>
        </r>
      </text>
    </comment>
    <comment ref="F337" authorId="0" shapeId="0" xr:uid="{FCF8198B-1819-48DA-BE9C-54809B2783A6}">
      <text>
        <r>
          <rPr>
            <sz val="9"/>
            <color indexed="81"/>
            <rFont val="Tahoma"/>
            <family val="2"/>
          </rPr>
          <t>Assumed to be subject to the same kind of uncertainties as the GWP estimate</t>
        </r>
        <r>
          <rPr>
            <sz val="9"/>
            <color indexed="81"/>
            <rFont val="Tahoma"/>
            <family val="2"/>
          </rPr>
          <t xml:space="preserve">
</t>
        </r>
      </text>
    </comment>
    <comment ref="G337" authorId="0" shapeId="0" xr:uid="{367406F7-2409-4CFC-BCCE-D72969D66C19}">
      <text>
        <r>
          <rPr>
            <sz val="9"/>
            <color indexed="81"/>
            <rFont val="Tahoma"/>
            <family val="2"/>
          </rPr>
          <t xml:space="preserve">See note on CFC-11
</t>
        </r>
      </text>
    </comment>
    <comment ref="I337" authorId="0" shapeId="0" xr:uid="{792DEF20-72A6-4E58-AD16-BA91D0AA9AE7}">
      <text>
        <r>
          <rPr>
            <sz val="9"/>
            <color indexed="81"/>
            <rFont val="Tahoma"/>
            <family val="2"/>
          </rPr>
          <t xml:space="preserve">See note on CFC-11
</t>
        </r>
      </text>
    </comment>
    <comment ref="J337" authorId="0" shapeId="0" xr:uid="{4CF9E469-092C-4026-A35C-3E3EC3B0650B}">
      <text>
        <r>
          <rPr>
            <sz val="9"/>
            <color indexed="81"/>
            <rFont val="Tahoma"/>
            <family val="2"/>
          </rPr>
          <t xml:space="preserve">See notes on CFC11
</t>
        </r>
      </text>
    </comment>
    <comment ref="A338" authorId="0" shapeId="0" xr:uid="{9E2A990D-591C-4AD9-B29F-777C436FF6BE}">
      <text>
        <r>
          <rPr>
            <sz val="9"/>
            <color indexed="81"/>
            <rFont val="Tahoma"/>
            <family val="2"/>
          </rPr>
          <t xml:space="preserve">2-Chloro-2-fluoropropane
</t>
        </r>
      </text>
    </comment>
    <comment ref="C338" authorId="0" shapeId="0" xr:uid="{C595EB1E-71FD-47CA-BDCE-2F301ADABE00}">
      <text>
        <r>
          <rPr>
            <sz val="9"/>
            <color indexed="81"/>
            <rFont val="Tahoma"/>
            <family val="2"/>
          </rPr>
          <t>https://csl.noaa.gov/groups/csl5/datasets/data/hcfcs/Summary%20HCFC-253.pdf</t>
        </r>
      </text>
    </comment>
    <comment ref="D338" authorId="0" shapeId="0" xr:uid="{7951F30C-A15F-4EC3-9470-C17A104588B6}">
      <text>
        <r>
          <rPr>
            <sz val="9"/>
            <color indexed="81"/>
            <rFont val="Tahoma"/>
            <family val="2"/>
          </rPr>
          <t xml:space="preserve">Uncertainty estimated from difference between well-mixed (366) and lifetime adjusted (338) GWP </t>
        </r>
      </text>
    </comment>
    <comment ref="F338" authorId="0" shapeId="0" xr:uid="{975BDEB9-FC65-4D01-8AE2-48B350675002}">
      <text>
        <r>
          <rPr>
            <sz val="9"/>
            <color indexed="81"/>
            <rFont val="Tahoma"/>
            <family val="2"/>
          </rPr>
          <t>Assumed to be subject to the same kind of uncertainties as the GWP estimate</t>
        </r>
        <r>
          <rPr>
            <sz val="9"/>
            <color indexed="81"/>
            <rFont val="Tahoma"/>
            <family val="2"/>
          </rPr>
          <t xml:space="preserve">
</t>
        </r>
      </text>
    </comment>
    <comment ref="G338" authorId="0" shapeId="0" xr:uid="{9DEE2CC2-C198-4C42-819B-296AE96C3AA5}">
      <text>
        <r>
          <rPr>
            <sz val="9"/>
            <color indexed="81"/>
            <rFont val="Tahoma"/>
            <family val="2"/>
          </rPr>
          <t xml:space="preserve">See note on CFC-11
</t>
        </r>
      </text>
    </comment>
    <comment ref="I338" authorId="0" shapeId="0" xr:uid="{C9FAF728-7546-4DBB-947B-16D65B625566}">
      <text>
        <r>
          <rPr>
            <sz val="9"/>
            <color indexed="81"/>
            <rFont val="Tahoma"/>
            <family val="2"/>
          </rPr>
          <t xml:space="preserve">See note on CFC-11
</t>
        </r>
      </text>
    </comment>
    <comment ref="J338" authorId="0" shapeId="0" xr:uid="{A8BDC179-ADC2-4AE7-9779-ADC8299E1C3D}">
      <text>
        <r>
          <rPr>
            <sz val="9"/>
            <color indexed="81"/>
            <rFont val="Tahoma"/>
            <family val="2"/>
          </rPr>
          <t xml:space="preserve">See notes on CFC11
</t>
        </r>
      </text>
    </comment>
    <comment ref="A339" authorId="0" shapeId="0" xr:uid="{E4B65806-B2DA-4626-8D32-34236FA3225C}">
      <text>
        <r>
          <rPr>
            <sz val="9"/>
            <color indexed="81"/>
            <rFont val="Tahoma"/>
            <family val="2"/>
          </rPr>
          <t xml:space="preserve">2-Chloro-1-fluoropropane
</t>
        </r>
      </text>
    </comment>
    <comment ref="C339" authorId="0" shapeId="0" xr:uid="{54C5EEDC-7C22-4C4F-B9D3-2414A298BACD}">
      <text>
        <r>
          <rPr>
            <sz val="9"/>
            <color indexed="81"/>
            <rFont val="Tahoma"/>
            <family val="2"/>
          </rPr>
          <t>https://csl.noaa.gov/groups/csl5/datasets/data/hcfcs/Summary%20HCFC-253.pdf</t>
        </r>
      </text>
    </comment>
    <comment ref="D339" authorId="0" shapeId="0" xr:uid="{5AFE995F-7C47-4C80-8B82-77FAC7E6DF72}">
      <text>
        <r>
          <rPr>
            <sz val="9"/>
            <color indexed="81"/>
            <rFont val="Tahoma"/>
            <family val="2"/>
          </rPr>
          <t xml:space="preserve">Uncertainty estimated from difference between well-mixed (10) and lifetime adjusted (5) GWP </t>
        </r>
      </text>
    </comment>
    <comment ref="F339" authorId="0" shapeId="0" xr:uid="{38FB06D4-921A-4581-858D-059B155DF0A1}">
      <text>
        <r>
          <rPr>
            <sz val="9"/>
            <color indexed="81"/>
            <rFont val="Tahoma"/>
            <family val="2"/>
          </rPr>
          <t>Assumed to be subject to the same kind of uncertainties as the GWP estimate</t>
        </r>
        <r>
          <rPr>
            <sz val="9"/>
            <color indexed="81"/>
            <rFont val="Tahoma"/>
            <family val="2"/>
          </rPr>
          <t xml:space="preserve">
</t>
        </r>
      </text>
    </comment>
    <comment ref="G339" authorId="0" shapeId="0" xr:uid="{F0583AE1-83DD-42DB-B61E-8194C5ACD1CC}">
      <text>
        <r>
          <rPr>
            <sz val="9"/>
            <color indexed="81"/>
            <rFont val="Tahoma"/>
            <family val="2"/>
          </rPr>
          <t xml:space="preserve">See note on CFC-11
</t>
        </r>
      </text>
    </comment>
    <comment ref="I339" authorId="0" shapeId="0" xr:uid="{AEF3AA5A-2E7B-46A2-8EDA-8428A12C05E1}">
      <text>
        <r>
          <rPr>
            <sz val="9"/>
            <color indexed="81"/>
            <rFont val="Tahoma"/>
            <family val="2"/>
          </rPr>
          <t xml:space="preserve">See note on CFC-11
</t>
        </r>
      </text>
    </comment>
    <comment ref="J339" authorId="0" shapeId="0" xr:uid="{3F5496A1-E302-4787-A46E-986F4FDC8D68}">
      <text>
        <r>
          <rPr>
            <sz val="9"/>
            <color indexed="81"/>
            <rFont val="Tahoma"/>
            <family val="2"/>
          </rPr>
          <t xml:space="preserve">See notes on CFC11
</t>
        </r>
      </text>
    </comment>
    <comment ref="A340" authorId="0" shapeId="0" xr:uid="{5CBC383E-6141-4C57-8BA5-22E0AFBCEC40}">
      <text>
        <r>
          <rPr>
            <sz val="9"/>
            <color indexed="81"/>
            <rFont val="Tahoma"/>
            <family val="2"/>
          </rPr>
          <t xml:space="preserve">1-Chloro-2-fluoropropane
</t>
        </r>
      </text>
    </comment>
    <comment ref="C340" authorId="0" shapeId="0" xr:uid="{1F603059-7BA7-4865-829B-5DE12D0C8ACF}">
      <text>
        <r>
          <rPr>
            <sz val="9"/>
            <color indexed="81"/>
            <rFont val="Tahoma"/>
            <family val="2"/>
          </rPr>
          <t>https://csl.noaa.gov/groups/csl5/datasets/data/hcfcs/Summary%20HCFC-253.pdf</t>
        </r>
      </text>
    </comment>
    <comment ref="D340" authorId="0" shapeId="0" xr:uid="{92CE373E-BB54-474C-AE4E-D806BDC86D30}">
      <text>
        <r>
          <rPr>
            <sz val="9"/>
            <color indexed="81"/>
            <rFont val="Tahoma"/>
            <family val="2"/>
          </rPr>
          <t xml:space="preserve">Uncertainty estimated from difference between well-mixed (13) and lifetime adjusted (6) GWP </t>
        </r>
      </text>
    </comment>
    <comment ref="F340" authorId="0" shapeId="0" xr:uid="{B493B08D-BA7A-4AEE-A3E0-9DD9353E9A4E}">
      <text>
        <r>
          <rPr>
            <sz val="9"/>
            <color indexed="81"/>
            <rFont val="Tahoma"/>
            <family val="2"/>
          </rPr>
          <t>Assumed to be subject to the same kind of uncertainties as the GWP estimate</t>
        </r>
        <r>
          <rPr>
            <sz val="9"/>
            <color indexed="81"/>
            <rFont val="Tahoma"/>
            <family val="2"/>
          </rPr>
          <t xml:space="preserve">
</t>
        </r>
      </text>
    </comment>
    <comment ref="G340" authorId="0" shapeId="0" xr:uid="{0BEB9791-7086-46AE-A38D-67065832FB7C}">
      <text>
        <r>
          <rPr>
            <sz val="9"/>
            <color indexed="81"/>
            <rFont val="Tahoma"/>
            <family val="2"/>
          </rPr>
          <t xml:space="preserve">See note on CFC-11
</t>
        </r>
      </text>
    </comment>
    <comment ref="I340" authorId="0" shapeId="0" xr:uid="{D06D3E86-3AE0-49AB-B622-9B5DB140A57C}">
      <text>
        <r>
          <rPr>
            <sz val="9"/>
            <color indexed="81"/>
            <rFont val="Tahoma"/>
            <family val="2"/>
          </rPr>
          <t xml:space="preserve">See note on CFC-11
</t>
        </r>
      </text>
    </comment>
    <comment ref="J340" authorId="0" shapeId="0" xr:uid="{32C554F5-0D62-41AC-B8E0-E6E4B2F4DB1E}">
      <text>
        <r>
          <rPr>
            <sz val="9"/>
            <color indexed="81"/>
            <rFont val="Tahoma"/>
            <family val="2"/>
          </rPr>
          <t xml:space="preserve">See notes on CFC11
</t>
        </r>
      </text>
    </comment>
    <comment ref="A341" authorId="0" shapeId="0" xr:uid="{82D08921-CEF3-412D-9BD5-AFF61A8B8427}">
      <text>
        <r>
          <rPr>
            <sz val="9"/>
            <color indexed="81"/>
            <rFont val="Tahoma"/>
            <family val="2"/>
          </rPr>
          <t xml:space="preserve">1-Chloro-3-fluoropropane
</t>
        </r>
      </text>
    </comment>
    <comment ref="C341" authorId="0" shapeId="0" xr:uid="{79654309-8A24-46FC-94A9-7FE3078969E2}">
      <text>
        <r>
          <rPr>
            <sz val="9"/>
            <color indexed="81"/>
            <rFont val="Tahoma"/>
            <family val="2"/>
          </rPr>
          <t>https://csl.noaa.gov/groups/csl5/datasets/data/hcfcs/Summary%20HCFC-253.pdf</t>
        </r>
      </text>
    </comment>
    <comment ref="D341" authorId="0" shapeId="0" xr:uid="{77F8BEDE-577F-4BAA-A1B6-D9A5F1E0DA3B}">
      <text>
        <r>
          <rPr>
            <sz val="9"/>
            <color indexed="81"/>
            <rFont val="Tahoma"/>
            <family val="2"/>
          </rPr>
          <t xml:space="preserve">Uncertainty estimated from difference between well-mixed (12) and lifetime adjusted (6) GWP </t>
        </r>
      </text>
    </comment>
    <comment ref="F341" authorId="0" shapeId="0" xr:uid="{3505FDB6-F9E9-4F54-9C7E-41959DD5079D}">
      <text>
        <r>
          <rPr>
            <sz val="9"/>
            <color indexed="81"/>
            <rFont val="Tahoma"/>
            <family val="2"/>
          </rPr>
          <t>Assumed to be subject to the same kind of uncertainties as the GWP estimate</t>
        </r>
        <r>
          <rPr>
            <sz val="9"/>
            <color indexed="81"/>
            <rFont val="Tahoma"/>
            <family val="2"/>
          </rPr>
          <t xml:space="preserve">
</t>
        </r>
      </text>
    </comment>
    <comment ref="G341" authorId="0" shapeId="0" xr:uid="{53FA0D8B-27BA-47D9-B168-D121A93F6DB3}">
      <text>
        <r>
          <rPr>
            <sz val="9"/>
            <color indexed="81"/>
            <rFont val="Tahoma"/>
            <family val="2"/>
          </rPr>
          <t xml:space="preserve">See note on CFC-11
</t>
        </r>
      </text>
    </comment>
    <comment ref="I341" authorId="0" shapeId="0" xr:uid="{6E42BFC7-7B35-4C20-94A4-D8B108345832}">
      <text>
        <r>
          <rPr>
            <sz val="9"/>
            <color indexed="81"/>
            <rFont val="Tahoma"/>
            <family val="2"/>
          </rPr>
          <t xml:space="preserve">See note on CFC-11
</t>
        </r>
      </text>
    </comment>
    <comment ref="J341" authorId="0" shapeId="0" xr:uid="{94A3F7DF-86E0-4C66-9A01-A37F72A20E2F}">
      <text>
        <r>
          <rPr>
            <sz val="9"/>
            <color indexed="81"/>
            <rFont val="Tahoma"/>
            <family val="2"/>
          </rPr>
          <t xml:space="preserve">See notes on CFC11
</t>
        </r>
      </text>
    </comment>
    <comment ref="A342" authorId="0" shapeId="0" xr:uid="{B2F85162-C1A7-4F1C-B221-189F34D0CFCE}">
      <text>
        <r>
          <rPr>
            <sz val="9"/>
            <color indexed="81"/>
            <rFont val="Tahoma"/>
            <family val="2"/>
          </rPr>
          <t xml:space="preserve">1-Chloro-1-fluoropropane
</t>
        </r>
      </text>
    </comment>
    <comment ref="C342" authorId="0" shapeId="0" xr:uid="{6D727B37-7C32-4531-A34E-8DFDF48629D7}">
      <text>
        <r>
          <rPr>
            <sz val="9"/>
            <color indexed="81"/>
            <rFont val="Tahoma"/>
            <family val="2"/>
          </rPr>
          <t>https://csl.noaa.gov/groups/csl5/datasets/data/hcfcs/Summary%20HCFC-253.pdf</t>
        </r>
      </text>
    </comment>
    <comment ref="D342" authorId="0" shapeId="0" xr:uid="{6E322C90-D966-41EB-9B6A-ED84DC10EB37}">
      <text>
        <r>
          <rPr>
            <sz val="9"/>
            <color indexed="81"/>
            <rFont val="Tahoma"/>
            <family val="2"/>
          </rPr>
          <t xml:space="preserve">Uncertainty estimated from difference between well-mixed (34) and lifetime adjusted (20) GWP </t>
        </r>
      </text>
    </comment>
    <comment ref="F342" authorId="0" shapeId="0" xr:uid="{3E79D67A-ABDB-4DB1-A507-1A2ADBA2F4D1}">
      <text>
        <r>
          <rPr>
            <sz val="9"/>
            <color indexed="81"/>
            <rFont val="Tahoma"/>
            <family val="2"/>
          </rPr>
          <t>Assumed to be subject to the same kind of uncertainties as the GWP estimate</t>
        </r>
        <r>
          <rPr>
            <sz val="9"/>
            <color indexed="81"/>
            <rFont val="Tahoma"/>
            <family val="2"/>
          </rPr>
          <t xml:space="preserve">
</t>
        </r>
      </text>
    </comment>
    <comment ref="G342" authorId="0" shapeId="0" xr:uid="{7BF8A158-D541-42C0-8D1D-6D241AE36440}">
      <text>
        <r>
          <rPr>
            <sz val="9"/>
            <color indexed="81"/>
            <rFont val="Tahoma"/>
            <family val="2"/>
          </rPr>
          <t xml:space="preserve">See note on CFC-11
</t>
        </r>
      </text>
    </comment>
    <comment ref="I342" authorId="0" shapeId="0" xr:uid="{85A81D5D-C350-4DC8-8609-994DC0DC9A06}">
      <text>
        <r>
          <rPr>
            <sz val="9"/>
            <color indexed="81"/>
            <rFont val="Tahoma"/>
            <family val="2"/>
          </rPr>
          <t xml:space="preserve">See note on CFC-11
</t>
        </r>
      </text>
    </comment>
    <comment ref="J342" authorId="0" shapeId="0" xr:uid="{04015984-195A-45F9-9846-8A8FBC98E364}">
      <text>
        <r>
          <rPr>
            <sz val="9"/>
            <color indexed="81"/>
            <rFont val="Tahoma"/>
            <family val="2"/>
          </rPr>
          <t xml:space="preserve">See notes on CFC11
</t>
        </r>
      </text>
    </comment>
    <comment ref="A344" authorId="0" shapeId="0" xr:uid="{280067F4-26D7-4499-8BB0-E3957B5DE69A}">
      <text>
        <r>
          <rPr>
            <sz val="9"/>
            <color indexed="81"/>
            <rFont val="Tahoma"/>
            <family val="2"/>
          </rPr>
          <t xml:space="preserve">CHF=CF2
</t>
        </r>
      </text>
    </comment>
    <comment ref="C344" authorId="0" shapeId="0" xr:uid="{EFD77986-E6E1-4E03-9790-0FC5481C90AD}">
      <text>
        <r>
          <rPr>
            <sz val="9"/>
            <color indexed="81"/>
            <rFont val="Tahoma"/>
            <family val="2"/>
          </rPr>
          <t xml:space="preserve">&lt;&lt;1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D344" authorId="0" shapeId="0" xr:uid="{37413C33-3572-4088-8077-FF3B46879119}">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44" authorId="0" shapeId="0" xr:uid="{0C9C5DC7-3D41-4D6E-890A-9E673D33BEDE}">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4" authorId="0" shapeId="0" xr:uid="{F3C47E0E-18A8-4170-B352-2F9B49A6CA44}">
      <text>
        <r>
          <rPr>
            <sz val="9"/>
            <color indexed="81"/>
            <rFont val="Tahoma"/>
            <family val="2"/>
          </rPr>
          <t xml:space="preserve">ODP=0 is assumed to be an OK assumption
</t>
        </r>
      </text>
    </comment>
    <comment ref="G344" authorId="0" shapeId="0" xr:uid="{DC1F54D8-8D50-4C99-A95C-0155681A9285}">
      <text>
        <r>
          <rPr>
            <sz val="9"/>
            <color indexed="81"/>
            <rFont val="Tahoma"/>
            <family val="2"/>
          </rPr>
          <t xml:space="preserve">See note on CFC-11
</t>
        </r>
      </text>
    </comment>
    <comment ref="I344" authorId="0" shapeId="0" xr:uid="{01A67481-A946-4F86-A766-A96669198724}">
      <text>
        <r>
          <rPr>
            <sz val="9"/>
            <color indexed="81"/>
            <rFont val="Tahoma"/>
            <family val="2"/>
          </rPr>
          <t xml:space="preserve">See note on CFC-11
</t>
        </r>
      </text>
    </comment>
    <comment ref="J344" authorId="0" shapeId="0" xr:uid="{B5136FC7-02DE-4E7E-8530-D5FBE2A4E81D}">
      <text>
        <r>
          <rPr>
            <sz val="9"/>
            <color indexed="81"/>
            <rFont val="Tahoma"/>
            <family val="2"/>
          </rPr>
          <t xml:space="preserve">See notes on CFC11
</t>
        </r>
      </text>
    </comment>
    <comment ref="A345" authorId="0" shapeId="0" xr:uid="{3C136041-5EE6-4C3E-A06F-EF2DFDFD8DA1}">
      <text>
        <r>
          <rPr>
            <sz val="9"/>
            <color indexed="81"/>
            <rFont val="Tahoma"/>
            <family val="2"/>
          </rPr>
          <t xml:space="preserve">CH2=CF2
</t>
        </r>
      </text>
    </comment>
    <comment ref="C345" authorId="0" shapeId="0" xr:uid="{0039B849-7BDE-4323-9988-BF4788F731C3}">
      <text>
        <r>
          <rPr>
            <sz val="9"/>
            <color indexed="81"/>
            <rFont val="Tahoma"/>
            <family val="2"/>
          </rPr>
          <t xml:space="preserve">&lt;1 according to </t>
        </r>
        <r>
          <rPr>
            <sz val="9"/>
            <color indexed="81"/>
            <rFont val="Tahoma"/>
            <family val="2"/>
          </rPr>
          <t xml:space="preserve">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45" authorId="0" shapeId="0" xr:uid="{B6E7FA20-3CF8-4607-8B6F-20DF8D5B1D41}">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45" authorId="0" shapeId="0" xr:uid="{58D9F7D7-E421-4A10-80BF-149A1C6325AF}">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5" authorId="0" shapeId="0" xr:uid="{AE802EEB-207E-4E77-878C-3BA3956D5423}">
      <text>
        <r>
          <rPr>
            <sz val="9"/>
            <color indexed="81"/>
            <rFont val="Tahoma"/>
            <family val="2"/>
          </rPr>
          <t xml:space="preserve">ODP=0 is assumed to be an OK assumption
</t>
        </r>
      </text>
    </comment>
    <comment ref="G345" authorId="0" shapeId="0" xr:uid="{D2D5AF3A-7A11-407B-B960-B9502532F380}">
      <text>
        <r>
          <rPr>
            <sz val="9"/>
            <color indexed="81"/>
            <rFont val="Tahoma"/>
            <family val="2"/>
          </rPr>
          <t xml:space="preserve">See note on CFC-11
</t>
        </r>
      </text>
    </comment>
    <comment ref="A346" authorId="0" shapeId="0" xr:uid="{E9B7952E-04D3-4A25-BA9A-5E0D5AC082BE}">
      <text>
        <r>
          <rPr>
            <sz val="9"/>
            <color indexed="81"/>
            <rFont val="Tahoma"/>
            <family val="2"/>
          </rPr>
          <t>CH2=CHF</t>
        </r>
      </text>
    </comment>
    <comment ref="C346" authorId="0" shapeId="0" xr:uid="{745653A9-94C0-4714-8BE4-AF024DBF6542}">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46" authorId="0" shapeId="0" xr:uid="{46F1546D-8B9D-41CA-AD15-7AF9ED7A00BC}">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46" authorId="0" shapeId="0" xr:uid="{07F986CD-5EC9-4526-AE3B-9D2A7764B4C8}">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6" authorId="0" shapeId="0" xr:uid="{62FD8831-EE57-4C12-B842-E4AE162EF3F7}">
      <text>
        <r>
          <rPr>
            <sz val="9"/>
            <color indexed="81"/>
            <rFont val="Tahoma"/>
            <family val="2"/>
          </rPr>
          <t xml:space="preserve">ODP=0 is assumed to be an OK assumption
</t>
        </r>
      </text>
    </comment>
    <comment ref="G346" authorId="0" shapeId="0" xr:uid="{EEC29E2C-C81E-471B-9B3D-AA342EF918AD}">
      <text>
        <r>
          <rPr>
            <sz val="9"/>
            <color indexed="81"/>
            <rFont val="Tahoma"/>
            <family val="2"/>
          </rPr>
          <t xml:space="preserve">See note on CFC-11
</t>
        </r>
      </text>
    </comment>
    <comment ref="A347" authorId="0" shapeId="0" xr:uid="{9E5A4A3C-F9EF-437D-94F9-70DE71CF9145}">
      <text>
        <r>
          <rPr>
            <sz val="9"/>
            <color indexed="81"/>
            <rFont val="Tahoma"/>
            <family val="2"/>
          </rPr>
          <t>(E)-CHF=CFCHF2</t>
        </r>
      </text>
    </comment>
    <comment ref="E347" authorId="0" shapeId="0" xr:uid="{968AF060-1905-48CE-B1E6-767783C855FC}">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7" authorId="0" shapeId="0" xr:uid="{7B4B5387-079E-4A78-803B-BFCB20C2B139}">
      <text>
        <r>
          <rPr>
            <sz val="9"/>
            <color indexed="81"/>
            <rFont val="Tahoma"/>
            <family val="2"/>
          </rPr>
          <t xml:space="preserve">ODP=0 is assumed to be an OK assumption
</t>
        </r>
      </text>
    </comment>
    <comment ref="G347" authorId="0" shapeId="0" xr:uid="{949329D2-DD17-49FD-9E32-257CB5C67E3F}">
      <text>
        <r>
          <rPr>
            <sz val="9"/>
            <color indexed="81"/>
            <rFont val="Tahoma"/>
            <family val="2"/>
          </rPr>
          <t xml:space="preserve">See note on CFC-11
</t>
        </r>
      </text>
    </comment>
    <comment ref="A348" authorId="0" shapeId="0" xr:uid="{9F90F8CF-AFA6-4711-97E1-B1E834D8C921}">
      <text>
        <r>
          <rPr>
            <sz val="9"/>
            <color indexed="81"/>
            <rFont val="Tahoma"/>
            <family val="2"/>
          </rPr>
          <t>(Z)-CHF=CFCHF2</t>
        </r>
      </text>
    </comment>
    <comment ref="E348" authorId="0" shapeId="0" xr:uid="{88A18812-6562-4351-8BB8-41F85159FCC8}">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8" authorId="0" shapeId="0" xr:uid="{56409C1A-3295-406D-B5DB-1D893EA0CF23}">
      <text>
        <r>
          <rPr>
            <sz val="9"/>
            <color indexed="81"/>
            <rFont val="Tahoma"/>
            <family val="2"/>
          </rPr>
          <t xml:space="preserve">ODP=0 is assumed to be an OK assumption
</t>
        </r>
      </text>
    </comment>
    <comment ref="G348" authorId="0" shapeId="0" xr:uid="{7C9825CC-9A2F-4C5F-8235-2E5A84994DA0}">
      <text>
        <r>
          <rPr>
            <sz val="9"/>
            <color indexed="81"/>
            <rFont val="Tahoma"/>
            <family val="2"/>
          </rPr>
          <t xml:space="preserve">See note on CFC-11
</t>
        </r>
      </text>
    </comment>
    <comment ref="A349" authorId="0" shapeId="0" xr:uid="{D3C15B74-3DFC-4BB2-A415-5B94D0B0F310}">
      <text>
        <r>
          <rPr>
            <sz val="9"/>
            <color indexed="81"/>
            <rFont val="Tahoma"/>
            <family val="2"/>
          </rPr>
          <t xml:space="preserve">(E)-CF3CF=CHF
</t>
        </r>
      </text>
    </comment>
    <comment ref="C349" authorId="0" shapeId="0" xr:uid="{6602E16B-9117-4552-9A6E-F8B12BEEB5E4}">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49" authorId="0" shapeId="0" xr:uid="{1AD35B3C-B323-4F61-9AF7-89FD3324F6C1}">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49" authorId="0" shapeId="0" xr:uid="{34B74239-71D0-4117-BFA6-E3CA51119C02}">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49" authorId="0" shapeId="0" xr:uid="{C3374A19-75E2-4F64-ADF9-643B630AC77B}">
      <text>
        <r>
          <rPr>
            <sz val="9"/>
            <color indexed="81"/>
            <rFont val="Tahoma"/>
            <family val="2"/>
          </rPr>
          <t xml:space="preserve">ODP=0 is assumed to be an OK assumption
</t>
        </r>
      </text>
    </comment>
    <comment ref="G349" authorId="0" shapeId="0" xr:uid="{9452CE82-F7F3-42C2-BDEC-0071D6DFE9A5}">
      <text>
        <r>
          <rPr>
            <sz val="9"/>
            <color indexed="81"/>
            <rFont val="Tahoma"/>
            <family val="2"/>
          </rPr>
          <t xml:space="preserve">See note on CFC-11
</t>
        </r>
      </text>
    </comment>
    <comment ref="A350" authorId="0" shapeId="0" xr:uid="{7A205F04-4F8B-43B6-9C04-C0FCB9EE2583}">
      <text>
        <r>
          <rPr>
            <sz val="9"/>
            <color indexed="81"/>
            <rFont val="Tahoma"/>
            <family val="2"/>
          </rPr>
          <t xml:space="preserve">(Z)-CF3CF=CHF
</t>
        </r>
      </text>
    </comment>
    <comment ref="C350" authorId="0" shapeId="0" xr:uid="{27591795-2CDA-45B1-B5B9-1A196A49BB62}">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50" authorId="0" shapeId="0" xr:uid="{F107CB21-8C72-4E63-A4A4-93E0306ED364}">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0" authorId="0" shapeId="0" xr:uid="{BD8B59B5-D012-4765-9468-2CC8AD1BD646}">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0" authorId="0" shapeId="0" xr:uid="{94B8435F-BF09-460F-B65E-940B555423D8}">
      <text>
        <r>
          <rPr>
            <sz val="9"/>
            <color indexed="81"/>
            <rFont val="Tahoma"/>
            <family val="2"/>
          </rPr>
          <t xml:space="preserve">ODP=0 is assumed to be an OK assumption
</t>
        </r>
      </text>
    </comment>
    <comment ref="G350" authorId="0" shapeId="0" xr:uid="{70DE1F9A-942B-41DD-A9F9-9D4096BB9BC1}">
      <text>
        <r>
          <rPr>
            <sz val="9"/>
            <color indexed="81"/>
            <rFont val="Tahoma"/>
            <family val="2"/>
          </rPr>
          <t xml:space="preserve">See note on CFC-11
</t>
        </r>
      </text>
    </comment>
    <comment ref="A351" authorId="0" shapeId="0" xr:uid="{B8E41737-A06E-40D9-A722-63C2309BE4E1}">
      <text>
        <r>
          <rPr>
            <sz val="9"/>
            <color indexed="81"/>
            <rFont val="Tahoma"/>
            <family val="2"/>
          </rPr>
          <t xml:space="preserve">c-CH=CFCF2CF2-
</t>
        </r>
      </text>
    </comment>
    <comment ref="C351" authorId="0" shapeId="0" xr:uid="{398A4497-7789-4A70-99D4-93516A110F42}">
      <text>
        <r>
          <rPr>
            <sz val="9"/>
            <color indexed="81"/>
            <rFont val="Tahoma"/>
            <family val="2"/>
          </rPr>
          <t xml:space="preserve">Appendix A
</t>
        </r>
      </text>
    </comment>
    <comment ref="D351" authorId="0" shapeId="0" xr:uid="{1CA7D8F5-F325-49A7-B29F-F53EE4BE58B8}">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1" authorId="0" shapeId="0" xr:uid="{5CCF375F-6A1C-430A-887F-563D30266A27}">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1" authorId="0" shapeId="0" xr:uid="{93DF9A3B-86C8-433E-B656-9611C7284CB4}">
      <text>
        <r>
          <rPr>
            <sz val="9"/>
            <color indexed="81"/>
            <rFont val="Tahoma"/>
            <family val="2"/>
          </rPr>
          <t xml:space="preserve">ODP=0 is assumed to be an OK assumption
</t>
        </r>
      </text>
    </comment>
    <comment ref="G351" authorId="0" shapeId="0" xr:uid="{603DC35E-E925-41E8-B66D-52E0454BD6A8}">
      <text>
        <r>
          <rPr>
            <sz val="9"/>
            <color indexed="81"/>
            <rFont val="Tahoma"/>
            <family val="2"/>
          </rPr>
          <t xml:space="preserve">See note on CFC-11
</t>
        </r>
      </text>
    </comment>
    <comment ref="A352" authorId="0" shapeId="0" xr:uid="{2AF9E162-8083-4D52-BDAC-5362DF9E12A3}">
      <text>
        <r>
          <rPr>
            <sz val="9"/>
            <color indexed="81"/>
            <rFont val="Tahoma"/>
            <family val="2"/>
          </rPr>
          <t xml:space="preserve">(E)-CF3CH=CHF
</t>
        </r>
      </text>
    </comment>
    <comment ref="C352" authorId="0" shapeId="0" xr:uid="{FE0A8142-B177-4E2B-8B4A-032BE08251ED}">
      <text>
        <r>
          <rPr>
            <sz val="9"/>
            <color indexed="81"/>
            <rFont val="Tahoma"/>
            <family val="2"/>
          </rPr>
          <t xml:space="preserve">&lt;1 and GWP 20 is 4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D352" authorId="0" shapeId="0" xr:uid="{E465A81C-4AC9-4B44-A5C0-D4C59C299BEA}">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2" authorId="0" shapeId="0" xr:uid="{82F0BF20-BC5A-468D-B5C6-D66EBCCF062E}">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2" authorId="0" shapeId="0" xr:uid="{C1EA3971-D6A9-48DA-9164-62D7491B7453}">
      <text>
        <r>
          <rPr>
            <sz val="9"/>
            <color indexed="81"/>
            <rFont val="Tahoma"/>
            <family val="2"/>
          </rPr>
          <t xml:space="preserve">ODP=0 is assumed to be an OK assumption
</t>
        </r>
      </text>
    </comment>
    <comment ref="G352" authorId="0" shapeId="0" xr:uid="{8DA35972-5A37-43B7-86DB-220ACA0B6B89}">
      <text>
        <r>
          <rPr>
            <sz val="9"/>
            <color indexed="81"/>
            <rFont val="Tahoma"/>
            <family val="2"/>
          </rPr>
          <t xml:space="preserve">See note on CFC-11
</t>
        </r>
      </text>
    </comment>
    <comment ref="A353" authorId="0" shapeId="0" xr:uid="{F31D8F2A-11FC-4D48-9FD6-80D607E6031C}">
      <text>
        <r>
          <rPr>
            <sz val="9"/>
            <color indexed="81"/>
            <rFont val="Tahoma"/>
            <family val="2"/>
          </rPr>
          <t xml:space="preserve">(Z)-CF3CH=CHF
</t>
        </r>
      </text>
    </comment>
    <comment ref="C353" authorId="0" shapeId="0" xr:uid="{E416E9CC-192C-43BB-8DD6-A01491C1BC75}">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53" authorId="0" shapeId="0" xr:uid="{14D49B68-9D01-4A6B-85C9-8D95DEE6FA62}">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3" authorId="0" shapeId="0" xr:uid="{BCAF31D3-3E38-489F-B32D-D119F7951CF3}">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3" authorId="0" shapeId="0" xr:uid="{00EC3E58-A057-4499-9F58-2095FA1D49DB}">
      <text>
        <r>
          <rPr>
            <sz val="9"/>
            <color indexed="81"/>
            <rFont val="Tahoma"/>
            <family val="2"/>
          </rPr>
          <t xml:space="preserve">ODP=0 is assumed to be an OK assumption
</t>
        </r>
      </text>
    </comment>
    <comment ref="G353" authorId="0" shapeId="0" xr:uid="{35BCD7C3-5127-44E3-A347-F543E3F7BED9}">
      <text>
        <r>
          <rPr>
            <sz val="9"/>
            <color indexed="81"/>
            <rFont val="Tahoma"/>
            <family val="2"/>
          </rPr>
          <t xml:space="preserve">See note on CFC-11
</t>
        </r>
      </text>
    </comment>
    <comment ref="A354" authorId="0" shapeId="0" xr:uid="{3232AC12-8E0D-4FD7-87B8-96AA8E1FA59E}">
      <text>
        <r>
          <rPr>
            <sz val="9"/>
            <color indexed="81"/>
            <rFont val="Tahoma"/>
            <family val="2"/>
          </rPr>
          <t xml:space="preserve">c-CH=CHCF2CF2-
</t>
        </r>
      </text>
    </comment>
    <comment ref="D354" authorId="0" shapeId="0" xr:uid="{3483762F-EAE1-4F29-8EA5-B1665BA38BB0}">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4" authorId="0" shapeId="0" xr:uid="{B33A8B17-DC29-4CBB-A2A8-08AE164EBCA4}">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4" authorId="0" shapeId="0" xr:uid="{D4180092-1FDC-485D-BF7C-89540B12743F}">
      <text>
        <r>
          <rPr>
            <sz val="9"/>
            <color indexed="81"/>
            <rFont val="Tahoma"/>
            <family val="2"/>
          </rPr>
          <t xml:space="preserve">ODP=0 is assumed to be an OK assumption
</t>
        </r>
      </text>
    </comment>
    <comment ref="G354" authorId="0" shapeId="0" xr:uid="{3BF4742A-1AD9-4E62-BE3D-30F0EBD46AFF}">
      <text>
        <r>
          <rPr>
            <sz val="9"/>
            <color indexed="81"/>
            <rFont val="Tahoma"/>
            <family val="2"/>
          </rPr>
          <t xml:space="preserve">See note on CFC-11
</t>
        </r>
      </text>
    </comment>
    <comment ref="A355" authorId="0" shapeId="0" xr:uid="{96E5B05A-0201-4F13-AC4D-A160100460BB}">
      <text>
        <r>
          <rPr>
            <sz val="9"/>
            <color indexed="81"/>
            <rFont val="Tahoma"/>
            <family val="2"/>
          </rPr>
          <t xml:space="preserve">CF3CF=CH2
</t>
        </r>
      </text>
    </comment>
    <comment ref="C355" authorId="0" shapeId="0" xr:uid="{175E26AF-73AA-4F1B-9537-F1ED2A3B1644}">
      <text>
        <r>
          <rPr>
            <sz val="9"/>
            <color indexed="81"/>
            <rFont val="Tahoma"/>
            <family val="2"/>
          </rPr>
          <t>&lt;1, GWP20 is 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55" authorId="0" shapeId="0" xr:uid="{40FC0D4F-7FCD-40D0-A5B6-C4852EFB22CB}">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55" authorId="0" shapeId="0" xr:uid="{9ECC3FCA-A6CA-42BF-9F21-988A39EFC340}">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5" authorId="0" shapeId="0" xr:uid="{5255BB24-861D-402F-86C2-C113FBE1C154}">
      <text>
        <r>
          <rPr>
            <sz val="9"/>
            <color indexed="81"/>
            <rFont val="Tahoma"/>
            <family val="2"/>
          </rPr>
          <t xml:space="preserve">ODP=0 is assumed to be an OK assumption
</t>
        </r>
      </text>
    </comment>
    <comment ref="G355" authorId="0" shapeId="0" xr:uid="{FFA2C663-B392-440B-B646-272BCEA5813D}">
      <text>
        <r>
          <rPr>
            <sz val="9"/>
            <color indexed="81"/>
            <rFont val="Tahoma"/>
            <family val="2"/>
          </rPr>
          <t xml:space="preserve">See note on CFC-11
</t>
        </r>
      </text>
    </comment>
    <comment ref="A356" authorId="0" shapeId="0" xr:uid="{98F36381-CAFF-49EC-96AC-E11DB33468F8}">
      <text>
        <r>
          <rPr>
            <sz val="9"/>
            <color indexed="81"/>
            <rFont val="Tahoma"/>
            <family val="2"/>
          </rPr>
          <t xml:space="preserve">CH2FCH=CH
</t>
        </r>
      </text>
    </comment>
    <comment ref="E356" authorId="0" shapeId="0" xr:uid="{ECF18C58-1D78-42CD-B7AE-C3C73ED53466}">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6" authorId="0" shapeId="0" xr:uid="{6A9F0883-919F-486F-8C1B-09C921F9B656}">
      <text>
        <r>
          <rPr>
            <sz val="9"/>
            <color indexed="81"/>
            <rFont val="Tahoma"/>
            <family val="2"/>
          </rPr>
          <t xml:space="preserve">ODP=0 is assumed to be an OK assumption
</t>
        </r>
      </text>
    </comment>
    <comment ref="G356" authorId="0" shapeId="0" xr:uid="{10043D19-F63F-44B3-8CED-BB4ED0E64FAE}">
      <text>
        <r>
          <rPr>
            <sz val="9"/>
            <color indexed="81"/>
            <rFont val="Tahoma"/>
            <family val="2"/>
          </rPr>
          <t xml:space="preserve">See note on CFC-11
</t>
        </r>
      </text>
    </comment>
    <comment ref="A357" authorId="0" shapeId="0" xr:uid="{FBEC9C9A-651D-44F4-9021-3D7FDF07B82D}">
      <text>
        <r>
          <rPr>
            <sz val="9"/>
            <color indexed="81"/>
            <rFont val="Tahoma"/>
            <family val="2"/>
          </rPr>
          <t xml:space="preserve">CF2=CFCH2F
</t>
        </r>
      </text>
    </comment>
    <comment ref="E357" authorId="0" shapeId="0" xr:uid="{67CDE0DC-ECA0-4E1A-B92B-487123418CAD}">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7" authorId="0" shapeId="0" xr:uid="{57A4DC48-B952-4E5B-850C-80687DA4F53D}">
      <text>
        <r>
          <rPr>
            <sz val="9"/>
            <color indexed="81"/>
            <rFont val="Tahoma"/>
            <family val="2"/>
          </rPr>
          <t xml:space="preserve">ODP=0 is assumed to be an OK assumption
</t>
        </r>
      </text>
    </comment>
    <comment ref="G357" authorId="0" shapeId="0" xr:uid="{21D8CF37-83C9-4A7D-8D57-989AE54F9C25}">
      <text>
        <r>
          <rPr>
            <sz val="9"/>
            <color indexed="81"/>
            <rFont val="Tahoma"/>
            <family val="2"/>
          </rPr>
          <t xml:space="preserve">See note on CFC-11
</t>
        </r>
      </text>
    </comment>
    <comment ref="A358" authorId="0" shapeId="0" xr:uid="{D8160954-586F-4D05-9BBB-6884C046E83F}">
      <text>
        <r>
          <rPr>
            <sz val="9"/>
            <color indexed="81"/>
            <rFont val="Tahoma"/>
            <family val="2"/>
          </rPr>
          <t xml:space="preserve">CF2=CHCF3
</t>
        </r>
      </text>
    </comment>
    <comment ref="E358" authorId="0" shapeId="0" xr:uid="{17612FEF-8ACA-465A-966E-CB8DDEF3651D}">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8" authorId="0" shapeId="0" xr:uid="{C389F16E-9C08-4D74-93B8-C096BC88EF83}">
      <text>
        <r>
          <rPr>
            <sz val="9"/>
            <color indexed="81"/>
            <rFont val="Tahoma"/>
            <family val="2"/>
          </rPr>
          <t xml:space="preserve">ODP=0 is assumed to be an OK assumption
</t>
        </r>
      </text>
    </comment>
    <comment ref="G358" authorId="0" shapeId="0" xr:uid="{A3D773E6-86E1-41F2-BFC0-49FE9D7D55E6}">
      <text>
        <r>
          <rPr>
            <sz val="9"/>
            <color indexed="81"/>
            <rFont val="Tahoma"/>
            <family val="2"/>
          </rPr>
          <t xml:space="preserve">See note on CFC-11
</t>
        </r>
      </text>
    </comment>
    <comment ref="A359" authorId="0" shapeId="0" xr:uid="{55CC187A-2FD7-4FC8-B4DD-47282CEA8FA0}">
      <text>
        <r>
          <rPr>
            <sz val="9"/>
            <color indexed="81"/>
            <rFont val="Tahoma"/>
            <family val="2"/>
          </rPr>
          <t xml:space="preserve">CF2=CHCHF2
</t>
        </r>
      </text>
    </comment>
    <comment ref="E359" authorId="0" shapeId="0" xr:uid="{A8CE920E-5436-49D3-A0D9-B928160872C8}">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59" authorId="0" shapeId="0" xr:uid="{3F45D963-0D20-4F54-913F-1E9E5B69540B}">
      <text>
        <r>
          <rPr>
            <sz val="9"/>
            <color indexed="81"/>
            <rFont val="Tahoma"/>
            <family val="2"/>
          </rPr>
          <t xml:space="preserve">ODP=0 is assumed to be an OK assumption
</t>
        </r>
      </text>
    </comment>
    <comment ref="G359" authorId="0" shapeId="0" xr:uid="{9CEE43B8-C080-495D-835B-B0B247F8CC34}">
      <text>
        <r>
          <rPr>
            <sz val="9"/>
            <color indexed="81"/>
            <rFont val="Tahoma"/>
            <family val="2"/>
          </rPr>
          <t xml:space="preserve">See note on CFC-11
</t>
        </r>
      </text>
    </comment>
    <comment ref="A360" authorId="0" shapeId="0" xr:uid="{A896587E-560D-4985-ADA7-8B373389DF83}">
      <text>
        <r>
          <rPr>
            <sz val="9"/>
            <color indexed="81"/>
            <rFont val="Tahoma"/>
            <family val="2"/>
          </rPr>
          <t xml:space="preserve">(E)-CF3CH=CHCF3
</t>
        </r>
      </text>
    </comment>
    <comment ref="C360" authorId="0" shapeId="0" xr:uid="{B5DF4BAD-593D-4200-9021-CEC6D5B50745}">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D360" authorId="0" shapeId="0" xr:uid="{F0EC2399-F0AA-48F9-82B7-9DF9652A2FD3}">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0" authorId="0" shapeId="0" xr:uid="{DA4CB57E-03B4-4D55-852D-731F475D18A7}">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0" authorId="0" shapeId="0" xr:uid="{34680B28-C867-4642-83D3-462695013DB9}">
      <text>
        <r>
          <rPr>
            <sz val="9"/>
            <color indexed="81"/>
            <rFont val="Tahoma"/>
            <family val="2"/>
          </rPr>
          <t xml:space="preserve">ODP=0 is assumed to be an OK assumption
</t>
        </r>
      </text>
    </comment>
    <comment ref="G360" authorId="0" shapeId="0" xr:uid="{107841AE-ECC6-4524-AEEA-263D26BAE12A}">
      <text>
        <r>
          <rPr>
            <sz val="9"/>
            <color indexed="81"/>
            <rFont val="Tahoma"/>
            <family val="2"/>
          </rPr>
          <t xml:space="preserve">See note on CFC-11
</t>
        </r>
      </text>
    </comment>
    <comment ref="A361" authorId="0" shapeId="0" xr:uid="{02092D21-DCE3-47A2-9BDE-3EB09F627AF7}">
      <text>
        <r>
          <rPr>
            <sz val="9"/>
            <color indexed="81"/>
            <rFont val="Tahoma"/>
            <family val="2"/>
          </rPr>
          <t xml:space="preserve">(Z)-CF3CH=CHCF3
</t>
        </r>
      </text>
    </comment>
    <comment ref="C361" authorId="0" shapeId="0" xr:uid="{21B598E5-4724-4DB3-B333-C95F564DDFFD}">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D361" authorId="0" shapeId="0" xr:uid="{E82B17B1-7D3B-4B2D-A32D-90BF7B401EB4}">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1" authorId="0" shapeId="0" xr:uid="{31CC9063-30BD-4A45-908B-B4DD73749C8E}">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1" authorId="0" shapeId="0" xr:uid="{17DBC90A-F56B-4B87-B13B-D1DDB2CE7EFC}">
      <text>
        <r>
          <rPr>
            <sz val="9"/>
            <color indexed="81"/>
            <rFont val="Tahoma"/>
            <family val="2"/>
          </rPr>
          <t xml:space="preserve">ODP=0 is assumed to be an OK assumption
</t>
        </r>
      </text>
    </comment>
    <comment ref="G361" authorId="0" shapeId="0" xr:uid="{33CB8D66-53BE-41A6-B85D-792DAE65326B}">
      <text>
        <r>
          <rPr>
            <sz val="9"/>
            <color indexed="81"/>
            <rFont val="Tahoma"/>
            <family val="2"/>
          </rPr>
          <t xml:space="preserve">See note on CFC-11
</t>
        </r>
      </text>
    </comment>
    <comment ref="A362" authorId="0" shapeId="0" xr:uid="{4C395EF4-D9BE-4C0E-98C2-E9B9B6D82DD8}">
      <text>
        <r>
          <rPr>
            <sz val="9"/>
            <color indexed="81"/>
            <rFont val="Tahoma"/>
            <family val="2"/>
          </rPr>
          <t xml:space="preserve">CF3CH=CH2
</t>
        </r>
      </text>
    </comment>
    <comment ref="C362" authorId="0" shapeId="0" xr:uid="{4ED5D602-4BF6-4319-835D-1027C6CF88AF}">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62" authorId="0" shapeId="0" xr:uid="{620F48E7-6F91-4C38-B80F-580E3FED9036}">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2" authorId="0" shapeId="0" xr:uid="{3F2EDB74-14CF-4FE0-853A-C1A11332D8D5}">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2" authorId="0" shapeId="0" xr:uid="{131F18F5-273F-4BA2-BA80-B8EA441F7EA6}">
      <text>
        <r>
          <rPr>
            <sz val="9"/>
            <color indexed="81"/>
            <rFont val="Tahoma"/>
            <family val="2"/>
          </rPr>
          <t xml:space="preserve">ODP=0 is assumed to be an OK assumption
</t>
        </r>
      </text>
    </comment>
    <comment ref="G362" authorId="0" shapeId="0" xr:uid="{9EF2D828-5259-4782-B7D1-AE4738FE43D4}">
      <text>
        <r>
          <rPr>
            <sz val="9"/>
            <color indexed="81"/>
            <rFont val="Tahoma"/>
            <family val="2"/>
          </rPr>
          <t xml:space="preserve">See note on CFC-11
</t>
        </r>
      </text>
    </comment>
    <comment ref="A363" authorId="0" shapeId="0" xr:uid="{EAEA5988-04DF-418C-B449-A96F52165D95}">
      <text>
        <r>
          <rPr>
            <sz val="9"/>
            <color indexed="81"/>
            <rFont val="Tahoma"/>
            <family val="2"/>
          </rPr>
          <t>C2F5CH=CH2</t>
        </r>
      </text>
    </comment>
    <comment ref="C363" authorId="0" shapeId="0" xr:uid="{2F2F1469-7FCA-48BE-9102-5659540E1D27}">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63" authorId="0" shapeId="0" xr:uid="{DC0686AF-A4CF-41A1-AB74-8AD98B5CF45E}">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3" authorId="0" shapeId="0" xr:uid="{237A2E18-0834-4C5E-86E5-F1FCCAC41D65}">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3" authorId="0" shapeId="0" xr:uid="{7EC2F48E-D8FB-47CB-AF07-FF33F1536A39}">
      <text>
        <r>
          <rPr>
            <sz val="9"/>
            <color indexed="81"/>
            <rFont val="Tahoma"/>
            <family val="2"/>
          </rPr>
          <t xml:space="preserve">ODP=0 is assumed to be an OK assumption
</t>
        </r>
      </text>
    </comment>
    <comment ref="G363" authorId="0" shapeId="0" xr:uid="{20B2EBA8-88CD-4801-A914-507A815EADB8}">
      <text>
        <r>
          <rPr>
            <sz val="9"/>
            <color indexed="81"/>
            <rFont val="Tahoma"/>
            <family val="2"/>
          </rPr>
          <t xml:space="preserve">See note on CFC-11
</t>
        </r>
      </text>
    </comment>
    <comment ref="A364" authorId="0" shapeId="0" xr:uid="{51606F53-19B2-42ED-A811-986E57E315A6}">
      <text>
        <r>
          <rPr>
            <sz val="9"/>
            <color indexed="81"/>
            <rFont val="Tahoma"/>
            <family val="2"/>
          </rPr>
          <t xml:space="preserve">(E)-CF3CH=CHCF2CF3
</t>
        </r>
      </text>
    </comment>
    <comment ref="E364" authorId="0" shapeId="0" xr:uid="{BDB2AFE4-20AA-45AA-94A0-43BFBFEF441C}">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4" authorId="0" shapeId="0" xr:uid="{8D4367D2-9DC8-4A0C-B339-587C767626A2}">
      <text>
        <r>
          <rPr>
            <sz val="9"/>
            <color indexed="81"/>
            <rFont val="Tahoma"/>
            <family val="2"/>
          </rPr>
          <t xml:space="preserve">ODP=0 is assumed to be an OK assumption
</t>
        </r>
      </text>
    </comment>
    <comment ref="G364" authorId="0" shapeId="0" xr:uid="{B29B9DCC-EAEA-49E0-AE3C-92DC29079076}">
      <text>
        <r>
          <rPr>
            <sz val="9"/>
            <color indexed="81"/>
            <rFont val="Tahoma"/>
            <family val="2"/>
          </rPr>
          <t xml:space="preserve">See note on CFC-11
</t>
        </r>
      </text>
    </comment>
    <comment ref="A365" authorId="0" shapeId="0" xr:uid="{7AA88880-E5E3-4485-98A6-E4D16BBC764C}">
      <text>
        <r>
          <rPr>
            <sz val="9"/>
            <color indexed="81"/>
            <rFont val="Tahoma"/>
            <family val="2"/>
          </rPr>
          <t xml:space="preserve">CH2=CHCF2CF2CF3
</t>
        </r>
      </text>
    </comment>
    <comment ref="E365" authorId="0" shapeId="0" xr:uid="{E6CF3DFF-800C-46FB-9663-5DF3CE6B2FB1}">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5" authorId="0" shapeId="0" xr:uid="{E037F811-1214-4F30-A6D1-E1E5B5D40D71}">
      <text>
        <r>
          <rPr>
            <sz val="9"/>
            <color indexed="81"/>
            <rFont val="Tahoma"/>
            <family val="2"/>
          </rPr>
          <t xml:space="preserve">ODP=0 is assumed to be an OK assumption
</t>
        </r>
      </text>
    </comment>
    <comment ref="G365" authorId="0" shapeId="0" xr:uid="{F889FBF5-DEF2-4FDC-BBED-4C5609069F53}">
      <text>
        <r>
          <rPr>
            <sz val="9"/>
            <color indexed="81"/>
            <rFont val="Tahoma"/>
            <family val="2"/>
          </rPr>
          <t xml:space="preserve">See note on CFC-11
</t>
        </r>
      </text>
    </comment>
    <comment ref="A366" authorId="0" shapeId="0" xr:uid="{176C8D85-C218-4BE1-8570-515561A1127A}">
      <text>
        <r>
          <rPr>
            <sz val="9"/>
            <color indexed="81"/>
            <rFont val="Tahoma"/>
            <family val="2"/>
          </rPr>
          <t xml:space="preserve">C4F9CH=CH2
</t>
        </r>
      </text>
    </comment>
    <comment ref="C366" authorId="0" shapeId="0" xr:uid="{DC3C3D3F-F599-415A-A936-FE616761FF15}">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66" authorId="0" shapeId="0" xr:uid="{88929766-90CE-44D8-A85B-49F0B84C96BA}">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6" authorId="0" shapeId="0" xr:uid="{BCB41C01-3630-48F0-8B05-8C630A23E627}">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6" authorId="0" shapeId="0" xr:uid="{16892454-F714-4F4A-ABB6-0DF4613D321E}">
      <text>
        <r>
          <rPr>
            <sz val="9"/>
            <color indexed="81"/>
            <rFont val="Tahoma"/>
            <family val="2"/>
          </rPr>
          <t xml:space="preserve">ODP=0 is assumed to be an OK assumption
</t>
        </r>
      </text>
    </comment>
    <comment ref="G366" authorId="0" shapeId="0" xr:uid="{41B92F58-4F6D-4F1D-A64F-590A0D18E5A1}">
      <text>
        <r>
          <rPr>
            <sz val="9"/>
            <color indexed="81"/>
            <rFont val="Tahoma"/>
            <family val="2"/>
          </rPr>
          <t xml:space="preserve">See note on CFC-11
</t>
        </r>
      </text>
    </comment>
    <comment ref="A367" authorId="0" shapeId="0" xr:uid="{BEB1D5F8-4BAC-42D6-AE55-C16FB85A186F}">
      <text>
        <r>
          <rPr>
            <sz val="9"/>
            <color indexed="81"/>
            <rFont val="Tahoma"/>
            <family val="2"/>
          </rPr>
          <t>C6F13CH=CH2
3,3,4,4,5,5,6,6,7,7,8,8,8- Tridecafluorooct-1-ene</t>
        </r>
      </text>
    </comment>
    <comment ref="C367" authorId="0" shapeId="0" xr:uid="{4F93CA1B-FE48-40C1-9D15-A0CAFF06F3A5}">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67" authorId="0" shapeId="0" xr:uid="{A99C71E3-0B90-42E3-949C-678F209B9C1C}">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7" authorId="0" shapeId="0" xr:uid="{3A482DE9-FAE5-44D0-B917-BB684EC9A078}">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7" authorId="0" shapeId="0" xr:uid="{40377171-4F4E-43E7-8000-CB66A82BDB30}">
      <text>
        <r>
          <rPr>
            <sz val="9"/>
            <color indexed="81"/>
            <rFont val="Tahoma"/>
            <family val="2"/>
          </rPr>
          <t xml:space="preserve">ODP=0 is assumed to be an OK assumption
</t>
        </r>
      </text>
    </comment>
    <comment ref="G367" authorId="0" shapeId="0" xr:uid="{56DCBDAC-04D4-4BD1-97F9-9F70CD5F966F}">
      <text>
        <r>
          <rPr>
            <sz val="9"/>
            <color indexed="81"/>
            <rFont val="Tahoma"/>
            <family val="2"/>
          </rPr>
          <t xml:space="preserve">See note on CFC-11
</t>
        </r>
      </text>
    </comment>
    <comment ref="A368" authorId="0" shapeId="0" xr:uid="{DAEAE21A-6C00-42AA-9917-CDD65DF45F30}">
      <text>
        <r>
          <rPr>
            <sz val="9"/>
            <color indexed="81"/>
            <rFont val="Tahoma"/>
            <family val="2"/>
          </rPr>
          <t xml:space="preserve">C8F17CH=CH2
3,3,4,4,5,5,6,6,7,7,8,8,9,9,10,10,10- Heptadecafluorodec-1-ene
</t>
        </r>
      </text>
    </comment>
    <comment ref="C368" authorId="0" shapeId="0" xr:uid="{EE138C8C-F49D-4486-BD30-BF7F3B13AF59}">
      <text>
        <r>
          <rPr>
            <sz val="9"/>
            <color indexed="81"/>
            <rFont val="Tahoma"/>
            <family val="2"/>
          </rPr>
          <t>&lt;1 according to
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t>
        </r>
      </text>
    </comment>
    <comment ref="D368" authorId="0" shapeId="0" xr:uid="{506D7463-BA2C-4BA1-834A-60B28A84AFA1}">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8" authorId="0" shapeId="0" xr:uid="{B36D53F6-A677-4F62-9F63-6907C59417C1}">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8" authorId="0" shapeId="0" xr:uid="{C6287F0A-6EA3-4F65-BCA3-093AA46475A3}">
      <text>
        <r>
          <rPr>
            <sz val="9"/>
            <color indexed="81"/>
            <rFont val="Tahoma"/>
            <family val="2"/>
          </rPr>
          <t xml:space="preserve">ODP=0 is assumed to be an OK assumption
</t>
        </r>
      </text>
    </comment>
    <comment ref="G368" authorId="0" shapeId="0" xr:uid="{62599A69-93FD-4DD9-AC3C-1B03F528E187}">
      <text>
        <r>
          <rPr>
            <sz val="9"/>
            <color indexed="81"/>
            <rFont val="Tahoma"/>
            <family val="2"/>
          </rPr>
          <t xml:space="preserve">See note on CFC-11
</t>
        </r>
      </text>
    </comment>
    <comment ref="A369" authorId="0" shapeId="0" xr:uid="{7620CD62-19B1-4F0F-8B80-B1D6939BF3C6}">
      <text>
        <r>
          <rPr>
            <sz val="9"/>
            <color indexed="81"/>
            <rFont val="Tahoma"/>
            <family val="2"/>
          </rPr>
          <t xml:space="preserve">(E)-(CF3)2CFCH=CHF
</t>
        </r>
      </text>
    </comment>
    <comment ref="C369" authorId="0" shapeId="0" xr:uid="{FC922B75-5396-4821-B70A-BEDAB2B61B05}">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D369" authorId="0" shapeId="0" xr:uid="{3959C283-556E-459E-A5EA-813B49C647B8}">
      <text>
        <r>
          <rPr>
            <sz val="9"/>
            <color indexed="81"/>
            <rFont val="Tahoma"/>
            <family val="2"/>
          </rPr>
          <t>Burkholder et al report an uncertainty range of a factor of about 1.4 for their estimation of total lifetime for most HFO:s. They do not specifically state if this is a 5-95% CI, but that is common in IPCC reports and asumed to be the case here, why the STDEV becomes 1.2</t>
        </r>
      </text>
    </comment>
    <comment ref="E369" authorId="0" shapeId="0" xr:uid="{25C0DBC3-C766-4093-B3B9-3EACDEB1621C}">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69" authorId="0" shapeId="0" xr:uid="{CA824875-2500-4E04-BDFD-6791300B2132}">
      <text>
        <r>
          <rPr>
            <sz val="9"/>
            <color indexed="81"/>
            <rFont val="Tahoma"/>
            <family val="2"/>
          </rPr>
          <t xml:space="preserve">ODP=0 is assumed to be an OK assumption
</t>
        </r>
      </text>
    </comment>
    <comment ref="G369" authorId="0" shapeId="0" xr:uid="{74AD1100-1E72-4EB6-B5A5-7F81FCE9DBC7}">
      <text>
        <r>
          <rPr>
            <sz val="9"/>
            <color indexed="81"/>
            <rFont val="Tahoma"/>
            <family val="2"/>
          </rPr>
          <t xml:space="preserve">See note on CFC-11
</t>
        </r>
      </text>
    </comment>
    <comment ref="A371" authorId="0" shapeId="0" xr:uid="{99C8891E-2629-4586-9D71-0AE299EF8061}">
      <text>
        <r>
          <rPr>
            <sz val="9"/>
            <color indexed="81"/>
            <rFont val="Tahoma"/>
            <family val="2"/>
          </rPr>
          <t xml:space="preserve">CH3CCl3
</t>
        </r>
      </text>
    </comment>
    <comment ref="C371" authorId="0" shapeId="0" xr:uid="{453A3026-6A8B-43AB-AF8B-61FDEF7097D4}">
      <text>
        <r>
          <rPr>
            <sz val="9"/>
            <color indexed="81"/>
            <rFont val="Tahoma"/>
            <family val="2"/>
          </rPr>
          <t>IPCC, AR6, Table 7, SM7
Borkholder et al 2018 reports a figure of 153</t>
        </r>
      </text>
    </comment>
    <comment ref="D371" authorId="0" shapeId="0" xr:uid="{1BFDA4BB-608C-424F-9437-C68166E11596}">
      <text>
        <r>
          <rPr>
            <sz val="9"/>
            <color indexed="81"/>
            <rFont val="Tahoma"/>
            <family val="2"/>
          </rPr>
          <t>based on IPCC AR6 WG1 
table 7.SM.8-13</t>
        </r>
      </text>
    </comment>
    <comment ref="E371" authorId="0" shapeId="0" xr:uid="{5579645F-131D-4EBA-8D11-871C0E904BA5}">
      <text>
        <r>
          <rPr>
            <sz val="9"/>
            <color indexed="81"/>
            <rFont val="Tahoma"/>
            <family val="2"/>
          </rPr>
          <t>WMO 2011</t>
        </r>
      </text>
    </comment>
    <comment ref="F371" authorId="0" shapeId="0" xr:uid="{C71FA8B7-0FAA-4D7D-8847-A1E8648B1474}">
      <text>
        <r>
          <rPr>
            <sz val="9"/>
            <color indexed="81"/>
            <rFont val="Tahoma"/>
            <family val="2"/>
          </rPr>
          <t>A range of 0.14 to 0.17 is given in Burkholder et al 2018
0.1 according to the Montral protocol</t>
        </r>
      </text>
    </comment>
    <comment ref="G371" authorId="0" shapeId="0" xr:uid="{8E07A432-3D86-4ED3-BA01-17308F5A6794}">
      <text>
        <r>
          <rPr>
            <sz val="9"/>
            <color indexed="81"/>
            <rFont val="Tahoma"/>
            <family val="2"/>
          </rPr>
          <t xml:space="preserve">See note on CFC-11
</t>
        </r>
      </text>
    </comment>
    <comment ref="C372" authorId="0" shapeId="0" xr:uid="{6FE35BC6-7AB0-42DB-9B28-BB992ADE0BF5}">
      <text>
        <r>
          <rPr>
            <sz val="9"/>
            <color indexed="81"/>
            <rFont val="Tahoma"/>
            <family val="2"/>
          </rPr>
          <t xml:space="preserve">IPCC, AR6, Table 7, SM7
</t>
        </r>
      </text>
    </comment>
    <comment ref="D372" authorId="0" shapeId="0" xr:uid="{3B8FF6D9-3666-41F6-9079-456C28D24DB9}">
      <text>
        <r>
          <rPr>
            <sz val="9"/>
            <color indexed="81"/>
            <rFont val="Tahoma"/>
            <family val="2"/>
          </rPr>
          <t>based on IPCC AR6 WG1 
table 7.SM.8-13</t>
        </r>
      </text>
    </comment>
    <comment ref="E372" authorId="0" shapeId="0" xr:uid="{DEEACAD5-8895-4689-880C-8A0BCAD623A5}">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72" authorId="0" shapeId="0" xr:uid="{7A9E4635-3524-4A3C-BD12-6F19F5F39058}">
      <text>
        <r>
          <rPr>
            <sz val="9"/>
            <color indexed="81"/>
            <rFont val="Tahoma"/>
            <family val="2"/>
          </rPr>
          <t xml:space="preserve">1.1 according to the Montreal protocol and 0.82 according to WMO 2011 https://www.epa.gov/ozone-layer-protection/ozone-depleting-substances
</t>
        </r>
      </text>
    </comment>
    <comment ref="G372" authorId="0" shapeId="0" xr:uid="{A828391A-2EA3-4C87-A6DD-F4CD79B345EC}">
      <text>
        <r>
          <rPr>
            <sz val="9"/>
            <color indexed="81"/>
            <rFont val="Tahoma"/>
            <family val="2"/>
          </rPr>
          <t xml:space="preserve">See note on CFC-11
</t>
        </r>
      </text>
    </comment>
    <comment ref="A373" authorId="0" shapeId="0" xr:uid="{F5CFFB3B-F39B-477F-8B66-CB7F1D5BD123}">
      <text>
        <r>
          <rPr>
            <sz val="9"/>
            <color indexed="81"/>
            <rFont val="Tahoma"/>
            <family val="2"/>
          </rPr>
          <t xml:space="preserve">CH3Cl
</t>
        </r>
      </text>
    </comment>
    <comment ref="C373" authorId="0" shapeId="0" xr:uid="{27D69532-A521-4BE5-AB70-09C34B1EF535}">
      <text>
        <r>
          <rPr>
            <sz val="9"/>
            <color indexed="81"/>
            <rFont val="Tahoma"/>
            <family val="2"/>
          </rPr>
          <t xml:space="preserve">IPCC, AR6, Table 7, SM7
</t>
        </r>
      </text>
    </comment>
    <comment ref="D373" authorId="0" shapeId="0" xr:uid="{FDC8321B-26D1-4C30-9658-A65F8CE0A689}">
      <text>
        <r>
          <rPr>
            <sz val="9"/>
            <color indexed="81"/>
            <rFont val="Tahoma"/>
            <family val="2"/>
          </rPr>
          <t>based on IPCC AR6 WG1 
table 7.SM.8-13</t>
        </r>
      </text>
    </comment>
    <comment ref="E373" authorId="0" shapeId="0" xr:uid="{6CE78178-76DD-420E-A596-C5A48D5C390E}">
      <text>
        <r>
          <rPr>
            <sz val="9"/>
            <color indexed="81"/>
            <rFont val="Tahoma"/>
            <family val="2"/>
          </rPr>
          <t xml:space="preserve">Burkholder, J.B. (Lead Author), Ø. Hodnebrog, V.L. Orkin, Appendix A: Summary of Abundances, Lifetimes, Ozone Depletion Potentials (ODPs), Radiative Efficiencies (REs), Global Warming Potentials (GWPs), and Global Temperature Change Potentials (GTPs)  in Scientific Assessment of Ozone Depletion: 2018, Global Ozone Research and Monitoring Project — Report No. 58, World Meteorological Organization, Geneva, Switzerland, 2018.
</t>
        </r>
      </text>
    </comment>
    <comment ref="F373" authorId="0" shapeId="0" xr:uid="{2059BB99-AC48-46C3-A4FA-2D7A0A8F38D1}">
      <text>
        <r>
          <rPr>
            <sz val="9"/>
            <color indexed="81"/>
            <rFont val="Tahoma"/>
            <family val="2"/>
          </rPr>
          <t xml:space="preserve">No specific estimation of the uncertainty. It is assumed to be in the same range as methylene chloride.
</t>
        </r>
      </text>
    </comment>
    <comment ref="G373" authorId="0" shapeId="0" xr:uid="{7903B0EE-DB4E-40C0-A4AE-A442163E15B4}">
      <text>
        <r>
          <rPr>
            <sz val="9"/>
            <color indexed="81"/>
            <rFont val="Tahoma"/>
            <family val="2"/>
          </rPr>
          <t xml:space="preserve">See note on CFC-11
</t>
        </r>
      </text>
    </comment>
    <comment ref="A374" authorId="0" shapeId="0" xr:uid="{C357F282-4AFD-4041-A042-FA4862707F59}">
      <text>
        <r>
          <rPr>
            <sz val="9"/>
            <color indexed="81"/>
            <rFont val="Tahoma"/>
            <family val="2"/>
          </rPr>
          <t xml:space="preserve">CH2Cl2
</t>
        </r>
      </text>
    </comment>
    <comment ref="C374" authorId="0" shapeId="0" xr:uid="{7BDF608B-7F16-41B4-AB56-FD6976ACE489}">
      <text>
        <r>
          <rPr>
            <sz val="9"/>
            <color indexed="81"/>
            <rFont val="Tahoma"/>
            <family val="2"/>
          </rPr>
          <t xml:space="preserve">IPCC, AR6, Table 7, SM7
</t>
        </r>
      </text>
    </comment>
    <comment ref="D374" authorId="0" shapeId="0" xr:uid="{21DA1C66-FC7F-49A5-8F43-2AE9DF7FA8D4}">
      <text>
        <r>
          <rPr>
            <sz val="9"/>
            <color indexed="81"/>
            <rFont val="Tahoma"/>
            <family val="2"/>
          </rPr>
          <t>based on IPCC AR6 WG1 
table 7.SM.8-13</t>
        </r>
      </text>
    </comment>
    <comment ref="E374" authorId="0" shapeId="0" xr:uid="{6982060E-5C36-47BF-AEAC-315A6B2F40A6}">
      <text>
        <r>
          <rPr>
            <sz val="9"/>
            <color indexed="81"/>
            <rFont val="Tahoma"/>
            <family val="2"/>
          </rPr>
          <t>0.0097–0.0208 on different continents according to Claxton et al, Geophysical Research Letters, vol 46 May 28 2019 https://agupubs.onlinelibrary.wiley.com/doi/full/10.1029/2018GL081455</t>
        </r>
      </text>
    </comment>
    <comment ref="F374" authorId="0" shapeId="0" xr:uid="{5D69AD20-E12F-4F4F-ABAD-B3228D0B09A4}">
      <text>
        <r>
          <rPr>
            <sz val="9"/>
            <color indexed="81"/>
            <rFont val="Tahoma"/>
            <family val="2"/>
          </rPr>
          <t xml:space="preserve">see note on ODP
</t>
        </r>
      </text>
    </comment>
    <comment ref="G374" authorId="0" shapeId="0" xr:uid="{A8A3C78A-9157-4840-8AD6-69F4502D6E10}">
      <text>
        <r>
          <rPr>
            <sz val="9"/>
            <color indexed="81"/>
            <rFont val="Tahoma"/>
            <family val="2"/>
          </rPr>
          <t xml:space="preserve">See note on CFC-11
</t>
        </r>
      </text>
    </comment>
    <comment ref="A375" authorId="0" shapeId="0" xr:uid="{47B35324-A897-4CB8-B978-9775C7E3F66F}">
      <text>
        <r>
          <rPr>
            <sz val="9"/>
            <color indexed="81"/>
            <rFont val="Tahoma"/>
            <family val="2"/>
          </rPr>
          <t xml:space="preserve">CHCl3
</t>
        </r>
      </text>
    </comment>
    <comment ref="C375" authorId="0" shapeId="0" xr:uid="{1C426F8A-95F1-466D-9229-5C05B5A51488}">
      <text>
        <r>
          <rPr>
            <sz val="9"/>
            <color indexed="81"/>
            <rFont val="Tahoma"/>
            <family val="2"/>
          </rPr>
          <t xml:space="preserve">IPCC, AR6, Table 7, SM7
</t>
        </r>
      </text>
    </comment>
    <comment ref="D375" authorId="0" shapeId="0" xr:uid="{19BAEBDC-C022-47D2-A419-AC6347C18E1A}">
      <text>
        <r>
          <rPr>
            <sz val="9"/>
            <color indexed="81"/>
            <rFont val="Tahoma"/>
            <family val="2"/>
          </rPr>
          <t>based on IPCC AR6 WG1 
table 7.SM.8-13</t>
        </r>
      </text>
    </comment>
    <comment ref="E375" authorId="0" shapeId="0" xr:uid="{77F73CC9-8E90-4740-8C3D-684B4CA90D56}">
      <text>
        <r>
          <rPr>
            <sz val="9"/>
            <color indexed="81"/>
            <rFont val="Tahoma"/>
            <family val="2"/>
          </rPr>
          <t xml:space="preserve">0.0143–0.0264 according to https://agupubs.onlinelibrary.wiley.com/doi/full/10.1029/2018GL081455
</t>
        </r>
      </text>
    </comment>
    <comment ref="F375" authorId="0" shapeId="0" xr:uid="{C1431320-2B7A-4BEF-B715-798CFC3CC83C}">
      <text>
        <r>
          <rPr>
            <sz val="9"/>
            <color indexed="81"/>
            <rFont val="Tahoma"/>
            <family val="2"/>
          </rPr>
          <t xml:space="preserve">see note on ODP
</t>
        </r>
      </text>
    </comment>
    <comment ref="G375" authorId="0" shapeId="0" xr:uid="{7A03BAD1-2208-471B-885D-C8B0FEBF1450}">
      <text>
        <r>
          <rPr>
            <sz val="9"/>
            <color indexed="81"/>
            <rFont val="Tahoma"/>
            <family val="2"/>
          </rPr>
          <t xml:space="preserve">See note on CFC-11
</t>
        </r>
      </text>
    </comment>
    <comment ref="A376" authorId="0" shapeId="0" xr:uid="{03ADDC73-A4A3-4342-8E5A-43CAC7A8DC47}">
      <text>
        <r>
          <rPr>
            <sz val="9"/>
            <color indexed="81"/>
            <rFont val="Tahoma"/>
            <family val="2"/>
          </rPr>
          <t>CH3CH2Cl, ethyl chloride</t>
        </r>
      </text>
    </comment>
    <comment ref="C376" authorId="0" shapeId="0" xr:uid="{20A267FE-74B1-4A82-ACAB-31A3039FAF9E}">
      <text>
        <r>
          <rPr>
            <sz val="9"/>
            <color indexed="81"/>
            <rFont val="Tahoma"/>
            <family val="2"/>
          </rPr>
          <t xml:space="preserve">IPCC, AR6, Table 7, SM7
</t>
        </r>
      </text>
    </comment>
    <comment ref="D376" authorId="0" shapeId="0" xr:uid="{E3C7F119-0DDD-42D0-B247-83D95DCCB6F0}">
      <text>
        <r>
          <rPr>
            <sz val="9"/>
            <color indexed="81"/>
            <rFont val="Tahoma"/>
            <family val="2"/>
          </rPr>
          <t>based on IPCC AR6 WG1 
table 7.SM.8-13</t>
        </r>
      </text>
    </comment>
    <comment ref="E376" authorId="0" shapeId="0" xr:uid="{0A2579B4-4154-4E40-BFB3-B2D01B0C4352}">
      <text>
        <r>
          <rPr>
            <sz val="9"/>
            <color indexed="81"/>
            <rFont val="Tahoma"/>
            <family val="2"/>
          </rPr>
          <t xml:space="preserve">No specific ODP value was found. An average for the group is used
</t>
        </r>
      </text>
    </comment>
    <comment ref="F376" authorId="0" shapeId="0" xr:uid="{9086E577-B573-40E1-B92B-910C0D393CA6}">
      <text>
        <r>
          <rPr>
            <sz val="9"/>
            <color indexed="81"/>
            <rFont val="Tahoma"/>
            <family val="2"/>
          </rPr>
          <t xml:space="preserve">No specific uncertianty value was found. Variation in the group is used
</t>
        </r>
      </text>
    </comment>
    <comment ref="G376" authorId="0" shapeId="0" xr:uid="{5C68C730-4A78-452F-828F-E9627832E411}">
      <text>
        <r>
          <rPr>
            <sz val="9"/>
            <color indexed="81"/>
            <rFont val="Tahoma"/>
            <family val="2"/>
          </rPr>
          <t xml:space="preserve">See note on CFC-11
</t>
        </r>
      </text>
    </comment>
    <comment ref="A377" authorId="0" shapeId="0" xr:uid="{F4E5110A-A9B2-4CE3-8DCE-C3E2767DAFD3}">
      <text>
        <r>
          <rPr>
            <sz val="9"/>
            <color indexed="81"/>
            <rFont val="Tahoma"/>
            <family val="2"/>
          </rPr>
          <t xml:space="preserve">CH2ClCH2Cl
</t>
        </r>
      </text>
    </comment>
    <comment ref="C377" authorId="0" shapeId="0" xr:uid="{7B4FA6F0-185B-43E3-88D7-DE88E3203130}">
      <text>
        <r>
          <rPr>
            <sz val="9"/>
            <color indexed="81"/>
            <rFont val="Tahoma"/>
            <family val="2"/>
          </rPr>
          <t xml:space="preserve">IPCC, AR6, Table 7, SM7
</t>
        </r>
      </text>
    </comment>
    <comment ref="D377" authorId="0" shapeId="0" xr:uid="{D5DFA636-D680-4145-9C53-CA87FB86964F}">
      <text>
        <r>
          <rPr>
            <sz val="9"/>
            <color indexed="81"/>
            <rFont val="Tahoma"/>
            <family val="2"/>
          </rPr>
          <t>based on IPCC AR6 WG1 
table 7.SM.8-13</t>
        </r>
      </text>
    </comment>
    <comment ref="E377" authorId="0" shapeId="0" xr:uid="{2CC19AB9-1914-4FA9-B920-D2A5B1B09060}">
      <text>
        <r>
          <rPr>
            <sz val="9"/>
            <color indexed="81"/>
            <rFont val="Tahoma"/>
            <family val="2"/>
          </rPr>
          <t>0.0029–0.0119 according to https://agupubs.onlinelibrary.wiley.com/doi/full/10.1029/2018GL081455</t>
        </r>
      </text>
    </comment>
    <comment ref="F377" authorId="0" shapeId="0" xr:uid="{5A48F98A-3B23-45A4-8D14-BF6072972DEC}">
      <text>
        <r>
          <rPr>
            <sz val="9"/>
            <color indexed="81"/>
            <rFont val="Tahoma"/>
            <family val="2"/>
          </rPr>
          <t xml:space="preserve">see note on ODP
</t>
        </r>
      </text>
    </comment>
    <comment ref="G377" authorId="0" shapeId="0" xr:uid="{233DAA57-4D68-408D-888F-3B0E9DA88C97}">
      <text>
        <r>
          <rPr>
            <sz val="9"/>
            <color indexed="81"/>
            <rFont val="Tahoma"/>
            <family val="2"/>
          </rPr>
          <t xml:space="preserve">See note on CFC-11
</t>
        </r>
      </text>
    </comment>
    <comment ref="A378" authorId="0" shapeId="0" xr:uid="{8EBABC3D-C0EB-49AF-AB94-46B2C9770D94}">
      <text>
        <r>
          <rPr>
            <sz val="9"/>
            <color indexed="81"/>
            <rFont val="Tahoma"/>
            <family val="2"/>
          </rPr>
          <t xml:space="preserve">CHCl=CCl2
</t>
        </r>
      </text>
    </comment>
    <comment ref="C378" authorId="0" shapeId="0" xr:uid="{2FC16CA1-71CF-49BD-B1D9-1863C7E316AA}">
      <text>
        <r>
          <rPr>
            <sz val="9"/>
            <color indexed="81"/>
            <rFont val="Tahoma"/>
            <family val="2"/>
          </rPr>
          <t xml:space="preserve">IPCC, AR6, Table 7, SM7
</t>
        </r>
      </text>
    </comment>
    <comment ref="D378" authorId="0" shapeId="0" xr:uid="{7545C8E3-0B9A-443D-B404-869FCDB6A21D}">
      <text>
        <r>
          <rPr>
            <sz val="9"/>
            <color indexed="81"/>
            <rFont val="Tahoma"/>
            <family val="2"/>
          </rPr>
          <t>based on IPCC AR6 WG1 
table 7.SM.8-13</t>
        </r>
      </text>
    </comment>
    <comment ref="E378" authorId="0" shapeId="0" xr:uid="{8DF3E9FF-BED0-468D-90B4-E062321CC65D}">
      <text>
        <r>
          <rPr>
            <sz val="9"/>
            <color indexed="81"/>
            <rFont val="Tahoma"/>
            <family val="2"/>
          </rPr>
          <t xml:space="preserve">No specific ODP value was found. An average for the group is used
</t>
        </r>
      </text>
    </comment>
    <comment ref="F378" authorId="0" shapeId="0" xr:uid="{350A7965-17A1-443C-9D5E-0BB39AC6D4AC}">
      <text>
        <r>
          <rPr>
            <sz val="9"/>
            <color indexed="81"/>
            <rFont val="Tahoma"/>
            <family val="2"/>
          </rPr>
          <t xml:space="preserve">No specific uncertianty value was found. Variation in the group is used
</t>
        </r>
      </text>
    </comment>
    <comment ref="G378" authorId="0" shapeId="0" xr:uid="{0E492BC4-9B20-4B97-AD72-78CF2E05B76B}">
      <text>
        <r>
          <rPr>
            <sz val="9"/>
            <color indexed="81"/>
            <rFont val="Tahoma"/>
            <family val="2"/>
          </rPr>
          <t xml:space="preserve">See note on CFC-11
</t>
        </r>
      </text>
    </comment>
    <comment ref="A379" authorId="0" shapeId="0" xr:uid="{E363A9A0-8311-4C3B-B948-352848910653}">
      <text>
        <r>
          <rPr>
            <sz val="9"/>
            <color indexed="81"/>
            <rFont val="Tahoma"/>
            <family val="2"/>
          </rPr>
          <t xml:space="preserve">CCl2=CCl2
</t>
        </r>
      </text>
    </comment>
    <comment ref="C379" authorId="0" shapeId="0" xr:uid="{A8195380-262E-4541-97BD-16CD112C1FC4}">
      <text>
        <r>
          <rPr>
            <sz val="9"/>
            <color indexed="81"/>
            <rFont val="Tahoma"/>
            <family val="2"/>
          </rPr>
          <t xml:space="preserve">IPCC, AR6, Table 7, SM7
</t>
        </r>
      </text>
    </comment>
    <comment ref="D379" authorId="0" shapeId="0" xr:uid="{FBA1F146-94A6-4113-8096-9E407AABDF8B}">
      <text>
        <r>
          <rPr>
            <sz val="9"/>
            <color indexed="81"/>
            <rFont val="Tahoma"/>
            <family val="2"/>
          </rPr>
          <t>based on IPCC AR6 WG1 
table 7.SM.8-13</t>
        </r>
      </text>
    </comment>
    <comment ref="E379" authorId="0" shapeId="0" xr:uid="{CF494CEA-B942-4D86-AC07-19A9D4A44C46}">
      <text>
        <r>
          <rPr>
            <sz val="9"/>
            <color indexed="81"/>
            <rFont val="Tahoma"/>
            <family val="2"/>
          </rPr>
          <t xml:space="preserve">No specific ODP value was found. An average for the group is used
</t>
        </r>
      </text>
    </comment>
    <comment ref="F379" authorId="0" shapeId="0" xr:uid="{58D14806-DC6C-4DCE-9E61-DDCC38E54F6A}">
      <text>
        <r>
          <rPr>
            <sz val="9"/>
            <color indexed="81"/>
            <rFont val="Tahoma"/>
            <family val="2"/>
          </rPr>
          <t xml:space="preserve">No specific uncertianty value was found. Variation in the group is used
</t>
        </r>
      </text>
    </comment>
    <comment ref="G379" authorId="0" shapeId="0" xr:uid="{B9569C0E-8E4F-4AC0-AA9C-9CF05826D8CF}">
      <text>
        <r>
          <rPr>
            <sz val="9"/>
            <color indexed="81"/>
            <rFont val="Tahoma"/>
            <family val="2"/>
          </rPr>
          <t xml:space="preserve">See note on CFC-11
</t>
        </r>
      </text>
    </comment>
    <comment ref="A380" authorId="0" shapeId="0" xr:uid="{4015804B-D8FE-4D8A-B928-6D7A1B1F888B}">
      <text>
        <r>
          <rPr>
            <sz val="9"/>
            <color indexed="81"/>
            <rFont val="Tahoma"/>
            <family val="2"/>
          </rPr>
          <t>CH3CHClCH3</t>
        </r>
      </text>
    </comment>
    <comment ref="C380" authorId="0" shapeId="0" xr:uid="{879EF569-EB1E-48F3-B528-DDFC61BCC886}">
      <text>
        <r>
          <rPr>
            <sz val="9"/>
            <color indexed="81"/>
            <rFont val="Tahoma"/>
            <family val="2"/>
          </rPr>
          <t xml:space="preserve">IPCC, AR6, Table 7, SM7
</t>
        </r>
      </text>
    </comment>
    <comment ref="D380" authorId="0" shapeId="0" xr:uid="{5BB99C24-FEBC-404E-BA11-BFD4D5C15AFD}">
      <text>
        <r>
          <rPr>
            <sz val="9"/>
            <color indexed="81"/>
            <rFont val="Tahoma"/>
            <family val="2"/>
          </rPr>
          <t>based on IPCC AR6 WG1 
table 7.SM.8-13</t>
        </r>
      </text>
    </comment>
    <comment ref="E380" authorId="0" shapeId="0" xr:uid="{2B17F9EE-A350-43F8-B3AF-FC67AFD056CD}">
      <text>
        <r>
          <rPr>
            <sz val="9"/>
            <color indexed="81"/>
            <rFont val="Tahoma"/>
            <family val="2"/>
          </rPr>
          <t xml:space="preserve">No specific ODP value was found. An average for the group is used
</t>
        </r>
      </text>
    </comment>
    <comment ref="F380" authorId="0" shapeId="0" xr:uid="{97899652-4999-4D9E-95A7-8EE2612142D5}">
      <text>
        <r>
          <rPr>
            <sz val="9"/>
            <color indexed="81"/>
            <rFont val="Tahoma"/>
            <family val="2"/>
          </rPr>
          <t xml:space="preserve">No specific uncertianty value was found. Variation in the group is used
</t>
        </r>
      </text>
    </comment>
    <comment ref="G380" authorId="0" shapeId="0" xr:uid="{416F5172-834B-4948-BF1F-3ADA568A34A8}">
      <text>
        <r>
          <rPr>
            <sz val="9"/>
            <color indexed="81"/>
            <rFont val="Tahoma"/>
            <family val="2"/>
          </rPr>
          <t xml:space="preserve">See note on CFC-11
</t>
        </r>
      </text>
    </comment>
    <comment ref="A381" authorId="0" shapeId="0" xr:uid="{A8C45D1B-3B15-48AD-A111-0B6CAC846D15}">
      <text>
        <r>
          <rPr>
            <sz val="9"/>
            <color indexed="81"/>
            <rFont val="Tahoma"/>
            <family val="2"/>
          </rPr>
          <t xml:space="preserve">CH3(CH2)2CH2Cl
</t>
        </r>
      </text>
    </comment>
    <comment ref="C381" authorId="0" shapeId="0" xr:uid="{D5FF2A51-26E6-4699-A063-FA1EA3369242}">
      <text>
        <r>
          <rPr>
            <sz val="9"/>
            <color indexed="81"/>
            <rFont val="Tahoma"/>
            <family val="2"/>
          </rPr>
          <t xml:space="preserve">IPCC, AR6, Table 7, SM7
</t>
        </r>
      </text>
    </comment>
    <comment ref="D381" authorId="0" shapeId="0" xr:uid="{621830E4-0568-41A4-9B98-4D4E165FE88C}">
      <text>
        <r>
          <rPr>
            <sz val="9"/>
            <color indexed="81"/>
            <rFont val="Tahoma"/>
            <family val="2"/>
          </rPr>
          <t>based on IPCC AR6 WG1 
table 7.SM.8-13</t>
        </r>
      </text>
    </comment>
    <comment ref="E381" authorId="0" shapeId="0" xr:uid="{37B67D4D-812F-4A27-BF7B-C8D67C106CD9}">
      <text>
        <r>
          <rPr>
            <sz val="9"/>
            <color indexed="81"/>
            <rFont val="Tahoma"/>
            <family val="2"/>
          </rPr>
          <t xml:space="preserve">No specific ODP value was found. An average for the group is used
</t>
        </r>
      </text>
    </comment>
    <comment ref="F381" authorId="0" shapeId="0" xr:uid="{1135AD63-A27B-45F1-8A64-C082B47BA901}">
      <text>
        <r>
          <rPr>
            <sz val="9"/>
            <color indexed="81"/>
            <rFont val="Tahoma"/>
            <family val="2"/>
          </rPr>
          <t xml:space="preserve">No specific uncertianty value was found. Variation in the group is used
</t>
        </r>
      </text>
    </comment>
    <comment ref="G381" authorId="0" shapeId="0" xr:uid="{2CD216B7-540A-4A93-B6D9-ED61FF4712DA}">
      <text>
        <r>
          <rPr>
            <sz val="9"/>
            <color indexed="81"/>
            <rFont val="Tahoma"/>
            <family val="2"/>
          </rPr>
          <t xml:space="preserve">See note on CFC-11
</t>
        </r>
      </text>
    </comment>
    <comment ref="A383" authorId="0" shapeId="0" xr:uid="{1EDAE7E7-D342-490D-AAD9-CE5BA330FAD3}">
      <text>
        <r>
          <rPr>
            <sz val="9"/>
            <color indexed="81"/>
            <rFont val="Tahoma"/>
            <family val="2"/>
          </rPr>
          <t xml:space="preserve">CH3Br
</t>
        </r>
      </text>
    </comment>
    <comment ref="C383" authorId="0" shapeId="0" xr:uid="{9918F9E4-5019-4CEE-B1D7-6DE8EEE20284}">
      <text>
        <r>
          <rPr>
            <sz val="9"/>
            <color indexed="81"/>
            <rFont val="Tahoma"/>
            <family val="2"/>
          </rPr>
          <t xml:space="preserve">IPCC, AR6, Table 7, SM7
</t>
        </r>
      </text>
    </comment>
    <comment ref="D383" authorId="0" shapeId="0" xr:uid="{D0AD82FE-EA38-4975-9D5E-B12271E43299}">
      <text>
        <r>
          <rPr>
            <sz val="9"/>
            <color indexed="81"/>
            <rFont val="Tahoma"/>
            <family val="2"/>
          </rPr>
          <t>based on IPCC AR6 WG1 
table 7.SM.8-13</t>
        </r>
      </text>
    </comment>
    <comment ref="E383" authorId="0" shapeId="0" xr:uid="{BD07372C-0EC3-44DB-9F1B-4A8EF92D2BCB}">
      <text>
        <r>
          <rPr>
            <sz val="9"/>
            <color indexed="81"/>
            <rFont val="Tahoma"/>
            <family val="2"/>
          </rPr>
          <t xml:space="preserve">WMO 2011, https://www.epa.gov/ozone-layer-protection/ozone-depleting-substances
</t>
        </r>
      </text>
    </comment>
    <comment ref="F383" authorId="0" shapeId="0" xr:uid="{2142569B-3224-4822-B967-B59378D2C693}">
      <text>
        <r>
          <rPr>
            <sz val="9"/>
            <color indexed="81"/>
            <rFont val="Tahoma"/>
            <family val="2"/>
          </rPr>
          <t xml:space="preserve"> there is considerable confidence in a best current estimate of 0.6 for the ODP of CH3Br. Consideration of the existing uncertainties indicates that it is improbable that this value would be less  than 0.3 or larger than 0.8.
https://csl.noaa.gov/assessments/ozone/1994/chapters/chapter10.pdf</t>
        </r>
      </text>
    </comment>
    <comment ref="G383" authorId="0" shapeId="0" xr:uid="{987A5F5C-418B-4DC7-8EAB-D06B0086E96D}">
      <text>
        <r>
          <rPr>
            <sz val="9"/>
            <color indexed="81"/>
            <rFont val="Tahoma"/>
            <family val="2"/>
          </rPr>
          <t xml:space="preserve">See note on CFC-11
</t>
        </r>
      </text>
    </comment>
    <comment ref="I383" authorId="0" shapeId="0" xr:uid="{5107A5EB-A051-4145-88ED-73806589DEF6}">
      <text>
        <r>
          <rPr>
            <sz val="9"/>
            <color indexed="81"/>
            <rFont val="Tahoma"/>
            <family val="2"/>
          </rPr>
          <t xml:space="preserve">See notes on CFC11
</t>
        </r>
      </text>
    </comment>
    <comment ref="J383" authorId="0" shapeId="0" xr:uid="{0CE4EE4A-3DE3-4DF6-A21F-F52FABC59365}">
      <text>
        <r>
          <rPr>
            <sz val="9"/>
            <color indexed="81"/>
            <rFont val="Tahoma"/>
            <family val="2"/>
          </rPr>
          <t xml:space="preserve">See notes on CFC11
</t>
        </r>
      </text>
    </comment>
    <comment ref="A384" authorId="0" shapeId="0" xr:uid="{4B600432-2DDA-45AC-A143-8AF62A113DDE}">
      <text>
        <r>
          <rPr>
            <sz val="9"/>
            <color indexed="81"/>
            <rFont val="Tahoma"/>
            <family val="2"/>
          </rPr>
          <t>CH2Br2
dibromomethane</t>
        </r>
      </text>
    </comment>
    <comment ref="C384" authorId="0" shapeId="0" xr:uid="{895813A5-D1EA-49BA-8270-29E983771FC7}">
      <text>
        <r>
          <rPr>
            <sz val="9"/>
            <color indexed="81"/>
            <rFont val="Tahoma"/>
            <family val="2"/>
          </rPr>
          <t xml:space="preserve">IPCC, AR6, Table 7, SM7
</t>
        </r>
      </text>
    </comment>
    <comment ref="D384" authorId="0" shapeId="0" xr:uid="{7A4ACC56-3643-48C4-BA09-30577C8D0195}">
      <text>
        <r>
          <rPr>
            <sz val="9"/>
            <color indexed="81"/>
            <rFont val="Tahoma"/>
            <family val="2"/>
          </rPr>
          <t>based on IPCC AR6 WG1 
table 7.SM.8-13</t>
        </r>
      </text>
    </comment>
    <comment ref="E384" authorId="0" shapeId="0" xr:uid="{D22C2355-4848-4E08-B26B-C88518589DC1}">
      <text>
        <r>
          <rPr>
            <sz val="9"/>
            <color indexed="81"/>
            <rFont val="Tahoma"/>
            <family val="2"/>
          </rPr>
          <t xml:space="preserve">Ranajit Talukdar, 1992, Geophysical Research Letters
https://doi.org/10.1029/92GL01612
</t>
        </r>
      </text>
    </comment>
    <comment ref="F384" authorId="0" shapeId="0" xr:uid="{F20DEBCA-65B2-42CE-8CE3-F47FCA256908}">
      <text>
        <r>
          <rPr>
            <sz val="9"/>
            <color indexed="81"/>
            <rFont val="Tahoma"/>
            <family val="2"/>
          </rPr>
          <t xml:space="preserve">assumed to be the same as for methyl bromide
</t>
        </r>
      </text>
    </comment>
    <comment ref="G384" authorId="0" shapeId="0" xr:uid="{FAB5101F-9616-49B4-A085-3CB7A4218796}">
      <text>
        <r>
          <rPr>
            <sz val="9"/>
            <color indexed="81"/>
            <rFont val="Tahoma"/>
            <family val="2"/>
          </rPr>
          <t xml:space="preserve">See note on CFC-11
</t>
        </r>
      </text>
    </comment>
    <comment ref="I384" authorId="0" shapeId="0" xr:uid="{46AAAD01-740B-44DF-A994-9B22BB278185}">
      <text>
        <r>
          <rPr>
            <sz val="9"/>
            <color indexed="81"/>
            <rFont val="Tahoma"/>
            <family val="2"/>
          </rPr>
          <t xml:space="preserve">See note on CFC-11
</t>
        </r>
      </text>
    </comment>
    <comment ref="J384" authorId="0" shapeId="0" xr:uid="{1F21BDB4-AE23-4FDB-B882-B993F1078252}">
      <text>
        <r>
          <rPr>
            <sz val="9"/>
            <color indexed="81"/>
            <rFont val="Tahoma"/>
            <family val="2"/>
          </rPr>
          <t xml:space="preserve">See note on CFC-11
</t>
        </r>
      </text>
    </comment>
    <comment ref="A385" authorId="0" shapeId="0" xr:uid="{00000000-0006-0000-0900-0000D1010000}">
      <text>
        <r>
          <rPr>
            <sz val="9"/>
            <color indexed="81"/>
            <rFont val="Tahoma"/>
            <family val="2"/>
          </rPr>
          <t>Bromodifluoromethane,
HBFC-12B1(CHF2Br)</t>
        </r>
      </text>
    </comment>
    <comment ref="C385" authorId="0" shapeId="0" xr:uid="{ED77FEA4-EC7E-42D7-9CA1-F657D65CFFA0}">
      <text>
        <r>
          <rPr>
            <sz val="9"/>
            <color indexed="81"/>
            <rFont val="Tahoma"/>
            <family val="2"/>
          </rPr>
          <t xml:space="preserve">IPCC, AR6, Table 7, SM7
</t>
        </r>
      </text>
    </comment>
    <comment ref="D385" authorId="0" shapeId="0" xr:uid="{8A2EF341-834D-4E27-8C7B-6AD1AE1DA673}">
      <text>
        <r>
          <rPr>
            <sz val="9"/>
            <color indexed="81"/>
            <rFont val="Tahoma"/>
            <family val="2"/>
          </rPr>
          <t>based on IPCC AR6 WG1 
table 7.SM.8-13</t>
        </r>
      </text>
    </comment>
    <comment ref="E385" authorId="0" shapeId="0" xr:uid="{00000000-0006-0000-0900-0000D2010000}">
      <text>
        <r>
          <rPr>
            <sz val="9"/>
            <color indexed="81"/>
            <rFont val="Tahoma"/>
            <family val="2"/>
          </rPr>
          <t>Montreal protocol
https://www.epa.gov/ozone-layer-protection/ozone-depleting-substances</t>
        </r>
      </text>
    </comment>
    <comment ref="F385" authorId="0" shapeId="0" xr:uid="{E9049BD1-2FB4-43A3-AC5B-AA4C17CE8245}">
      <text>
        <r>
          <rPr>
            <sz val="9"/>
            <color indexed="81"/>
            <rFont val="Tahoma"/>
            <family val="2"/>
          </rPr>
          <t xml:space="preserve">Similar uncertainty as for methyl bromide is assumed
</t>
        </r>
      </text>
    </comment>
    <comment ref="G385" authorId="0" shapeId="0" xr:uid="{00000000-0006-0000-0900-0000D3010000}">
      <text>
        <r>
          <rPr>
            <sz val="9"/>
            <color indexed="81"/>
            <rFont val="Tahoma"/>
            <family val="2"/>
          </rPr>
          <t xml:space="preserve">See note on CFC-11
</t>
        </r>
      </text>
    </comment>
    <comment ref="I385" authorId="0" shapeId="0" xr:uid="{00000000-0006-0000-0900-0000D4010000}">
      <text>
        <r>
          <rPr>
            <sz val="9"/>
            <color indexed="81"/>
            <rFont val="Tahoma"/>
            <family val="2"/>
          </rPr>
          <t xml:space="preserve">See notes on CFC11
</t>
        </r>
      </text>
    </comment>
    <comment ref="J385" authorId="0" shapeId="0" xr:uid="{00000000-0006-0000-0900-0000D5010000}">
      <text>
        <r>
          <rPr>
            <sz val="9"/>
            <color indexed="81"/>
            <rFont val="Tahoma"/>
            <family val="2"/>
          </rPr>
          <t xml:space="preserve">See notes on CFC11
</t>
        </r>
      </text>
    </comment>
    <comment ref="A386" authorId="0" shapeId="0" xr:uid="{81291758-A67D-4703-A27F-B685BAA5BE76}">
      <text>
        <r>
          <rPr>
            <sz val="9"/>
            <color indexed="81"/>
            <rFont val="Tahoma"/>
            <family val="2"/>
          </rPr>
          <t xml:space="preserve">CHBrF2
</t>
        </r>
      </text>
    </comment>
    <comment ref="C386" authorId="0" shapeId="0" xr:uid="{E1597A91-571B-4191-BD8A-5D0A7775BF0D}">
      <text>
        <r>
          <rPr>
            <sz val="9"/>
            <color indexed="81"/>
            <rFont val="Tahoma"/>
            <family val="2"/>
          </rPr>
          <t xml:space="preserve">IPCC, AR6, Table 7, SM7
</t>
        </r>
      </text>
    </comment>
    <comment ref="D386" authorId="0" shapeId="0" xr:uid="{433528F2-DD0F-4862-B072-4D70A462919D}">
      <text>
        <r>
          <rPr>
            <sz val="9"/>
            <color indexed="81"/>
            <rFont val="Tahoma"/>
            <family val="2"/>
          </rPr>
          <t>based on IPCC AR6 WG1 
table 7.SM.8-13</t>
        </r>
      </text>
    </comment>
    <comment ref="E386" authorId="0" shapeId="0" xr:uid="{B55646CD-9DFA-406C-B931-A228850276D2}">
      <text>
        <r>
          <rPr>
            <sz val="9"/>
            <color indexed="81"/>
            <rFont val="Tahoma"/>
            <family val="2"/>
          </rPr>
          <t>Mentioned by Wikipedia, but reference missing</t>
        </r>
      </text>
    </comment>
    <comment ref="F386" authorId="0" shapeId="0" xr:uid="{C61540EE-3534-4195-8000-8E92F29B292A}">
      <text>
        <r>
          <rPr>
            <sz val="9"/>
            <color indexed="81"/>
            <rFont val="Tahoma"/>
            <family val="2"/>
          </rPr>
          <t xml:space="preserve">Similar uncertainty as for methyl bromide is assumed
</t>
        </r>
      </text>
    </comment>
    <comment ref="G386" authorId="0" shapeId="0" xr:uid="{5954F428-F366-4133-A625-01B42BE307FE}">
      <text>
        <r>
          <rPr>
            <sz val="9"/>
            <color indexed="81"/>
            <rFont val="Tahoma"/>
            <family val="2"/>
          </rPr>
          <t xml:space="preserve">See note on CFC-11
</t>
        </r>
      </text>
    </comment>
    <comment ref="I386" authorId="0" shapeId="0" xr:uid="{22769CF3-6EAD-4D00-8FC1-CD8A45C76860}">
      <text>
        <r>
          <rPr>
            <sz val="9"/>
            <color indexed="81"/>
            <rFont val="Tahoma"/>
            <family val="2"/>
          </rPr>
          <t xml:space="preserve">See note on CFC-11
</t>
        </r>
      </text>
    </comment>
    <comment ref="J386" authorId="0" shapeId="0" xr:uid="{8FD4576E-B1CE-4258-92C2-BF60FD94D2F6}">
      <text>
        <r>
          <rPr>
            <sz val="9"/>
            <color indexed="81"/>
            <rFont val="Tahoma"/>
            <family val="2"/>
          </rPr>
          <t xml:space="preserve">See note on CFC-11
</t>
        </r>
      </text>
    </comment>
    <comment ref="A387" authorId="0" shapeId="0" xr:uid="{9BA0E17B-AEF7-4F36-8D74-EAEBCAC8B216}">
      <text>
        <r>
          <rPr>
            <sz val="9"/>
            <color indexed="81"/>
            <rFont val="Tahoma"/>
            <family val="2"/>
          </rPr>
          <t>CBr2F2</t>
        </r>
      </text>
    </comment>
    <comment ref="C387" authorId="0" shapeId="0" xr:uid="{E1B426D8-DCC8-4138-B2A2-A46806E7E991}">
      <text>
        <r>
          <rPr>
            <sz val="9"/>
            <color indexed="81"/>
            <rFont val="Tahoma"/>
            <family val="2"/>
          </rPr>
          <t xml:space="preserve">IPCC, AR6, Table 7, SM7
</t>
        </r>
      </text>
    </comment>
    <comment ref="D387" authorId="0" shapeId="0" xr:uid="{ECD3024D-4ACE-49E7-86D6-4899128A6167}">
      <text>
        <r>
          <rPr>
            <sz val="9"/>
            <color indexed="81"/>
            <rFont val="Tahoma"/>
            <family val="2"/>
          </rPr>
          <t>based on IPCC AR6 WG1 
table 7.SM.8-13</t>
        </r>
      </text>
    </comment>
    <comment ref="E387" authorId="0" shapeId="0" xr:uid="{7E45E550-3328-41AD-9F0A-11E3A9203A5F}">
      <text>
        <r>
          <rPr>
            <sz val="9"/>
            <color indexed="81"/>
            <rFont val="Tahoma"/>
            <family val="2"/>
          </rPr>
          <t xml:space="preserve">Burkholder and Hodnebrog , NOAA, 2022, ANNEX Summary of Abundances, Lifetimes, ODPs, REs, GWPs, and GTP
</t>
        </r>
      </text>
    </comment>
    <comment ref="F387" authorId="0" shapeId="0" xr:uid="{ED197075-1D77-473C-8C8D-372ABCAC1FE7}">
      <text>
        <r>
          <rPr>
            <sz val="9"/>
            <color indexed="81"/>
            <rFont val="Tahoma"/>
            <family val="2"/>
          </rPr>
          <t xml:space="preserve">Similar uncertainty as for methyl bromide is assumed
</t>
        </r>
      </text>
    </comment>
    <comment ref="G387" authorId="0" shapeId="0" xr:uid="{206796D1-B1E1-4109-8765-FBFD38201925}">
      <text>
        <r>
          <rPr>
            <sz val="9"/>
            <color indexed="81"/>
            <rFont val="Tahoma"/>
            <family val="2"/>
          </rPr>
          <t xml:space="preserve">See note on CFC-11
</t>
        </r>
      </text>
    </comment>
    <comment ref="I387" authorId="0" shapeId="0" xr:uid="{962CF416-A1E8-4665-8BEE-3120694C823E}">
      <text>
        <r>
          <rPr>
            <sz val="9"/>
            <color indexed="81"/>
            <rFont val="Tahoma"/>
            <family val="2"/>
          </rPr>
          <t xml:space="preserve">See note on CFC-11
</t>
        </r>
      </text>
    </comment>
    <comment ref="J387" authorId="0" shapeId="0" xr:uid="{9D5D2FA8-CE97-4E48-93FB-0D438D61C29E}">
      <text>
        <r>
          <rPr>
            <sz val="9"/>
            <color indexed="81"/>
            <rFont val="Tahoma"/>
            <family val="2"/>
          </rPr>
          <t xml:space="preserve">See note on CFC-11
</t>
        </r>
      </text>
    </comment>
    <comment ref="A388" authorId="0" shapeId="0" xr:uid="{7DD42EA3-1F48-47EF-87DF-AB6307821746}">
      <text>
        <r>
          <rPr>
            <sz val="9"/>
            <color indexed="81"/>
            <rFont val="Tahoma"/>
            <family val="2"/>
          </rPr>
          <t xml:space="preserve">CBrClF2
</t>
        </r>
      </text>
    </comment>
    <comment ref="C388" authorId="0" shapeId="0" xr:uid="{AF4E94EF-5AEE-44B9-BC2F-1FF91B67B5E0}">
      <text>
        <r>
          <rPr>
            <sz val="9"/>
            <color indexed="81"/>
            <rFont val="Tahoma"/>
            <family val="2"/>
          </rPr>
          <t xml:space="preserve">IPCC, AR6, Table 7, SM7
</t>
        </r>
      </text>
    </comment>
    <comment ref="D388" authorId="0" shapeId="0" xr:uid="{377C431F-D220-4E1E-8992-C158A60A8123}">
      <text>
        <r>
          <rPr>
            <sz val="9"/>
            <color indexed="81"/>
            <rFont val="Tahoma"/>
            <family val="2"/>
          </rPr>
          <t>based on IPCC AR6 WG1 
table 7.SM.8-13</t>
        </r>
      </text>
    </comment>
    <comment ref="E388" authorId="0" shapeId="0" xr:uid="{5834E33B-3E28-4E0C-9F8E-613DD530E342}">
      <text>
        <r>
          <rPr>
            <sz val="9"/>
            <color indexed="81"/>
            <rFont val="Tahoma"/>
            <family val="2"/>
          </rPr>
          <t>WMO 2011
https://www.epa.gov/ozone-layer-protection/ozone-depleting-substances</t>
        </r>
      </text>
    </comment>
    <comment ref="F388" authorId="0" shapeId="0" xr:uid="{5F81F147-5159-49FD-8DEF-23AFDBB3FD5E}">
      <text>
        <r>
          <rPr>
            <sz val="9"/>
            <color indexed="81"/>
            <rFont val="Tahoma"/>
            <family val="2"/>
          </rPr>
          <t xml:space="preserve">ODP was 3 according to the Montreal protocol
</t>
        </r>
      </text>
    </comment>
    <comment ref="G388" authorId="0" shapeId="0" xr:uid="{E1948213-1EA5-4C0D-B6D7-B638FB0B226A}">
      <text>
        <r>
          <rPr>
            <sz val="9"/>
            <color indexed="81"/>
            <rFont val="Tahoma"/>
            <family val="2"/>
          </rPr>
          <t xml:space="preserve">See note on CFC-11
</t>
        </r>
      </text>
    </comment>
    <comment ref="I388" authorId="0" shapeId="0" xr:uid="{7A552874-86F6-41BF-A5A8-9FAE399434F6}">
      <text>
        <r>
          <rPr>
            <sz val="9"/>
            <color indexed="81"/>
            <rFont val="Tahoma"/>
            <family val="2"/>
          </rPr>
          <t xml:space="preserve">See note on CFC-11
</t>
        </r>
      </text>
    </comment>
    <comment ref="J388" authorId="0" shapeId="0" xr:uid="{203EC60B-7B1B-47DE-9D77-36B6D5414995}">
      <text>
        <r>
          <rPr>
            <sz val="9"/>
            <color indexed="81"/>
            <rFont val="Tahoma"/>
            <family val="2"/>
          </rPr>
          <t xml:space="preserve">See note on CFC-11
</t>
        </r>
      </text>
    </comment>
    <comment ref="A389" authorId="0" shapeId="0" xr:uid="{C8750B9A-AD63-4AC9-9C5C-BF7374747C37}">
      <text>
        <r>
          <rPr>
            <sz val="9"/>
            <color indexed="81"/>
            <rFont val="Tahoma"/>
            <family val="2"/>
          </rPr>
          <t xml:space="preserve">CBrF3
</t>
        </r>
      </text>
    </comment>
    <comment ref="C389" authorId="0" shapeId="0" xr:uid="{87703732-DCF6-4423-B72A-6C3D00888B31}">
      <text>
        <r>
          <rPr>
            <sz val="9"/>
            <color indexed="81"/>
            <rFont val="Tahoma"/>
            <family val="2"/>
          </rPr>
          <t xml:space="preserve">IPCC, AR6, Table 7, SM7
</t>
        </r>
      </text>
    </comment>
    <comment ref="D389" authorId="0" shapeId="0" xr:uid="{B68D91CD-DF84-4DE4-BFA6-905B46EF8D2D}">
      <text>
        <r>
          <rPr>
            <sz val="9"/>
            <color indexed="81"/>
            <rFont val="Tahoma"/>
            <family val="2"/>
          </rPr>
          <t>based on IPCC AR6 WG1 
table 7.SM.8-13</t>
        </r>
      </text>
    </comment>
    <comment ref="E389" authorId="0" shapeId="0" xr:uid="{9012A4F9-86D1-4D50-ADF6-52739C6ECC88}">
      <text>
        <r>
          <rPr>
            <sz val="9"/>
            <color indexed="81"/>
            <rFont val="Tahoma"/>
            <family val="2"/>
          </rPr>
          <t>WMO 2011
https://www.epa.gov/ozone-layer-protection/ozone-depleting-substances</t>
        </r>
      </text>
    </comment>
    <comment ref="F389" authorId="0" shapeId="0" xr:uid="{881B6660-49B0-4082-A4E3-BD599DBB34AB}">
      <text>
        <r>
          <rPr>
            <sz val="9"/>
            <color indexed="81"/>
            <rFont val="Tahoma"/>
            <family val="2"/>
          </rPr>
          <t xml:space="preserve">ODP according to the Montreal protocol was 10
</t>
        </r>
      </text>
    </comment>
    <comment ref="G389" authorId="0" shapeId="0" xr:uid="{07B901D4-E1B3-4365-9067-F21840A04249}">
      <text>
        <r>
          <rPr>
            <sz val="9"/>
            <color indexed="81"/>
            <rFont val="Tahoma"/>
            <family val="2"/>
          </rPr>
          <t xml:space="preserve">See note on CFC-11
</t>
        </r>
      </text>
    </comment>
    <comment ref="I389" authorId="0" shapeId="0" xr:uid="{FD491FF8-9386-4183-A808-B5305FB1BAA8}">
      <text>
        <r>
          <rPr>
            <sz val="9"/>
            <color indexed="81"/>
            <rFont val="Tahoma"/>
            <family val="2"/>
          </rPr>
          <t xml:space="preserve">See note on CFC-11
</t>
        </r>
      </text>
    </comment>
    <comment ref="J389" authorId="0" shapeId="0" xr:uid="{7CC93536-CF42-48F7-B235-2521231E0D36}">
      <text>
        <r>
          <rPr>
            <sz val="9"/>
            <color indexed="81"/>
            <rFont val="Tahoma"/>
            <family val="2"/>
          </rPr>
          <t xml:space="preserve">See note on CFC-11
</t>
        </r>
      </text>
    </comment>
    <comment ref="A390" authorId="0" shapeId="0" xr:uid="{3665EFE5-B3D5-412A-AFFA-F5D050641921}">
      <text>
        <r>
          <rPr>
            <sz val="9"/>
            <color indexed="81"/>
            <rFont val="Tahoma"/>
            <family val="2"/>
          </rPr>
          <t xml:space="preserve">CH2BrCF3
</t>
        </r>
      </text>
    </comment>
    <comment ref="C390" authorId="0" shapeId="0" xr:uid="{5AB106CD-8B32-4E55-AB0B-94947DD23677}">
      <text>
        <r>
          <rPr>
            <sz val="9"/>
            <color indexed="81"/>
            <rFont val="Tahoma"/>
            <family val="2"/>
          </rPr>
          <t xml:space="preserve">IPCC, AR6, Table 7, SM7
</t>
        </r>
      </text>
    </comment>
    <comment ref="D390" authorId="0" shapeId="0" xr:uid="{4142504A-FFA8-4445-8D97-F8CCBAF937F5}">
      <text>
        <r>
          <rPr>
            <sz val="9"/>
            <color indexed="81"/>
            <rFont val="Tahoma"/>
            <family val="2"/>
          </rPr>
          <t>based on IPCC AR6 WG1 
table 7.SM.8-13</t>
        </r>
      </text>
    </comment>
    <comment ref="E390" authorId="0" shapeId="0" xr:uid="{08350372-04E4-46BE-A011-143984D8101C}">
      <text>
        <r>
          <rPr>
            <sz val="9"/>
            <color indexed="81"/>
            <rFont val="Tahoma"/>
            <family val="2"/>
          </rPr>
          <t>n.a. in Burkholder and Hodnebrog , NOAA, 2022, ANNEX Summary of Abundances, Lifetimes, ODPs, REs, GWPs, and GTP
But lifetime is given as around three years, so it should not be 0. 1 is assumed until better data are available.</t>
        </r>
      </text>
    </comment>
    <comment ref="F390" authorId="0" shapeId="0" xr:uid="{10F374EC-EE04-4944-B9F1-7BD761297165}">
      <text>
        <r>
          <rPr>
            <sz val="9"/>
            <color indexed="81"/>
            <rFont val="Tahoma"/>
            <family val="2"/>
          </rPr>
          <t xml:space="preserve">Similar uncertainty as for methyl bromide is assumed
</t>
        </r>
      </text>
    </comment>
    <comment ref="G390" authorId="0" shapeId="0" xr:uid="{F524C508-824F-4615-9D9A-99925516AE9E}">
      <text>
        <r>
          <rPr>
            <sz val="9"/>
            <color indexed="81"/>
            <rFont val="Tahoma"/>
            <family val="2"/>
          </rPr>
          <t xml:space="preserve">See note on CFC-11
</t>
        </r>
      </text>
    </comment>
    <comment ref="I390" authorId="0" shapeId="0" xr:uid="{41BB58BA-5150-485E-9B03-5AAA113245A6}">
      <text>
        <r>
          <rPr>
            <sz val="9"/>
            <color indexed="81"/>
            <rFont val="Tahoma"/>
            <family val="2"/>
          </rPr>
          <t xml:space="preserve">See note on CFC-11
</t>
        </r>
      </text>
    </comment>
    <comment ref="J390" authorId="0" shapeId="0" xr:uid="{727D90CE-FDEB-4329-B8E2-A1314FC3A934}">
      <text>
        <r>
          <rPr>
            <sz val="9"/>
            <color indexed="81"/>
            <rFont val="Tahoma"/>
            <family val="2"/>
          </rPr>
          <t xml:space="preserve">See note on CFC-11
</t>
        </r>
      </text>
    </comment>
    <comment ref="A391" authorId="0" shapeId="0" xr:uid="{03BC4B4D-D41F-4701-A936-5341A3D4FBBF}">
      <text>
        <r>
          <rPr>
            <sz val="9"/>
            <color indexed="81"/>
            <rFont val="Tahoma"/>
            <family val="2"/>
          </rPr>
          <t xml:space="preserve">CHBrClCF3
</t>
        </r>
      </text>
    </comment>
    <comment ref="C391" authorId="0" shapeId="0" xr:uid="{DC44CE6A-BA05-4151-A3B9-77076FC95B0F}">
      <text>
        <r>
          <rPr>
            <sz val="9"/>
            <color indexed="81"/>
            <rFont val="Tahoma"/>
            <family val="2"/>
          </rPr>
          <t xml:space="preserve">IPCC, AR6, Table 7, SM7
</t>
        </r>
      </text>
    </comment>
    <comment ref="D391" authorId="0" shapeId="0" xr:uid="{8683ED5B-8FD9-47ED-A454-467FC38D3579}">
      <text>
        <r>
          <rPr>
            <sz val="9"/>
            <color indexed="81"/>
            <rFont val="Tahoma"/>
            <family val="2"/>
          </rPr>
          <t>based on IPCC AR6 WG1 
table 7.SM.8-13</t>
        </r>
      </text>
    </comment>
    <comment ref="E391" authorId="0" shapeId="0" xr:uid="{EF4CAD1E-72A4-40A7-9D9C-406E04BA4EA5}">
      <text>
        <r>
          <rPr>
            <sz val="9"/>
            <color indexed="81"/>
            <rFont val="Tahoma"/>
            <family val="2"/>
          </rPr>
          <t xml:space="preserve">Burkholder and Hodnebrog , NOAA, 2022, ANNEX Summary of Abundances, Lifetimes, ODPs, REs, GWPs, and GTP
</t>
        </r>
      </text>
    </comment>
    <comment ref="F391" authorId="0" shapeId="0" xr:uid="{87C778F5-A8CD-40B9-BCD5-572D1BB9D856}">
      <text>
        <r>
          <rPr>
            <sz val="9"/>
            <color indexed="81"/>
            <rFont val="Tahoma"/>
            <family val="2"/>
          </rPr>
          <t>ODP is given as approximative 1.6 in 
Burkholder and Hodnebrog , NOAA, 2022, ANNEX Summary of Abundances, Lifetimes, ODPs, REs, GWPs, and GTP</t>
        </r>
      </text>
    </comment>
    <comment ref="G391" authorId="0" shapeId="0" xr:uid="{BC2B25E5-29A1-4116-BB41-6B93C1752EB5}">
      <text>
        <r>
          <rPr>
            <sz val="9"/>
            <color indexed="81"/>
            <rFont val="Tahoma"/>
            <family val="2"/>
          </rPr>
          <t xml:space="preserve">See note on CFC-11
</t>
        </r>
      </text>
    </comment>
    <comment ref="I391" authorId="0" shapeId="0" xr:uid="{426EB422-4777-42FA-A189-A6C536C9D92F}">
      <text>
        <r>
          <rPr>
            <sz val="9"/>
            <color indexed="81"/>
            <rFont val="Tahoma"/>
            <family val="2"/>
          </rPr>
          <t xml:space="preserve">See note on CFC-11
</t>
        </r>
      </text>
    </comment>
    <comment ref="J391" authorId="0" shapeId="0" xr:uid="{36BC46ED-D1D1-4BD7-9A1A-93C8B550E415}">
      <text>
        <r>
          <rPr>
            <sz val="9"/>
            <color indexed="81"/>
            <rFont val="Tahoma"/>
            <family val="2"/>
          </rPr>
          <t xml:space="preserve">See note on CFC-11
</t>
        </r>
      </text>
    </comment>
    <comment ref="A392" authorId="0" shapeId="0" xr:uid="{79C8AE57-EF53-4BAA-A6D7-8EA439B30695}">
      <text>
        <r>
          <rPr>
            <sz val="9"/>
            <color indexed="81"/>
            <rFont val="Tahoma"/>
            <family val="2"/>
          </rPr>
          <t xml:space="preserve">CHBrFCF3
</t>
        </r>
      </text>
    </comment>
    <comment ref="C392" authorId="0" shapeId="0" xr:uid="{71FF2A55-218B-42D9-8F3F-34969FD34CDD}">
      <text>
        <r>
          <rPr>
            <sz val="9"/>
            <color indexed="81"/>
            <rFont val="Tahoma"/>
            <family val="2"/>
          </rPr>
          <t xml:space="preserve">IPCC, AR6, Table 7, SM7
</t>
        </r>
      </text>
    </comment>
    <comment ref="D392" authorId="0" shapeId="0" xr:uid="{C0FA4350-01D6-4B80-8E44-26F7A992D423}">
      <text>
        <r>
          <rPr>
            <sz val="9"/>
            <color indexed="81"/>
            <rFont val="Tahoma"/>
            <family val="2"/>
          </rPr>
          <t>based on IPCC AR6 WG1 
table 7.SM.8-13</t>
        </r>
      </text>
    </comment>
    <comment ref="E392" authorId="0" shapeId="0" xr:uid="{B474DBD9-1866-494F-89C6-D2EFE2A630F9}">
      <text>
        <r>
          <rPr>
            <sz val="9"/>
            <color indexed="81"/>
            <rFont val="Tahoma"/>
            <family val="2"/>
          </rPr>
          <t>Burkholder and Hodnebrog , NOAA, 2022, ANNEX Summary of Abundances, Lifetimes, ODPs, REs, GWPs, and GTP
No ODP value is found, but its stratospheric lifetime is given to 28 years, why it should not be set to 0. 2 is assumed.</t>
        </r>
      </text>
    </comment>
    <comment ref="F392" authorId="0" shapeId="0" xr:uid="{E4DCF6B8-995E-4ED8-A7E8-67197851C925}">
      <text>
        <r>
          <rPr>
            <sz val="9"/>
            <color indexed="81"/>
            <rFont val="Tahoma"/>
            <family val="2"/>
          </rPr>
          <t xml:space="preserve">Reflexes a rough assumption of the ODP
</t>
        </r>
      </text>
    </comment>
    <comment ref="G392" authorId="0" shapeId="0" xr:uid="{FDB1A51D-C0FF-4EE6-8CFC-ABBEC570A27E}">
      <text>
        <r>
          <rPr>
            <sz val="9"/>
            <color indexed="81"/>
            <rFont val="Tahoma"/>
            <family val="2"/>
          </rPr>
          <t xml:space="preserve">See note on CFC-11
</t>
        </r>
      </text>
    </comment>
    <comment ref="I392" authorId="0" shapeId="0" xr:uid="{6B8DC621-02A1-42F6-B350-35E68D01768C}">
      <text>
        <r>
          <rPr>
            <sz val="9"/>
            <color indexed="81"/>
            <rFont val="Tahoma"/>
            <family val="2"/>
          </rPr>
          <t xml:space="preserve">See note on CFC-11
</t>
        </r>
      </text>
    </comment>
    <comment ref="J392" authorId="0" shapeId="0" xr:uid="{EEC6B9A8-57EA-49FE-B2A6-1185FBE5BB51}">
      <text>
        <r>
          <rPr>
            <sz val="9"/>
            <color indexed="81"/>
            <rFont val="Tahoma"/>
            <family val="2"/>
          </rPr>
          <t xml:space="preserve">See note on CFC-11
</t>
        </r>
      </text>
    </comment>
    <comment ref="A393" authorId="0" shapeId="0" xr:uid="{AB4D4C43-145B-4FD5-B12C-E0D57E5B0BBD}">
      <text>
        <r>
          <rPr>
            <sz val="9"/>
            <color indexed="81"/>
            <rFont val="Tahoma"/>
            <family val="2"/>
          </rPr>
          <t xml:space="preserve">CBrF2CBrF2
</t>
        </r>
      </text>
    </comment>
    <comment ref="C393" authorId="0" shapeId="0" xr:uid="{160FBE1D-870B-402C-B47D-503D1CD7EE32}">
      <text>
        <r>
          <rPr>
            <sz val="9"/>
            <color indexed="81"/>
            <rFont val="Tahoma"/>
            <family val="2"/>
          </rPr>
          <t xml:space="preserve">IPCC, AR6, Table 7, SM7
</t>
        </r>
      </text>
    </comment>
    <comment ref="D393" authorId="0" shapeId="0" xr:uid="{CC351636-E3AC-4889-8EDB-51E2FA4082E3}">
      <text>
        <r>
          <rPr>
            <sz val="9"/>
            <color indexed="81"/>
            <rFont val="Tahoma"/>
            <family val="2"/>
          </rPr>
          <t>based on IPCC AR6 WG1 
table 7.SM.8-13</t>
        </r>
      </text>
    </comment>
    <comment ref="E393" authorId="0" shapeId="0" xr:uid="{AC97F544-075F-4408-A3D4-2DDC971CB0D8}">
      <text>
        <r>
          <rPr>
            <sz val="9"/>
            <color indexed="81"/>
            <rFont val="Tahoma"/>
            <family val="2"/>
          </rPr>
          <t>WMO 2011
https://www.epa.gov/ozone-layer-protection/ozone-depleting-substances
Burkolder and Hodnebrog reports 15.6 (NOAA 2022)</t>
        </r>
      </text>
    </comment>
    <comment ref="F393" authorId="0" shapeId="0" xr:uid="{61B7928A-5459-4D5E-AD20-B71775C3D68C}">
      <text>
        <r>
          <rPr>
            <sz val="9"/>
            <color indexed="81"/>
            <rFont val="Tahoma"/>
            <family val="2"/>
          </rPr>
          <t xml:space="preserve">ODP was 6 according to the Montreal protocol
</t>
        </r>
      </text>
    </comment>
    <comment ref="G393" authorId="0" shapeId="0" xr:uid="{53EB03FF-9A5D-46BF-82A6-BFBD965FB7E0}">
      <text>
        <r>
          <rPr>
            <sz val="9"/>
            <color indexed="81"/>
            <rFont val="Tahoma"/>
            <family val="2"/>
          </rPr>
          <t xml:space="preserve">See note on CFC-11
</t>
        </r>
      </text>
    </comment>
    <comment ref="I393" authorId="0" shapeId="0" xr:uid="{3C7993F6-A5F3-4401-AEC0-3081A9C573C4}">
      <text>
        <r>
          <rPr>
            <sz val="9"/>
            <color indexed="81"/>
            <rFont val="Tahoma"/>
            <family val="2"/>
          </rPr>
          <t xml:space="preserve">See note on CFC-11
</t>
        </r>
      </text>
    </comment>
    <comment ref="J393" authorId="0" shapeId="0" xr:uid="{ADADA55E-4171-4402-A731-3958E99EE290}">
      <text>
        <r>
          <rPr>
            <sz val="9"/>
            <color indexed="81"/>
            <rFont val="Tahoma"/>
            <family val="2"/>
          </rPr>
          <t xml:space="preserve">See note on CFC-11
</t>
        </r>
      </text>
    </comment>
    <comment ref="A394" authorId="0" shapeId="0" xr:uid="{970DBF23-3AB9-4890-87C0-088D02AF0985}">
      <text>
        <r>
          <rPr>
            <sz val="9"/>
            <color indexed="81"/>
            <rFont val="Tahoma"/>
            <family val="2"/>
          </rPr>
          <t xml:space="preserve">CHBr3
</t>
        </r>
      </text>
    </comment>
    <comment ref="C394" authorId="0" shapeId="0" xr:uid="{9518E977-24F6-41AC-B22E-55749B1BB4BB}">
      <text>
        <r>
          <rPr>
            <sz val="9"/>
            <color indexed="81"/>
            <rFont val="Tahoma"/>
            <family val="2"/>
          </rPr>
          <t xml:space="preserve">IPCC, AR6, Table 7, SM7
</t>
        </r>
      </text>
    </comment>
    <comment ref="D394" authorId="0" shapeId="0" xr:uid="{A1A9608C-3A15-4A98-BDC6-36C51EB1EB7B}">
      <text>
        <r>
          <rPr>
            <sz val="9"/>
            <color indexed="81"/>
            <rFont val="Tahoma"/>
            <family val="2"/>
          </rPr>
          <t>based on IPCC AR6 WG1 
table 7.SM.8-13</t>
        </r>
      </text>
    </comment>
    <comment ref="E394" authorId="0" shapeId="0" xr:uid="{166F4FAE-D3B4-43FC-9E1C-55D05E55246B}">
      <text>
        <r>
          <rPr>
            <sz val="9"/>
            <color indexed="81"/>
            <rFont val="Tahoma"/>
            <family val="2"/>
          </rPr>
          <t>1-5 according to 
Burkholder and Hodnebrog , NOAA, 2022, ANNEX Summary of Abundances, Lifetimes, ODPs, REs, GWPs, and GTP</t>
        </r>
      </text>
    </comment>
    <comment ref="F394" authorId="0" shapeId="0" xr:uid="{71D63AFA-4E09-4962-AD48-F00E6E12D31B}">
      <text>
        <r>
          <rPr>
            <sz val="9"/>
            <color indexed="81"/>
            <rFont val="Tahoma"/>
            <family val="2"/>
          </rPr>
          <t>1-5 according to 
Burkholder and Hodnebrog , NOAA, 2022, ANNEX Summary of Abundances, Lifetimes, ODPs, REs, GWPs, and GTP</t>
        </r>
      </text>
    </comment>
    <comment ref="G394" authorId="0" shapeId="0" xr:uid="{F99705B2-3C20-483E-8D64-B91699E99B74}">
      <text>
        <r>
          <rPr>
            <sz val="9"/>
            <color indexed="81"/>
            <rFont val="Tahoma"/>
            <family val="2"/>
          </rPr>
          <t xml:space="preserve">See note on CFC-11
</t>
        </r>
      </text>
    </comment>
    <comment ref="I394" authorId="0" shapeId="0" xr:uid="{F132EC6C-B18F-4534-9DD4-E64E75077BB7}">
      <text>
        <r>
          <rPr>
            <sz val="9"/>
            <color indexed="81"/>
            <rFont val="Tahoma"/>
            <family val="2"/>
          </rPr>
          <t xml:space="preserve">See note on CFC-11
</t>
        </r>
      </text>
    </comment>
    <comment ref="J394" authorId="0" shapeId="0" xr:uid="{1918C803-FFD1-49C8-8321-E64647143A40}">
      <text>
        <r>
          <rPr>
            <sz val="9"/>
            <color indexed="81"/>
            <rFont val="Tahoma"/>
            <family val="2"/>
          </rPr>
          <t xml:space="preserve">See note on CFC-11
</t>
        </r>
      </text>
    </comment>
    <comment ref="A395" authorId="0" shapeId="0" xr:uid="{5EE5771A-64F8-42A4-B9A4-E14096C95E90}">
      <text>
        <r>
          <rPr>
            <sz val="9"/>
            <color indexed="81"/>
            <rFont val="Tahoma"/>
            <family val="2"/>
          </rPr>
          <t>CH2BrCl
Bromochloromethane</t>
        </r>
      </text>
    </comment>
    <comment ref="C395" authorId="0" shapeId="0" xr:uid="{6FDEF35F-05FF-4827-A284-3E2C331D47F0}">
      <text>
        <r>
          <rPr>
            <sz val="9"/>
            <color indexed="81"/>
            <rFont val="Tahoma"/>
            <family val="2"/>
          </rPr>
          <t xml:space="preserve">IPCC, AR6, Table 7, SM7
</t>
        </r>
      </text>
    </comment>
    <comment ref="D395" authorId="0" shapeId="0" xr:uid="{6711E192-7420-4545-82FC-FD895F4B512C}">
      <text>
        <r>
          <rPr>
            <sz val="9"/>
            <color indexed="81"/>
            <rFont val="Tahoma"/>
            <family val="2"/>
          </rPr>
          <t>based on IPCC AR6 WG1 
table 7.SM.8-13</t>
        </r>
      </text>
    </comment>
    <comment ref="E395" authorId="0" shapeId="0" xr:uid="{7FFF3115-BFC5-4E2A-AB58-B19CB4AF8699}">
      <text>
        <r>
          <rPr>
            <sz val="9"/>
            <color indexed="81"/>
            <rFont val="Tahoma"/>
            <family val="2"/>
          </rPr>
          <t>Atmospheric lifetime is about 165 days, but no ODP is given by Burkholder and Hodnebrog , NOAA, 2022, ANNEX Summary of Abundances, Lifetimes, ODPs, REs, GWPs, and GTP. ODP should be low, but not neglectable. Somewhere in the range 0.1 to 10 is assumed</t>
        </r>
      </text>
    </comment>
    <comment ref="F395" authorId="0" shapeId="0" xr:uid="{53101854-CAFD-429F-A149-1645434CBF50}">
      <text>
        <r>
          <rPr>
            <sz val="9"/>
            <color indexed="81"/>
            <rFont val="Tahoma"/>
            <family val="2"/>
          </rPr>
          <t xml:space="preserve">Reflexes a rough assumption of the ODP
</t>
        </r>
      </text>
    </comment>
    <comment ref="G395" authorId="0" shapeId="0" xr:uid="{CD78D85D-7D6D-49B3-A55A-7604DD58B479}">
      <text>
        <r>
          <rPr>
            <sz val="9"/>
            <color indexed="81"/>
            <rFont val="Tahoma"/>
            <family val="2"/>
          </rPr>
          <t xml:space="preserve">See note on CFC-11
</t>
        </r>
      </text>
    </comment>
    <comment ref="I395" authorId="0" shapeId="0" xr:uid="{106FB1C9-8FA3-4290-82B0-CB0BC5B3A4AA}">
      <text>
        <r>
          <rPr>
            <sz val="9"/>
            <color indexed="81"/>
            <rFont val="Tahoma"/>
            <family val="2"/>
          </rPr>
          <t xml:space="preserve">See note on CFC-11
</t>
        </r>
      </text>
    </comment>
    <comment ref="J395" authorId="0" shapeId="0" xr:uid="{408BD2E6-FFA6-4230-84A5-2A7FD3B0AF60}">
      <text>
        <r>
          <rPr>
            <sz val="9"/>
            <color indexed="81"/>
            <rFont val="Tahoma"/>
            <family val="2"/>
          </rPr>
          <t xml:space="preserve">See note on CFC-11
</t>
        </r>
      </text>
    </comment>
    <comment ref="A396" authorId="0" shapeId="0" xr:uid="{2CFAAE15-B49D-49E3-9CD0-47AD05741E4C}">
      <text>
        <r>
          <rPr>
            <sz val="9"/>
            <color indexed="81"/>
            <rFont val="Tahoma"/>
            <family val="2"/>
          </rPr>
          <t xml:space="preserve">CH3CH2Br
</t>
        </r>
      </text>
    </comment>
    <comment ref="C396" authorId="0" shapeId="0" xr:uid="{89B5E34C-F899-4D7C-8E73-EE153A152093}">
      <text>
        <r>
          <rPr>
            <sz val="9"/>
            <color indexed="81"/>
            <rFont val="Tahoma"/>
            <family val="2"/>
          </rPr>
          <t xml:space="preserve">IPCC, AR6, Table 7, SM7
</t>
        </r>
      </text>
    </comment>
    <comment ref="D396" authorId="0" shapeId="0" xr:uid="{9F1C602F-C71B-44D3-BD09-31702466BBB7}">
      <text>
        <r>
          <rPr>
            <sz val="9"/>
            <color indexed="81"/>
            <rFont val="Tahoma"/>
            <family val="2"/>
          </rPr>
          <t>based on IPCC AR6 WG1 
table 7.SM.8-13</t>
        </r>
      </text>
    </comment>
    <comment ref="E396" authorId="0" shapeId="0" xr:uid="{E32D080E-8A5F-4CD8-9B8D-7131A3C8AE4A}">
      <text>
        <r>
          <rPr>
            <sz val="9"/>
            <color indexed="81"/>
            <rFont val="Tahoma"/>
            <family val="2"/>
          </rPr>
          <t>&lt; 0.46 according to 
Burkholder and Hodnebrog , NOAA, 2022, ANNEX Summary of Abundances, Lifetimes, ODPs, REs, GWPs, and GTP</t>
        </r>
      </text>
    </comment>
    <comment ref="F396" authorId="0" shapeId="0" xr:uid="{E98A3CE6-5BB6-4B6C-A7B5-33ABCAA8848D}">
      <text>
        <r>
          <rPr>
            <sz val="9"/>
            <color indexed="81"/>
            <rFont val="Tahoma"/>
            <family val="2"/>
          </rPr>
          <t>&lt; 0.46 according to 
Burkholder and Hodnebrog , NOAA, 2022, ANNEX Summary of Abundances, Lifetimes, ODPs, REs, GWPs, and GTP</t>
        </r>
      </text>
    </comment>
    <comment ref="G396" authorId="0" shapeId="0" xr:uid="{62F08F7F-A5FA-430E-9C6B-FAF79E493C75}">
      <text>
        <r>
          <rPr>
            <sz val="9"/>
            <color indexed="81"/>
            <rFont val="Tahoma"/>
            <family val="2"/>
          </rPr>
          <t xml:space="preserve">See note on CFC-11
</t>
        </r>
      </text>
    </comment>
    <comment ref="I396" authorId="0" shapeId="0" xr:uid="{7B05C430-525E-46A8-BBA7-AF845C47BDF9}">
      <text>
        <r>
          <rPr>
            <sz val="9"/>
            <color indexed="81"/>
            <rFont val="Tahoma"/>
            <family val="2"/>
          </rPr>
          <t xml:space="preserve">See note on CFC-11
</t>
        </r>
      </text>
    </comment>
    <comment ref="J396" authorId="0" shapeId="0" xr:uid="{342A552F-C016-4C6E-96F3-2BD773995762}">
      <text>
        <r>
          <rPr>
            <sz val="9"/>
            <color indexed="81"/>
            <rFont val="Tahoma"/>
            <family val="2"/>
          </rPr>
          <t xml:space="preserve">See note on CFC-11
</t>
        </r>
      </text>
    </comment>
    <comment ref="A397" authorId="0" shapeId="0" xr:uid="{4847D622-B4C0-4A9F-B577-360081F874AF}">
      <text>
        <r>
          <rPr>
            <sz val="9"/>
            <color indexed="81"/>
            <rFont val="Tahoma"/>
            <family val="2"/>
          </rPr>
          <t xml:space="preserve">CH2BrCH2Br
</t>
        </r>
      </text>
    </comment>
    <comment ref="C397" authorId="0" shapeId="0" xr:uid="{DDAF1741-2C94-4FA1-BC2B-234F152BCAD8}">
      <text>
        <r>
          <rPr>
            <sz val="9"/>
            <color indexed="81"/>
            <rFont val="Tahoma"/>
            <family val="2"/>
          </rPr>
          <t xml:space="preserve">IPCC, AR6, Table 7, SM7
</t>
        </r>
      </text>
    </comment>
    <comment ref="D397" authorId="0" shapeId="0" xr:uid="{E6C858AD-0E3F-403B-884E-887F61D5E3DE}">
      <text>
        <r>
          <rPr>
            <sz val="9"/>
            <color indexed="81"/>
            <rFont val="Tahoma"/>
            <family val="2"/>
          </rPr>
          <t>based on IPCC AR6 WG1 
table 7.SM.8-13</t>
        </r>
      </text>
    </comment>
    <comment ref="E397" authorId="0" shapeId="0" xr:uid="{7864DCB6-D36C-498E-9797-7D8AB0D3F74C}">
      <text>
        <r>
          <rPr>
            <sz val="9"/>
            <color indexed="81"/>
            <rFont val="Tahoma"/>
            <family val="2"/>
          </rPr>
          <t>n.a. in Burkholder and Hodnebrog , NOAA, 2022, ANNEX Summary of Abundances, Lifetimes, ODPs, REs, GWPs, and GTP
But lifetime is given as 89 days, so it should not be 0, but very low. 0.1 is assumed</t>
        </r>
      </text>
    </comment>
    <comment ref="F397" authorId="0" shapeId="0" xr:uid="{78F328EA-CC1F-4A03-A61C-6757568C1390}">
      <text>
        <r>
          <rPr>
            <sz val="9"/>
            <color indexed="81"/>
            <rFont val="Tahoma"/>
            <family val="2"/>
          </rPr>
          <t xml:space="preserve">Reflexes a rough assumption of the ODP
</t>
        </r>
      </text>
    </comment>
    <comment ref="G397" authorId="0" shapeId="0" xr:uid="{8A058D25-C5C1-475A-AB68-20CF8F5E84C0}">
      <text>
        <r>
          <rPr>
            <sz val="9"/>
            <color indexed="81"/>
            <rFont val="Tahoma"/>
            <family val="2"/>
          </rPr>
          <t xml:space="preserve">See note on CFC-11
</t>
        </r>
      </text>
    </comment>
    <comment ref="I397" authorId="0" shapeId="0" xr:uid="{51CA17E9-D5A0-4822-B74F-9051E06A28AB}">
      <text>
        <r>
          <rPr>
            <sz val="9"/>
            <color indexed="81"/>
            <rFont val="Tahoma"/>
            <family val="2"/>
          </rPr>
          <t xml:space="preserve">See note on CFC-11
</t>
        </r>
      </text>
    </comment>
    <comment ref="J397" authorId="0" shapeId="0" xr:uid="{13129B1A-6554-4DDB-B2E5-6CEF3FBF3BAB}">
      <text>
        <r>
          <rPr>
            <sz val="9"/>
            <color indexed="81"/>
            <rFont val="Tahoma"/>
            <family val="2"/>
          </rPr>
          <t xml:space="preserve">See note on CFC-11
</t>
        </r>
      </text>
    </comment>
    <comment ref="A398" authorId="0" shapeId="0" xr:uid="{EDECF7A2-6555-475A-9C7D-6E4E5618247D}">
      <text>
        <r>
          <rPr>
            <sz val="9"/>
            <color indexed="81"/>
            <rFont val="Tahoma"/>
            <family val="2"/>
          </rPr>
          <t xml:space="preserve">CH3CH2CH2Br
</t>
        </r>
      </text>
    </comment>
    <comment ref="C398" authorId="0" shapeId="0" xr:uid="{6BFF07F5-E52D-4B83-BA86-755A1095F7F5}">
      <text>
        <r>
          <rPr>
            <sz val="9"/>
            <color indexed="81"/>
            <rFont val="Tahoma"/>
            <family val="2"/>
          </rPr>
          <t xml:space="preserve">IPCC, AR6, Table 7, SM7
</t>
        </r>
      </text>
    </comment>
    <comment ref="D398" authorId="0" shapeId="0" xr:uid="{F0F7455C-505B-4D7C-A6F9-D3CFB58AC7F5}">
      <text>
        <r>
          <rPr>
            <sz val="9"/>
            <color indexed="81"/>
            <rFont val="Tahoma"/>
            <family val="2"/>
          </rPr>
          <t>based on IPCC AR6 WG1 
table 7.SM.8-13</t>
        </r>
      </text>
    </comment>
    <comment ref="E398" authorId="0" shapeId="0" xr:uid="{23943F0D-EEE5-414A-8E71-0138B4D62269}">
      <text>
        <r>
          <rPr>
            <sz val="9"/>
            <color indexed="81"/>
            <rFont val="Tahoma"/>
            <family val="2"/>
          </rPr>
          <t>&lt; 0.17 according to 
Burkholder and Hodnebrog , NOAA, 2022, ANNEX Summary of Abundances, Lifetimes, ODPs, REs, GWPs, and GTP</t>
        </r>
      </text>
    </comment>
    <comment ref="F398" authorId="0" shapeId="0" xr:uid="{AD524602-4128-457F-BBBE-A9AFD60046E9}">
      <text>
        <r>
          <rPr>
            <sz val="9"/>
            <color indexed="81"/>
            <rFont val="Tahoma"/>
            <family val="2"/>
          </rPr>
          <t>&lt; 0.17 according to 
Burkholder and Hodnebrog , NOAA, 2022, ANNEX Summary of Abundances, Lifetimes, ODPs, REs, GWPs, and GTP</t>
        </r>
      </text>
    </comment>
    <comment ref="G398" authorId="0" shapeId="0" xr:uid="{AD25E03E-891F-44E5-ACB5-DA0CBB92AC49}">
      <text>
        <r>
          <rPr>
            <sz val="9"/>
            <color indexed="81"/>
            <rFont val="Tahoma"/>
            <family val="2"/>
          </rPr>
          <t xml:space="preserve">See note on CFC-11
</t>
        </r>
      </text>
    </comment>
    <comment ref="I398" authorId="0" shapeId="0" xr:uid="{F4C52E7E-B354-4CAE-A505-5228F5214F58}">
      <text>
        <r>
          <rPr>
            <sz val="9"/>
            <color indexed="81"/>
            <rFont val="Tahoma"/>
            <family val="2"/>
          </rPr>
          <t xml:space="preserve">See note on CFC-11
</t>
        </r>
      </text>
    </comment>
    <comment ref="J398" authorId="0" shapeId="0" xr:uid="{25C6A9F5-424F-4F98-97BD-AB2C8B29EE9B}">
      <text>
        <r>
          <rPr>
            <sz val="9"/>
            <color indexed="81"/>
            <rFont val="Tahoma"/>
            <family val="2"/>
          </rPr>
          <t xml:space="preserve">See note on CFC-11
</t>
        </r>
      </text>
    </comment>
    <comment ref="A399" authorId="0" shapeId="0" xr:uid="{EB128562-B125-4162-AAA7-6D490FDA55D1}">
      <text>
        <r>
          <rPr>
            <sz val="9"/>
            <color indexed="81"/>
            <rFont val="Tahoma"/>
            <family val="2"/>
          </rPr>
          <t xml:space="preserve">CH3CHBrCH3
</t>
        </r>
      </text>
    </comment>
    <comment ref="C399" authorId="0" shapeId="0" xr:uid="{AACABB92-3FB4-4962-B5C9-ECD9EC5D38F3}">
      <text>
        <r>
          <rPr>
            <sz val="9"/>
            <color indexed="81"/>
            <rFont val="Tahoma"/>
            <family val="2"/>
          </rPr>
          <t xml:space="preserve">IPCC, AR6, Table 7, SM7
</t>
        </r>
      </text>
    </comment>
    <comment ref="D399" authorId="0" shapeId="0" xr:uid="{BA03528F-3CF2-4ECE-AFB5-C5EDF8022870}">
      <text>
        <r>
          <rPr>
            <sz val="9"/>
            <color indexed="81"/>
            <rFont val="Tahoma"/>
            <family val="2"/>
          </rPr>
          <t>based on IPCC AR6 WG1 
table 7.SM.8-13</t>
        </r>
      </text>
    </comment>
    <comment ref="E399" authorId="0" shapeId="0" xr:uid="{2118BC96-7BB3-44C8-BC62-D9D1AD76EDD0}">
      <text>
        <r>
          <rPr>
            <sz val="9"/>
            <color indexed="81"/>
            <rFont val="Tahoma"/>
            <family val="2"/>
          </rPr>
          <t>assued to be the same as 1-bromopropande. It has a similar lifetime according to Burkholder and Hodnebrog , NOAA, 2022, ANNEX Summary of Abundances, Lifetimes, ODPs, REs, GWPs, and GTP</t>
        </r>
      </text>
    </comment>
    <comment ref="F399" authorId="0" shapeId="0" xr:uid="{520144BA-3B1E-4708-AED3-097F5C2479F9}">
      <text>
        <r>
          <rPr>
            <sz val="9"/>
            <color indexed="81"/>
            <rFont val="Tahoma"/>
            <family val="2"/>
          </rPr>
          <t xml:space="preserve">Similar to 1-bromopropane
</t>
        </r>
      </text>
    </comment>
    <comment ref="G399" authorId="0" shapeId="0" xr:uid="{136CC81C-4254-4AF1-B78C-167F6FF182CE}">
      <text>
        <r>
          <rPr>
            <sz val="9"/>
            <color indexed="81"/>
            <rFont val="Tahoma"/>
            <family val="2"/>
          </rPr>
          <t xml:space="preserve">See note on CFC-11
</t>
        </r>
      </text>
    </comment>
    <comment ref="I399" authorId="0" shapeId="0" xr:uid="{C709B19F-E975-4F85-AF6A-CD5B7D5BE147}">
      <text>
        <r>
          <rPr>
            <sz val="9"/>
            <color indexed="81"/>
            <rFont val="Tahoma"/>
            <family val="2"/>
          </rPr>
          <t xml:space="preserve">See note on CFC-11
</t>
        </r>
      </text>
    </comment>
    <comment ref="J399" authorId="0" shapeId="0" xr:uid="{6986C681-9B77-4877-8A29-0E05CFD7A27F}">
      <text>
        <r>
          <rPr>
            <sz val="9"/>
            <color indexed="81"/>
            <rFont val="Tahoma"/>
            <family val="2"/>
          </rPr>
          <t xml:space="preserve">See note on CFC-11
</t>
        </r>
      </text>
    </comment>
    <comment ref="E400" authorId="0" shapeId="0" xr:uid="{6077B1C1-1A01-430E-9FD3-D9DB716B2F4D}">
      <text>
        <r>
          <rPr>
            <sz val="9"/>
            <color indexed="81"/>
            <rFont val="Tahoma"/>
            <family val="2"/>
          </rPr>
          <t>No fully florinated species is known to have an ODP in 
 Burkholder and Hodnebrog , NOAA, 2022, ANNEX Summary of Abundances, Lifetimes, ODPs, REs, GWPs, and GTP</t>
        </r>
      </text>
    </comment>
    <comment ref="A401" authorId="0" shapeId="0" xr:uid="{E6F4C699-6C79-4422-8CD9-B0CE8B014915}">
      <text>
        <r>
          <rPr>
            <sz val="9"/>
            <color indexed="81"/>
            <rFont val="Tahoma"/>
            <family val="2"/>
          </rPr>
          <t xml:space="preserve">NF3
</t>
        </r>
      </text>
    </comment>
    <comment ref="C401" authorId="0" shapeId="0" xr:uid="{7AFE4CC6-CC34-4F5A-BB50-BA5861AA31A3}">
      <text>
        <r>
          <rPr>
            <sz val="9"/>
            <color indexed="81"/>
            <rFont val="Tahoma"/>
            <family val="2"/>
          </rPr>
          <t xml:space="preserve">IPCC, AR6, Table 7, SM7
</t>
        </r>
      </text>
    </comment>
    <comment ref="D401" authorId="0" shapeId="0" xr:uid="{44267FFF-F12C-4994-9A45-3141445C0FB4}">
      <text>
        <r>
          <rPr>
            <sz val="9"/>
            <color indexed="81"/>
            <rFont val="Tahoma"/>
            <family val="2"/>
          </rPr>
          <t>based on IPCC AR6 WG1 
table 7.SM.8-13</t>
        </r>
      </text>
    </comment>
    <comment ref="E401" authorId="0" shapeId="0" xr:uid="{9CC73BF1-698B-4B96-BF8E-A2A1E3FC0EAA}">
      <text>
        <r>
          <rPr>
            <sz val="9"/>
            <color indexed="81"/>
            <rFont val="Tahoma"/>
            <family val="2"/>
          </rPr>
          <t xml:space="preserve">Burkholder and Hodnebrog , NOAA, 2022, ANNEX Summary of Abundances, Lifetimes, ODPs, REs, GWPs, and GTP
</t>
        </r>
      </text>
    </comment>
    <comment ref="G401" authorId="0" shapeId="0" xr:uid="{A0836F62-17A8-4CA3-A225-2198E0F5A21C}">
      <text>
        <r>
          <rPr>
            <sz val="9"/>
            <color indexed="81"/>
            <rFont val="Tahoma"/>
            <family val="2"/>
          </rPr>
          <t xml:space="preserve">See note on CFC-11
</t>
        </r>
      </text>
    </comment>
    <comment ref="I401" authorId="0" shapeId="0" xr:uid="{0A7ABB9D-6B6A-4CE0-B127-5E12F322D2C1}">
      <text>
        <r>
          <rPr>
            <sz val="9"/>
            <color indexed="81"/>
            <rFont val="Tahoma"/>
            <family val="2"/>
          </rPr>
          <t xml:space="preserve">See note on CFC-11
</t>
        </r>
      </text>
    </comment>
    <comment ref="J401" authorId="0" shapeId="0" xr:uid="{DCA31426-1954-46AC-BB33-CC2380E49D1A}">
      <text>
        <r>
          <rPr>
            <sz val="9"/>
            <color indexed="81"/>
            <rFont val="Tahoma"/>
            <family val="2"/>
          </rPr>
          <t xml:space="preserve">See note on CFC-11
</t>
        </r>
      </text>
    </comment>
    <comment ref="A402" authorId="0" shapeId="0" xr:uid="{2BCB428A-D431-472A-B3B7-B640A607F29B}">
      <text>
        <r>
          <rPr>
            <sz val="9"/>
            <color indexed="81"/>
            <rFont val="Tahoma"/>
            <family val="2"/>
          </rPr>
          <t xml:space="preserve">N(C2F5)3
</t>
        </r>
      </text>
    </comment>
    <comment ref="C402" authorId="0" shapeId="0" xr:uid="{6CDE442C-2908-42C3-BB2F-6B84A9B42C95}">
      <text>
        <r>
          <rPr>
            <sz val="9"/>
            <color indexed="81"/>
            <rFont val="Tahoma"/>
            <family val="2"/>
          </rPr>
          <t xml:space="preserve">IPCC, AR6, Table 7, SM7
</t>
        </r>
      </text>
    </comment>
    <comment ref="D402" authorId="0" shapeId="0" xr:uid="{1C9D1B60-C0AB-4C5D-BA71-2AC6B65653F3}">
      <text>
        <r>
          <rPr>
            <sz val="9"/>
            <color indexed="81"/>
            <rFont val="Tahoma"/>
            <family val="2"/>
          </rPr>
          <t>based on IPCC AR6 WG1 
table 7.SM.8-13</t>
        </r>
      </text>
    </comment>
    <comment ref="E402" authorId="0" shapeId="0" xr:uid="{33CE5A40-EB0E-4334-8026-A374665ABC36}">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02" authorId="0" shapeId="0" xr:uid="{176A7588-7870-493E-B036-45238034BB4E}">
      <text>
        <r>
          <rPr>
            <sz val="9"/>
            <color indexed="81"/>
            <rFont val="Tahoma"/>
            <family val="2"/>
          </rPr>
          <t xml:space="preserve">See note on CFC-11
</t>
        </r>
      </text>
    </comment>
    <comment ref="I402" authorId="0" shapeId="0" xr:uid="{0023811F-9237-4371-895C-B672FA3DFFDD}">
      <text>
        <r>
          <rPr>
            <sz val="9"/>
            <color indexed="81"/>
            <rFont val="Tahoma"/>
            <family val="2"/>
          </rPr>
          <t xml:space="preserve">See note on CFC-11
</t>
        </r>
      </text>
    </comment>
    <comment ref="J402" authorId="0" shapeId="0" xr:uid="{970D41C5-9428-400C-85C5-B0B402B1BFD8}">
      <text>
        <r>
          <rPr>
            <sz val="9"/>
            <color indexed="81"/>
            <rFont val="Tahoma"/>
            <family val="2"/>
          </rPr>
          <t xml:space="preserve">See note on CFC-11
</t>
        </r>
      </text>
    </comment>
    <comment ref="A403" authorId="0" shapeId="0" xr:uid="{725852CE-9E00-4FE1-911C-D5F3054B0950}">
      <text>
        <r>
          <rPr>
            <sz val="9"/>
            <color indexed="81"/>
            <rFont val="Tahoma"/>
            <family val="2"/>
          </rPr>
          <t xml:space="preserve">N(CF2CF2CF3)3
</t>
        </r>
      </text>
    </comment>
    <comment ref="C403" authorId="0" shapeId="0" xr:uid="{D1F7F3B0-4EF8-4AD6-A031-AD08B278D640}">
      <text>
        <r>
          <rPr>
            <sz val="9"/>
            <color indexed="81"/>
            <rFont val="Tahoma"/>
            <family val="2"/>
          </rPr>
          <t xml:space="preserve">IPCC, AR6, Table 7, SM7
</t>
        </r>
      </text>
    </comment>
    <comment ref="D403" authorId="0" shapeId="0" xr:uid="{5A244DEC-E194-4BB1-9F35-B83114F47E62}">
      <text>
        <r>
          <rPr>
            <sz val="9"/>
            <color indexed="81"/>
            <rFont val="Tahoma"/>
            <family val="2"/>
          </rPr>
          <t>based on IPCC AR6 WG1 
table 7.SM.8-13</t>
        </r>
      </text>
    </comment>
    <comment ref="E403" authorId="0" shapeId="0" xr:uid="{201DCDFC-03F2-4907-96DF-E3D8FCD3B81F}">
      <text>
        <r>
          <rPr>
            <sz val="9"/>
            <color indexed="81"/>
            <rFont val="Tahoma"/>
            <family val="2"/>
          </rPr>
          <t xml:space="preserve">Burkholder and Hodnebrog , NOAA, 2022, ANNEX Summary of Abundances, Lifetimes, ODPs, REs, GWPs, and GTP
</t>
        </r>
      </text>
    </comment>
    <comment ref="G403" authorId="0" shapeId="0" xr:uid="{C6DAC2AE-B927-4772-88D9-CC3DCB6A7F36}">
      <text>
        <r>
          <rPr>
            <sz val="9"/>
            <color indexed="81"/>
            <rFont val="Tahoma"/>
            <family val="2"/>
          </rPr>
          <t xml:space="preserve">See note on CFC-11
</t>
        </r>
      </text>
    </comment>
    <comment ref="I403" authorId="0" shapeId="0" xr:uid="{C459F893-C591-4A70-81B2-53466D3D211B}">
      <text>
        <r>
          <rPr>
            <sz val="9"/>
            <color indexed="81"/>
            <rFont val="Tahoma"/>
            <family val="2"/>
          </rPr>
          <t xml:space="preserve">See note on CFC-11
</t>
        </r>
      </text>
    </comment>
    <comment ref="J403" authorId="0" shapeId="0" xr:uid="{D63D16C0-A6DA-43CE-8820-4D8816CAF357}">
      <text>
        <r>
          <rPr>
            <sz val="9"/>
            <color indexed="81"/>
            <rFont val="Tahoma"/>
            <family val="2"/>
          </rPr>
          <t xml:space="preserve">See note on CFC-11
</t>
        </r>
      </text>
    </comment>
    <comment ref="A404" authorId="0" shapeId="0" xr:uid="{29806CDB-86E0-49E6-A52E-3A03BF1558C9}">
      <text>
        <r>
          <rPr>
            <sz val="9"/>
            <color indexed="81"/>
            <rFont val="Tahoma"/>
            <family val="2"/>
          </rPr>
          <t xml:space="preserve">N(CF2CF2CF2CF3)3
</t>
        </r>
      </text>
    </comment>
    <comment ref="C404" authorId="0" shapeId="0" xr:uid="{5272EF5F-A4C6-4EBC-9DB9-D85BFEB0FD23}">
      <text>
        <r>
          <rPr>
            <sz val="9"/>
            <color indexed="81"/>
            <rFont val="Tahoma"/>
            <family val="2"/>
          </rPr>
          <t xml:space="preserve">IPCC, AR6, Table 7, SM7
</t>
        </r>
      </text>
    </comment>
    <comment ref="D404" authorId="0" shapeId="0" xr:uid="{A3F46252-1E2D-46C9-99A4-3FF1101D51CE}">
      <text>
        <r>
          <rPr>
            <sz val="9"/>
            <color indexed="81"/>
            <rFont val="Tahoma"/>
            <family val="2"/>
          </rPr>
          <t>based on IPCC AR6 WG1 
table 7.SM.8-13</t>
        </r>
      </text>
    </comment>
    <comment ref="E404" authorId="0" shapeId="0" xr:uid="{09A7845D-EB1D-4C24-85E0-E0010976F151}">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04" authorId="0" shapeId="0" xr:uid="{EAE89F81-134C-4173-8E27-717318CE9883}">
      <text>
        <r>
          <rPr>
            <sz val="9"/>
            <color indexed="81"/>
            <rFont val="Tahoma"/>
            <family val="2"/>
          </rPr>
          <t xml:space="preserve">See note on CFC-11
</t>
        </r>
      </text>
    </comment>
    <comment ref="I404" authorId="0" shapeId="0" xr:uid="{A0AF4D21-730B-4BAA-A40A-B7ADC1CAE81A}">
      <text>
        <r>
          <rPr>
            <sz val="9"/>
            <color indexed="81"/>
            <rFont val="Tahoma"/>
            <family val="2"/>
          </rPr>
          <t xml:space="preserve">See note on CFC-11
</t>
        </r>
      </text>
    </comment>
    <comment ref="J404" authorId="0" shapeId="0" xr:uid="{9F087EBB-CE28-4846-B4DA-B79D55C31CF4}">
      <text>
        <r>
          <rPr>
            <sz val="9"/>
            <color indexed="81"/>
            <rFont val="Tahoma"/>
            <family val="2"/>
          </rPr>
          <t xml:space="preserve">See note on CFC-11
</t>
        </r>
      </text>
    </comment>
    <comment ref="A405" authorId="0" shapeId="0" xr:uid="{BBBC5A7E-6670-48A6-92A0-5E012E4364B2}">
      <text>
        <r>
          <rPr>
            <sz val="9"/>
            <color indexed="81"/>
            <rFont val="Tahoma"/>
            <family val="2"/>
          </rPr>
          <t>N(CF2CF2CF2CF2CF3)3</t>
        </r>
      </text>
    </comment>
    <comment ref="C405" authorId="0" shapeId="0" xr:uid="{E3771C3A-0002-487A-A59C-D53773D621E6}">
      <text>
        <r>
          <rPr>
            <sz val="9"/>
            <color indexed="81"/>
            <rFont val="Tahoma"/>
            <family val="2"/>
          </rPr>
          <t xml:space="preserve">IPCC, AR6, Table 7, SM7
</t>
        </r>
      </text>
    </comment>
    <comment ref="D405" authorId="0" shapeId="0" xr:uid="{AF464130-BC08-4232-A31C-3608F232CED8}">
      <text>
        <r>
          <rPr>
            <sz val="9"/>
            <color indexed="81"/>
            <rFont val="Tahoma"/>
            <family val="2"/>
          </rPr>
          <t>based on IPCC AR6 WG1 
table 7.SM.8-13</t>
        </r>
      </text>
    </comment>
    <comment ref="E405" authorId="0" shapeId="0" xr:uid="{115F7A5F-340D-4C43-952A-A2B3DBC6E217}">
      <text>
        <r>
          <rPr>
            <sz val="9"/>
            <color indexed="81"/>
            <rFont val="Tahoma"/>
            <family val="2"/>
          </rPr>
          <t xml:space="preserve">Burkholder and Hodnebrog , NOAA, 2022, ANNEX Summary of Abundances, Lifetimes, ODPs, REs, GWPs, and GTP
</t>
        </r>
      </text>
    </comment>
    <comment ref="G405" authorId="0" shapeId="0" xr:uid="{8BDB552B-541A-4BFD-88DA-FEFC20636711}">
      <text>
        <r>
          <rPr>
            <sz val="9"/>
            <color indexed="81"/>
            <rFont val="Tahoma"/>
            <family val="2"/>
          </rPr>
          <t xml:space="preserve">See note on CFC-11
</t>
        </r>
      </text>
    </comment>
    <comment ref="I405" authorId="0" shapeId="0" xr:uid="{8B95FD46-34AB-43D7-BDFA-DC8499B4482C}">
      <text>
        <r>
          <rPr>
            <sz val="9"/>
            <color indexed="81"/>
            <rFont val="Tahoma"/>
            <family val="2"/>
          </rPr>
          <t xml:space="preserve">See note on CFC-11
</t>
        </r>
      </text>
    </comment>
    <comment ref="J405" authorId="0" shapeId="0" xr:uid="{A49FE58C-8975-46F9-9F72-1E04FDC7C900}">
      <text>
        <r>
          <rPr>
            <sz val="9"/>
            <color indexed="81"/>
            <rFont val="Tahoma"/>
            <family val="2"/>
          </rPr>
          <t xml:space="preserve">See note on CFC-11
</t>
        </r>
      </text>
    </comment>
    <comment ref="A406" authorId="0" shapeId="0" xr:uid="{78F86A0B-0B9B-4F4C-9E47-B782BD9846A0}">
      <text>
        <r>
          <rPr>
            <sz val="9"/>
            <color indexed="81"/>
            <rFont val="Tahoma"/>
            <family val="2"/>
          </rPr>
          <t>(CF3)2CFCN</t>
        </r>
      </text>
    </comment>
    <comment ref="C406" authorId="0" shapeId="0" xr:uid="{B3AB567F-5AD5-42D3-B5AE-87794DC5E167}">
      <text>
        <r>
          <rPr>
            <sz val="9"/>
            <color indexed="81"/>
            <rFont val="Tahoma"/>
            <family val="2"/>
          </rPr>
          <t xml:space="preserve">IPCC, AR6, Table 7, SM7
</t>
        </r>
      </text>
    </comment>
    <comment ref="D406" authorId="0" shapeId="0" xr:uid="{5E55DCDA-2979-4B05-8B52-B039FAE2DFD0}">
      <text>
        <r>
          <rPr>
            <sz val="9"/>
            <color indexed="81"/>
            <rFont val="Tahoma"/>
            <family val="2"/>
          </rPr>
          <t>based on IPCC AR6 WG1 
table 7.SM.8-13</t>
        </r>
      </text>
    </comment>
    <comment ref="E406" authorId="0" shapeId="0" xr:uid="{C218A055-DF7A-414B-8F5A-F4604F3C9FD1}">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06" authorId="0" shapeId="0" xr:uid="{5A6FDD33-749A-4868-816A-DC52320F25A4}">
      <text>
        <r>
          <rPr>
            <sz val="9"/>
            <color indexed="81"/>
            <rFont val="Tahoma"/>
            <family val="2"/>
          </rPr>
          <t xml:space="preserve">See note on CFC-11
</t>
        </r>
      </text>
    </comment>
    <comment ref="I406" authorId="0" shapeId="0" xr:uid="{6DFCA9AF-DFAF-4EB0-85E1-DF6881D29AEF}">
      <text>
        <r>
          <rPr>
            <sz val="9"/>
            <color indexed="81"/>
            <rFont val="Tahoma"/>
            <family val="2"/>
          </rPr>
          <t xml:space="preserve">See note on CFC-11
</t>
        </r>
      </text>
    </comment>
    <comment ref="J406" authorId="0" shapeId="0" xr:uid="{81CC7646-53FA-4B6B-827A-02AFE42013E6}">
      <text>
        <r>
          <rPr>
            <sz val="9"/>
            <color indexed="81"/>
            <rFont val="Tahoma"/>
            <family val="2"/>
          </rPr>
          <t xml:space="preserve">See note on CFC-11
</t>
        </r>
      </text>
    </comment>
    <comment ref="A407" authorId="0" shapeId="0" xr:uid="{4A1FDD3A-6F60-40C0-A89F-F5725E56CF8E}">
      <text>
        <r>
          <rPr>
            <sz val="9"/>
            <color indexed="81"/>
            <rFont val="Tahoma"/>
            <family val="2"/>
          </rPr>
          <t xml:space="preserve">SF6
</t>
        </r>
      </text>
    </comment>
    <comment ref="C407" authorId="0" shapeId="0" xr:uid="{006BDD9B-1F75-4FC6-AF28-6BE159CBE5A7}">
      <text>
        <r>
          <rPr>
            <sz val="9"/>
            <color indexed="81"/>
            <rFont val="Tahoma"/>
            <family val="2"/>
          </rPr>
          <t xml:space="preserve">IPCC, AR6, Table 7, SM7
</t>
        </r>
      </text>
    </comment>
    <comment ref="D407" authorId="0" shapeId="0" xr:uid="{005C6A5A-F405-4385-BE45-F54EACDAE88D}">
      <text>
        <r>
          <rPr>
            <sz val="9"/>
            <color indexed="81"/>
            <rFont val="Tahoma"/>
            <family val="2"/>
          </rPr>
          <t>based on IPCC AR6 WG1 
table 7.SM.8-13</t>
        </r>
      </text>
    </comment>
    <comment ref="E407" authorId="0" shapeId="0" xr:uid="{BC4AFDAA-9400-48E5-ABA7-E40B1D8AF542}">
      <text>
        <r>
          <rPr>
            <sz val="9"/>
            <color indexed="81"/>
            <rFont val="Tahoma"/>
            <family val="2"/>
          </rPr>
          <t xml:space="preserve">Burkholder and Hodnebrog , NOAA, 2022, ANNEX Summary of Abundances, Lifetimes, ODPs, REs, GWPs, and GTP
</t>
        </r>
      </text>
    </comment>
    <comment ref="G407" authorId="0" shapeId="0" xr:uid="{3C480C7D-1472-4ADB-B7F6-B4EA05B5D8DF}">
      <text>
        <r>
          <rPr>
            <sz val="9"/>
            <color indexed="81"/>
            <rFont val="Tahoma"/>
            <family val="2"/>
          </rPr>
          <t xml:space="preserve">See note on CFC-11
</t>
        </r>
      </text>
    </comment>
    <comment ref="I407" authorId="0" shapeId="0" xr:uid="{B0381F27-17A3-40C9-B62F-07A63671D506}">
      <text>
        <r>
          <rPr>
            <sz val="9"/>
            <color indexed="81"/>
            <rFont val="Tahoma"/>
            <family val="2"/>
          </rPr>
          <t xml:space="preserve">See note on CFC-11
</t>
        </r>
      </text>
    </comment>
    <comment ref="J407" authorId="0" shapeId="0" xr:uid="{809BF5A3-E69C-4D58-A8F3-7489148DB9E3}">
      <text>
        <r>
          <rPr>
            <sz val="9"/>
            <color indexed="81"/>
            <rFont val="Tahoma"/>
            <family val="2"/>
          </rPr>
          <t xml:space="preserve">See note on CFC-11
</t>
        </r>
      </text>
    </comment>
    <comment ref="A408" authorId="0" shapeId="0" xr:uid="{97106429-0C9C-4D86-8C67-F261C3E41BA9}">
      <text>
        <r>
          <rPr>
            <sz val="9"/>
            <color indexed="81"/>
            <rFont val="Tahoma"/>
            <family val="2"/>
          </rPr>
          <t>SF5CF3</t>
        </r>
      </text>
    </comment>
    <comment ref="C408" authorId="0" shapeId="0" xr:uid="{3F7842EE-3D8C-4345-898E-40DEE0903697}">
      <text>
        <r>
          <rPr>
            <sz val="9"/>
            <color indexed="81"/>
            <rFont val="Tahoma"/>
            <family val="2"/>
          </rPr>
          <t xml:space="preserve">IPCC, AR6, Table 7, SM7
</t>
        </r>
      </text>
    </comment>
    <comment ref="D408" authorId="0" shapeId="0" xr:uid="{EDDB8882-FB4D-4067-A98E-743147EAA65B}">
      <text>
        <r>
          <rPr>
            <sz val="9"/>
            <color indexed="81"/>
            <rFont val="Tahoma"/>
            <family val="2"/>
          </rPr>
          <t>based on IPCC AR6 WG1 
table 7.SM.8-13</t>
        </r>
      </text>
    </comment>
    <comment ref="E408" authorId="0" shapeId="0" xr:uid="{71EA6328-E457-493E-89A5-E7A5BA74AB36}">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08" authorId="0" shapeId="0" xr:uid="{66D83FB8-CA2D-4260-BE22-5F18AEC43490}">
      <text>
        <r>
          <rPr>
            <sz val="9"/>
            <color indexed="81"/>
            <rFont val="Tahoma"/>
            <family val="2"/>
          </rPr>
          <t xml:space="preserve">See note on CFC-11
</t>
        </r>
      </text>
    </comment>
    <comment ref="I408" authorId="0" shapeId="0" xr:uid="{F5678D7E-0C5B-40FD-A190-D37EF0677237}">
      <text>
        <r>
          <rPr>
            <sz val="9"/>
            <color indexed="81"/>
            <rFont val="Tahoma"/>
            <family val="2"/>
          </rPr>
          <t xml:space="preserve">See note on CFC-11
</t>
        </r>
      </text>
    </comment>
    <comment ref="J408" authorId="0" shapeId="0" xr:uid="{997BB584-16CF-441B-81C2-110F503593C7}">
      <text>
        <r>
          <rPr>
            <sz val="9"/>
            <color indexed="81"/>
            <rFont val="Tahoma"/>
            <family val="2"/>
          </rPr>
          <t xml:space="preserve">See note on CFC-11
</t>
        </r>
      </text>
    </comment>
    <comment ref="A409" authorId="0" shapeId="0" xr:uid="{69ADE95F-C7EC-4656-A680-7614E3AD1EA4}">
      <text>
        <r>
          <rPr>
            <sz val="9"/>
            <color indexed="81"/>
            <rFont val="Tahoma"/>
            <family val="2"/>
          </rPr>
          <t xml:space="preserve">SO2F2
</t>
        </r>
      </text>
    </comment>
    <comment ref="C409" authorId="0" shapeId="0" xr:uid="{B24906CA-8384-49A0-A853-3BACB4BEC788}">
      <text>
        <r>
          <rPr>
            <sz val="9"/>
            <color indexed="81"/>
            <rFont val="Tahoma"/>
            <family val="2"/>
          </rPr>
          <t xml:space="preserve">IPCC, AR6, Table 7, SM7
</t>
        </r>
      </text>
    </comment>
    <comment ref="D409" authorId="0" shapeId="0" xr:uid="{B431DAE0-F0FD-4B30-AC9B-56761117C130}">
      <text>
        <r>
          <rPr>
            <sz val="9"/>
            <color indexed="81"/>
            <rFont val="Tahoma"/>
            <family val="2"/>
          </rPr>
          <t>based on IPCC AR6 WG1 
table 7.SM.8-13</t>
        </r>
      </text>
    </comment>
    <comment ref="E409" authorId="0" shapeId="0" xr:uid="{7FF3980F-5892-44A4-898E-E9111283F746}">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09" authorId="0" shapeId="0" xr:uid="{8E38BDC3-BFC4-4685-97B2-1F3C6E927431}">
      <text>
        <r>
          <rPr>
            <sz val="9"/>
            <color indexed="81"/>
            <rFont val="Tahoma"/>
            <family val="2"/>
          </rPr>
          <t xml:space="preserve">See note on CFC-11
</t>
        </r>
      </text>
    </comment>
    <comment ref="I409" authorId="0" shapeId="0" xr:uid="{6E959E9D-31B1-44DA-B398-F06E77D69293}">
      <text>
        <r>
          <rPr>
            <sz val="9"/>
            <color indexed="81"/>
            <rFont val="Tahoma"/>
            <family val="2"/>
          </rPr>
          <t xml:space="preserve">See note on CFC-11
</t>
        </r>
      </text>
    </comment>
    <comment ref="J409" authorId="0" shapeId="0" xr:uid="{F3B47927-A826-494C-AAA7-815C315A6964}">
      <text>
        <r>
          <rPr>
            <sz val="9"/>
            <color indexed="81"/>
            <rFont val="Tahoma"/>
            <family val="2"/>
          </rPr>
          <t xml:space="preserve">See note on CFC-11
</t>
        </r>
      </text>
    </comment>
    <comment ref="A410" authorId="0" shapeId="0" xr:uid="{C925EBB6-C9CA-4DD8-A6AA-16720B07AA93}">
      <text>
        <r>
          <rPr>
            <sz val="9"/>
            <color indexed="81"/>
            <rFont val="Tahoma"/>
            <family val="2"/>
          </rPr>
          <t xml:space="preserve">CF4
</t>
        </r>
      </text>
    </comment>
    <comment ref="C410" authorId="0" shapeId="0" xr:uid="{267F7666-E1E6-4F08-9C61-72DC1F8C7A40}">
      <text>
        <r>
          <rPr>
            <sz val="9"/>
            <color indexed="81"/>
            <rFont val="Tahoma"/>
            <family val="2"/>
          </rPr>
          <t xml:space="preserve">IPCC, AR6, Table 7, SM7
</t>
        </r>
      </text>
    </comment>
    <comment ref="D410" authorId="0" shapeId="0" xr:uid="{E1279C6A-F330-4608-8E6E-96A27A599700}">
      <text>
        <r>
          <rPr>
            <sz val="9"/>
            <color indexed="81"/>
            <rFont val="Tahoma"/>
            <family val="2"/>
          </rPr>
          <t>based on IPCC AR6 WG1 
table 7.SM.8-13</t>
        </r>
      </text>
    </comment>
    <comment ref="E410" authorId="0" shapeId="0" xr:uid="{522664B3-6C0B-425E-B137-FDE5FC5A6A56}">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0" authorId="0" shapeId="0" xr:uid="{285852A4-3D5F-42C4-B468-09DB1B5E33F3}">
      <text>
        <r>
          <rPr>
            <sz val="9"/>
            <color indexed="81"/>
            <rFont val="Tahoma"/>
            <family val="2"/>
          </rPr>
          <t xml:space="preserve">See note on CFC-11
</t>
        </r>
      </text>
    </comment>
    <comment ref="I410" authorId="0" shapeId="0" xr:uid="{BCF252E4-9999-470B-AB85-EF41F444273C}">
      <text>
        <r>
          <rPr>
            <sz val="9"/>
            <color indexed="81"/>
            <rFont val="Tahoma"/>
            <family val="2"/>
          </rPr>
          <t xml:space="preserve">See note on CFC-11
</t>
        </r>
      </text>
    </comment>
    <comment ref="J410" authorId="0" shapeId="0" xr:uid="{216F56AC-C071-47F1-8EFD-E2EEF0E1D105}">
      <text>
        <r>
          <rPr>
            <sz val="9"/>
            <color indexed="81"/>
            <rFont val="Tahoma"/>
            <family val="2"/>
          </rPr>
          <t xml:space="preserve">See note on CFC-11
</t>
        </r>
      </text>
    </comment>
    <comment ref="A411" authorId="0" shapeId="0" xr:uid="{B477575A-7555-45B4-9459-F3EEBF5D4919}">
      <text>
        <r>
          <rPr>
            <sz val="9"/>
            <color indexed="81"/>
            <rFont val="Tahoma"/>
            <family val="2"/>
          </rPr>
          <t xml:space="preserve">C2F6
</t>
        </r>
      </text>
    </comment>
    <comment ref="C411" authorId="0" shapeId="0" xr:uid="{1551A9A0-BD37-4EE7-81C7-F337A657DA12}">
      <text>
        <r>
          <rPr>
            <sz val="9"/>
            <color indexed="81"/>
            <rFont val="Tahoma"/>
            <family val="2"/>
          </rPr>
          <t xml:space="preserve">IPCC, AR6, Table 7, SM7
</t>
        </r>
      </text>
    </comment>
    <comment ref="D411" authorId="0" shapeId="0" xr:uid="{8DA4EFE0-A3CF-45ED-BEAE-F90F45C83AE8}">
      <text>
        <r>
          <rPr>
            <sz val="9"/>
            <color indexed="81"/>
            <rFont val="Tahoma"/>
            <family val="2"/>
          </rPr>
          <t>based on IPCC AR6 WG1 
table 7.SM.8-13</t>
        </r>
      </text>
    </comment>
    <comment ref="E411" authorId="0" shapeId="0" xr:uid="{95D7F37E-B344-4F59-9DA3-475433411579}">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1" authorId="0" shapeId="0" xr:uid="{42C2A24F-E498-406D-A460-7BB3C2927ED8}">
      <text>
        <r>
          <rPr>
            <sz val="9"/>
            <color indexed="81"/>
            <rFont val="Tahoma"/>
            <family val="2"/>
          </rPr>
          <t xml:space="preserve">See note on CFC-11
</t>
        </r>
      </text>
    </comment>
    <comment ref="I411" authorId="0" shapeId="0" xr:uid="{DBF71A78-EE9D-4E15-BDE0-F8C982433724}">
      <text>
        <r>
          <rPr>
            <sz val="9"/>
            <color indexed="81"/>
            <rFont val="Tahoma"/>
            <family val="2"/>
          </rPr>
          <t xml:space="preserve">See note on CFC-11
</t>
        </r>
      </text>
    </comment>
    <comment ref="J411" authorId="0" shapeId="0" xr:uid="{4345506E-E034-4928-A58E-A874E00327AB}">
      <text>
        <r>
          <rPr>
            <sz val="9"/>
            <color indexed="81"/>
            <rFont val="Tahoma"/>
            <family val="2"/>
          </rPr>
          <t xml:space="preserve">See note on CFC-11
</t>
        </r>
      </text>
    </comment>
    <comment ref="A412" authorId="0" shapeId="0" xr:uid="{D0A737CA-A27F-4E9F-933C-FD65B423F78E}">
      <text>
        <r>
          <rPr>
            <sz val="9"/>
            <color indexed="81"/>
            <rFont val="Tahoma"/>
            <family val="2"/>
          </rPr>
          <t>C3F8</t>
        </r>
      </text>
    </comment>
    <comment ref="C412" authorId="0" shapeId="0" xr:uid="{0BAAD8EB-BC67-4EAE-B1B5-43F8975E2CB8}">
      <text>
        <r>
          <rPr>
            <sz val="9"/>
            <color indexed="81"/>
            <rFont val="Tahoma"/>
            <family val="2"/>
          </rPr>
          <t xml:space="preserve">IPCC, AR6, Table 7, SM7
</t>
        </r>
      </text>
    </comment>
    <comment ref="D412" authorId="0" shapeId="0" xr:uid="{093D09A5-D41B-4220-8716-18790E268871}">
      <text>
        <r>
          <rPr>
            <sz val="9"/>
            <color indexed="81"/>
            <rFont val="Tahoma"/>
            <family val="2"/>
          </rPr>
          <t>based on IPCC AR6 WG1 
table 7.SM.8-13</t>
        </r>
      </text>
    </comment>
    <comment ref="E412" authorId="0" shapeId="0" xr:uid="{3E398B2E-9FDE-4D46-BBAF-307927A77EE8}">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2" authorId="0" shapeId="0" xr:uid="{5AACEB08-84EA-4D4D-98CD-A41CCAAF2903}">
      <text>
        <r>
          <rPr>
            <sz val="9"/>
            <color indexed="81"/>
            <rFont val="Tahoma"/>
            <family val="2"/>
          </rPr>
          <t xml:space="preserve">See note on CFC-11
</t>
        </r>
      </text>
    </comment>
    <comment ref="I412" authorId="0" shapeId="0" xr:uid="{8ACAA5B0-F640-4444-9B06-26B87CDFC1C5}">
      <text>
        <r>
          <rPr>
            <sz val="9"/>
            <color indexed="81"/>
            <rFont val="Tahoma"/>
            <family val="2"/>
          </rPr>
          <t xml:space="preserve">See note on CFC-11
</t>
        </r>
      </text>
    </comment>
    <comment ref="J412" authorId="0" shapeId="0" xr:uid="{FEFB0D51-BAE9-45CB-BB36-6EB58894B141}">
      <text>
        <r>
          <rPr>
            <sz val="9"/>
            <color indexed="81"/>
            <rFont val="Tahoma"/>
            <family val="2"/>
          </rPr>
          <t xml:space="preserve">See note on CFC-11
</t>
        </r>
      </text>
    </comment>
    <comment ref="A413" authorId="0" shapeId="0" xr:uid="{1D47D511-D83B-4CAF-952E-59F41DD2396A}">
      <text>
        <r>
          <rPr>
            <sz val="9"/>
            <color indexed="81"/>
            <rFont val="Tahoma"/>
            <family val="2"/>
          </rPr>
          <t xml:space="preserve">cyc (-CF=CFCF2CF2-)
</t>
        </r>
      </text>
    </comment>
    <comment ref="C413" authorId="0" shapeId="0" xr:uid="{DC64741B-2EB9-4021-832A-7519194D6A26}">
      <text>
        <r>
          <rPr>
            <sz val="9"/>
            <color indexed="81"/>
            <rFont val="Tahoma"/>
            <family val="2"/>
          </rPr>
          <t xml:space="preserve">IPCC, AR6, Table 7, SM7
</t>
        </r>
      </text>
    </comment>
    <comment ref="D413" authorId="0" shapeId="0" xr:uid="{616DC3CE-F8B7-4B51-927F-E97795F86982}">
      <text>
        <r>
          <rPr>
            <sz val="9"/>
            <color indexed="81"/>
            <rFont val="Tahoma"/>
            <family val="2"/>
          </rPr>
          <t>based on IPCC AR6 WG1 
table 7.SM.8-13</t>
        </r>
      </text>
    </comment>
    <comment ref="E413" authorId="0" shapeId="0" xr:uid="{A11530D1-78EB-413E-87DC-0FEBE9A00220}">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3" authorId="0" shapeId="0" xr:uid="{5025366E-1837-45A8-A80E-3A8B1FAD07AC}">
      <text>
        <r>
          <rPr>
            <sz val="9"/>
            <color indexed="81"/>
            <rFont val="Tahoma"/>
            <family val="2"/>
          </rPr>
          <t xml:space="preserve">See note on CFC-11
</t>
        </r>
      </text>
    </comment>
    <comment ref="I413" authorId="0" shapeId="0" xr:uid="{04180992-0FA9-4F98-A377-62C92250C49C}">
      <text>
        <r>
          <rPr>
            <sz val="9"/>
            <color indexed="81"/>
            <rFont val="Tahoma"/>
            <family val="2"/>
          </rPr>
          <t xml:space="preserve">See note on CFC-11
</t>
        </r>
      </text>
    </comment>
    <comment ref="J413" authorId="0" shapeId="0" xr:uid="{8DCE58A7-938E-4013-A094-2AFAA04FC3DD}">
      <text>
        <r>
          <rPr>
            <sz val="9"/>
            <color indexed="81"/>
            <rFont val="Tahoma"/>
            <family val="2"/>
          </rPr>
          <t xml:space="preserve">See note on CFC-11
</t>
        </r>
      </text>
    </comment>
    <comment ref="A414" authorId="0" shapeId="0" xr:uid="{AF6BAD50-56C4-4371-A382-3499195ABD7F}">
      <text>
        <r>
          <rPr>
            <sz val="9"/>
            <color indexed="81"/>
            <rFont val="Tahoma"/>
            <family val="2"/>
          </rPr>
          <t xml:space="preserve">cyc (-CF2CF2CF2CF2-)
</t>
        </r>
      </text>
    </comment>
    <comment ref="C414" authorId="0" shapeId="0" xr:uid="{524009AD-011A-4837-A8A2-66082B1F4C5D}">
      <text>
        <r>
          <rPr>
            <sz val="9"/>
            <color indexed="81"/>
            <rFont val="Tahoma"/>
            <family val="2"/>
          </rPr>
          <t xml:space="preserve">IPCC, AR6, Table 7, SM7
</t>
        </r>
      </text>
    </comment>
    <comment ref="D414" authorId="0" shapeId="0" xr:uid="{8C086BF6-7FE1-4086-A1EE-3B97164E2AC4}">
      <text>
        <r>
          <rPr>
            <sz val="9"/>
            <color indexed="81"/>
            <rFont val="Tahoma"/>
            <family val="2"/>
          </rPr>
          <t>based on IPCC AR6 WG1 
table 7.SM.8-13</t>
        </r>
      </text>
    </comment>
    <comment ref="E414" authorId="0" shapeId="0" xr:uid="{A50E02E3-3688-475E-AB6E-81D5934A61E8}">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4" authorId="0" shapeId="0" xr:uid="{23762560-8252-4F37-9453-DE49E56D9B90}">
      <text>
        <r>
          <rPr>
            <sz val="9"/>
            <color indexed="81"/>
            <rFont val="Tahoma"/>
            <family val="2"/>
          </rPr>
          <t xml:space="preserve">See note on CFC-11
</t>
        </r>
      </text>
    </comment>
    <comment ref="I414" authorId="0" shapeId="0" xr:uid="{1FECD0CC-51B8-4557-9F9E-FBFC7F8E99AC}">
      <text>
        <r>
          <rPr>
            <sz val="9"/>
            <color indexed="81"/>
            <rFont val="Tahoma"/>
            <family val="2"/>
          </rPr>
          <t xml:space="preserve">See note on CFC-11
</t>
        </r>
      </text>
    </comment>
    <comment ref="J414" authorId="0" shapeId="0" xr:uid="{EFA865B0-BC04-4EFC-A704-209A804A24C5}">
      <text>
        <r>
          <rPr>
            <sz val="9"/>
            <color indexed="81"/>
            <rFont val="Tahoma"/>
            <family val="2"/>
          </rPr>
          <t xml:space="preserve">See note on CFC-11
</t>
        </r>
      </text>
    </comment>
    <comment ref="A415" authorId="0" shapeId="0" xr:uid="{23ECDA91-D58A-483C-9A37-7A64DD27740D}">
      <text>
        <r>
          <rPr>
            <sz val="9"/>
            <color indexed="81"/>
            <rFont val="Tahoma"/>
            <family val="2"/>
          </rPr>
          <t xml:space="preserve">n-C4F10
</t>
        </r>
      </text>
    </comment>
    <comment ref="C415" authorId="0" shapeId="0" xr:uid="{9230E487-F2F1-4582-B1AA-F92F324F79D4}">
      <text>
        <r>
          <rPr>
            <sz val="9"/>
            <color indexed="81"/>
            <rFont val="Tahoma"/>
            <family val="2"/>
          </rPr>
          <t xml:space="preserve">IPCC, AR6, Table 7, SM7
</t>
        </r>
      </text>
    </comment>
    <comment ref="D415" authorId="0" shapeId="0" xr:uid="{F48F2D7C-620B-48FD-A3C4-096AB186061E}">
      <text>
        <r>
          <rPr>
            <sz val="9"/>
            <color indexed="81"/>
            <rFont val="Tahoma"/>
            <family val="2"/>
          </rPr>
          <t>based on IPCC AR6 WG1 
table 7.SM.8-13</t>
        </r>
      </text>
    </comment>
    <comment ref="E415" authorId="0" shapeId="0" xr:uid="{9D5B0308-85BE-47BA-8BFE-A95C21520328}">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5" authorId="0" shapeId="0" xr:uid="{751B014D-2582-4E3F-AEC8-E03D49C196F9}">
      <text>
        <r>
          <rPr>
            <sz val="9"/>
            <color indexed="81"/>
            <rFont val="Tahoma"/>
            <family val="2"/>
          </rPr>
          <t xml:space="preserve">See note on CFC-11
</t>
        </r>
      </text>
    </comment>
    <comment ref="I415" authorId="0" shapeId="0" xr:uid="{A2475C0C-3408-4AB9-99E7-4CA3B08A70CB}">
      <text>
        <r>
          <rPr>
            <sz val="9"/>
            <color indexed="81"/>
            <rFont val="Tahoma"/>
            <family val="2"/>
          </rPr>
          <t xml:space="preserve">See note on CFC-11
</t>
        </r>
      </text>
    </comment>
    <comment ref="J415" authorId="0" shapeId="0" xr:uid="{963736D6-51C9-4D63-9EDE-271FE43F7E13}">
      <text>
        <r>
          <rPr>
            <sz val="9"/>
            <color indexed="81"/>
            <rFont val="Tahoma"/>
            <family val="2"/>
          </rPr>
          <t xml:space="preserve">See note on CFC-11
</t>
        </r>
      </text>
    </comment>
    <comment ref="A416" authorId="0" shapeId="0" xr:uid="{A9AFF281-8ACB-41CD-A2D9-545EBAA8E469}">
      <text>
        <r>
          <rPr>
            <sz val="9"/>
            <color indexed="81"/>
            <rFont val="Tahoma"/>
            <family val="2"/>
          </rPr>
          <t xml:space="preserve">cyc
(-CF=CFCF2CF2CF2-)
</t>
        </r>
      </text>
    </comment>
    <comment ref="C416" authorId="0" shapeId="0" xr:uid="{5470D854-3EA8-421D-B570-2E2CD2AB762C}">
      <text>
        <r>
          <rPr>
            <sz val="9"/>
            <color indexed="81"/>
            <rFont val="Tahoma"/>
            <family val="2"/>
          </rPr>
          <t xml:space="preserve">IPCC, AR6, Table 7, SM7
</t>
        </r>
      </text>
    </comment>
    <comment ref="D416" authorId="0" shapeId="0" xr:uid="{2F817843-5D03-44F3-B011-91317F80BD42}">
      <text>
        <r>
          <rPr>
            <sz val="9"/>
            <color indexed="81"/>
            <rFont val="Tahoma"/>
            <family val="2"/>
          </rPr>
          <t>based on IPCC AR6 WG1 
table 7.SM.8-13</t>
        </r>
      </text>
    </comment>
    <comment ref="E416" authorId="0" shapeId="0" xr:uid="{DD05D63E-5CB8-4B2C-8548-9C59A35A8158}">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6" authorId="0" shapeId="0" xr:uid="{2C822DD8-4F0C-42DF-B48D-272A6FC3E957}">
      <text>
        <r>
          <rPr>
            <sz val="9"/>
            <color indexed="81"/>
            <rFont val="Tahoma"/>
            <family val="2"/>
          </rPr>
          <t xml:space="preserve">See note on CFC-11
</t>
        </r>
      </text>
    </comment>
    <comment ref="I416" authorId="0" shapeId="0" xr:uid="{7C8B6AB4-4B39-45E7-B564-56C824EC1C3F}">
      <text>
        <r>
          <rPr>
            <sz val="9"/>
            <color indexed="81"/>
            <rFont val="Tahoma"/>
            <family val="2"/>
          </rPr>
          <t xml:space="preserve">See note on CFC-11
</t>
        </r>
      </text>
    </comment>
    <comment ref="J416" authorId="0" shapeId="0" xr:uid="{ACDBE67C-02EC-41F3-80FF-9F96BC5503AE}">
      <text>
        <r>
          <rPr>
            <sz val="9"/>
            <color indexed="81"/>
            <rFont val="Tahoma"/>
            <family val="2"/>
          </rPr>
          <t xml:space="preserve">See note on CFC-11
</t>
        </r>
      </text>
    </comment>
    <comment ref="A417" authorId="0" shapeId="0" xr:uid="{C8767EDF-13AA-43F6-B88A-8FA086682E80}">
      <text>
        <r>
          <rPr>
            <sz val="9"/>
            <color indexed="81"/>
            <rFont val="Tahoma"/>
            <family val="2"/>
          </rPr>
          <t xml:space="preserve">n-C5F12
</t>
        </r>
      </text>
    </comment>
    <comment ref="C417" authorId="0" shapeId="0" xr:uid="{74000ABB-2D7C-4743-88F2-BC7CFDE125DE}">
      <text>
        <r>
          <rPr>
            <sz val="9"/>
            <color indexed="81"/>
            <rFont val="Tahoma"/>
            <family val="2"/>
          </rPr>
          <t xml:space="preserve">IPCC, AR6, Table 7, SM7
</t>
        </r>
      </text>
    </comment>
    <comment ref="D417" authorId="0" shapeId="0" xr:uid="{E1EFD6E6-522C-473E-A891-1B5963BFDE67}">
      <text>
        <r>
          <rPr>
            <sz val="9"/>
            <color indexed="81"/>
            <rFont val="Tahoma"/>
            <family val="2"/>
          </rPr>
          <t>based on IPCC AR6 WG1 
table 7.SM.8-13</t>
        </r>
      </text>
    </comment>
    <comment ref="E417" authorId="0" shapeId="0" xr:uid="{5E42C8CD-9138-4F99-8561-2F4899CDD156}">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7" authorId="0" shapeId="0" xr:uid="{7E89E129-B84D-431E-B563-E69C48F4B435}">
      <text>
        <r>
          <rPr>
            <sz val="9"/>
            <color indexed="81"/>
            <rFont val="Tahoma"/>
            <family val="2"/>
          </rPr>
          <t xml:space="preserve">See note on CFC-11
</t>
        </r>
      </text>
    </comment>
    <comment ref="I417" authorId="0" shapeId="0" xr:uid="{64D1D9D1-DEF7-47E4-9405-954EF346E183}">
      <text>
        <r>
          <rPr>
            <sz val="9"/>
            <color indexed="81"/>
            <rFont val="Tahoma"/>
            <family val="2"/>
          </rPr>
          <t xml:space="preserve">See note on CFC-11
</t>
        </r>
      </text>
    </comment>
    <comment ref="J417" authorId="0" shapeId="0" xr:uid="{1E0971C4-F082-42FE-BC4D-A48FD486C035}">
      <text>
        <r>
          <rPr>
            <sz val="9"/>
            <color indexed="81"/>
            <rFont val="Tahoma"/>
            <family val="2"/>
          </rPr>
          <t xml:space="preserve">See note on CFC-11
</t>
        </r>
      </text>
    </comment>
    <comment ref="A418" authorId="0" shapeId="0" xr:uid="{57B920CD-5634-4B11-B593-3EBF6E32FD6E}">
      <text>
        <r>
          <rPr>
            <sz val="9"/>
            <color indexed="81"/>
            <rFont val="Tahoma"/>
            <family val="2"/>
          </rPr>
          <t xml:space="preserve">n-C6F14
</t>
        </r>
      </text>
    </comment>
    <comment ref="C418" authorId="0" shapeId="0" xr:uid="{22CC273D-B56C-417C-B8BB-A2A3FD8EF86A}">
      <text>
        <r>
          <rPr>
            <sz val="9"/>
            <color indexed="81"/>
            <rFont val="Tahoma"/>
            <family val="2"/>
          </rPr>
          <t xml:space="preserve">IPCC, AR6, Table 7, SM7
</t>
        </r>
      </text>
    </comment>
    <comment ref="D418" authorId="0" shapeId="0" xr:uid="{F844F6F7-5B04-4C2E-8544-644813185360}">
      <text>
        <r>
          <rPr>
            <sz val="9"/>
            <color indexed="81"/>
            <rFont val="Tahoma"/>
            <family val="2"/>
          </rPr>
          <t>based on IPCC AR6 WG1 
table 7.SM.8-13</t>
        </r>
      </text>
    </comment>
    <comment ref="E418" authorId="0" shapeId="0" xr:uid="{605C2205-E052-49D0-91BD-D643B6D5D3DA}">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8" authorId="0" shapeId="0" xr:uid="{37C27BDC-82C0-4268-A025-6B80F9DA9CA2}">
      <text>
        <r>
          <rPr>
            <sz val="9"/>
            <color indexed="81"/>
            <rFont val="Tahoma"/>
            <family val="2"/>
          </rPr>
          <t xml:space="preserve">See note on CFC-11
</t>
        </r>
      </text>
    </comment>
    <comment ref="I418" authorId="0" shapeId="0" xr:uid="{089B4D38-25F0-4676-919D-F3F191AD2924}">
      <text>
        <r>
          <rPr>
            <sz val="9"/>
            <color indexed="81"/>
            <rFont val="Tahoma"/>
            <family val="2"/>
          </rPr>
          <t xml:space="preserve">See note on CFC-11
</t>
        </r>
      </text>
    </comment>
    <comment ref="J418" authorId="0" shapeId="0" xr:uid="{D81B9947-F2CB-43F6-B394-0A75FEAD6307}">
      <text>
        <r>
          <rPr>
            <sz val="9"/>
            <color indexed="81"/>
            <rFont val="Tahoma"/>
            <family val="2"/>
          </rPr>
          <t xml:space="preserve">See note on CFC-11
</t>
        </r>
      </text>
    </comment>
    <comment ref="A419" authorId="0" shapeId="0" xr:uid="{4C91B01D-0E4E-4A25-886E-DD35D12530BD}">
      <text>
        <r>
          <rPr>
            <sz val="9"/>
            <color indexed="81"/>
            <rFont val="Tahoma"/>
            <family val="2"/>
          </rPr>
          <t xml:space="preserve">n-C7F16
</t>
        </r>
      </text>
    </comment>
    <comment ref="C419" authorId="0" shapeId="0" xr:uid="{15B82DD0-A8D7-4B1C-9363-214F1E2799C8}">
      <text>
        <r>
          <rPr>
            <sz val="9"/>
            <color indexed="81"/>
            <rFont val="Tahoma"/>
            <family val="2"/>
          </rPr>
          <t xml:space="preserve">IPCC, AR6, Table 7, SM7
</t>
        </r>
      </text>
    </comment>
    <comment ref="D419" authorId="0" shapeId="0" xr:uid="{2F78015C-4B19-43F8-9295-5E78BDB2A5F8}">
      <text>
        <r>
          <rPr>
            <sz val="9"/>
            <color indexed="81"/>
            <rFont val="Tahoma"/>
            <family val="2"/>
          </rPr>
          <t>based on IPCC AR6 WG1 
table 7.SM.8-13</t>
        </r>
      </text>
    </comment>
    <comment ref="E419" authorId="0" shapeId="0" xr:uid="{FC520BD0-3B78-48B6-860F-4AC4850A7AEC}">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19" authorId="0" shapeId="0" xr:uid="{DF08A6C6-319B-4817-8CD1-8E924604C00A}">
      <text>
        <r>
          <rPr>
            <sz val="9"/>
            <color indexed="81"/>
            <rFont val="Tahoma"/>
            <family val="2"/>
          </rPr>
          <t xml:space="preserve">See note on CFC-11
</t>
        </r>
      </text>
    </comment>
    <comment ref="I419" authorId="0" shapeId="0" xr:uid="{8BB9F037-EA1D-4DC9-8A38-023009D88107}">
      <text>
        <r>
          <rPr>
            <sz val="9"/>
            <color indexed="81"/>
            <rFont val="Tahoma"/>
            <family val="2"/>
          </rPr>
          <t xml:space="preserve">See note on CFC-11
</t>
        </r>
      </text>
    </comment>
    <comment ref="J419" authorId="0" shapeId="0" xr:uid="{60C3862E-1E7B-44D0-87AB-8F3C916FB2DD}">
      <text>
        <r>
          <rPr>
            <sz val="9"/>
            <color indexed="81"/>
            <rFont val="Tahoma"/>
            <family val="2"/>
          </rPr>
          <t xml:space="preserve">See note on CFC-11
</t>
        </r>
      </text>
    </comment>
    <comment ref="A420" authorId="0" shapeId="0" xr:uid="{801E2987-FC2A-4EFE-91D8-A56340D2E308}">
      <text>
        <r>
          <rPr>
            <sz val="9"/>
            <color indexed="81"/>
            <rFont val="Tahoma"/>
            <family val="2"/>
          </rPr>
          <t xml:space="preserve">n-C8F18
</t>
        </r>
      </text>
    </comment>
    <comment ref="C420" authorId="0" shapeId="0" xr:uid="{30726ED6-AA90-437F-8AC7-539FA1516CB1}">
      <text>
        <r>
          <rPr>
            <sz val="9"/>
            <color indexed="81"/>
            <rFont val="Tahoma"/>
            <family val="2"/>
          </rPr>
          <t xml:space="preserve">IPCC, AR6, Table 7, SM7
</t>
        </r>
      </text>
    </comment>
    <comment ref="D420" authorId="0" shapeId="0" xr:uid="{79C52532-6E9D-4DC9-BC35-EF8EF9F7C292}">
      <text>
        <r>
          <rPr>
            <sz val="9"/>
            <color indexed="81"/>
            <rFont val="Tahoma"/>
            <family val="2"/>
          </rPr>
          <t>based on IPCC AR6 WG1 
table 7.SM.8-13</t>
        </r>
      </text>
    </comment>
    <comment ref="E420" authorId="0" shapeId="0" xr:uid="{00E41392-F981-46E9-BC03-8EC5537CDE85}">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0" authorId="0" shapeId="0" xr:uid="{766B2AAB-5B00-4349-8737-21107669DB1C}">
      <text>
        <r>
          <rPr>
            <sz val="9"/>
            <color indexed="81"/>
            <rFont val="Tahoma"/>
            <family val="2"/>
          </rPr>
          <t xml:space="preserve">See note on CFC-11
</t>
        </r>
      </text>
    </comment>
    <comment ref="I420" authorId="0" shapeId="0" xr:uid="{B6BB91EF-6F4F-4736-B994-52D44B8085A4}">
      <text>
        <r>
          <rPr>
            <sz val="9"/>
            <color indexed="81"/>
            <rFont val="Tahoma"/>
            <family val="2"/>
          </rPr>
          <t xml:space="preserve">See note on CFC-11
</t>
        </r>
      </text>
    </comment>
    <comment ref="J420" authorId="0" shapeId="0" xr:uid="{03A87AAB-591A-4DC3-93C1-D15EAE484331}">
      <text>
        <r>
          <rPr>
            <sz val="9"/>
            <color indexed="81"/>
            <rFont val="Tahoma"/>
            <family val="2"/>
          </rPr>
          <t xml:space="preserve">See note on CFC-11
</t>
        </r>
      </text>
    </comment>
    <comment ref="A421" authorId="0" shapeId="0" xr:uid="{DBCBBDAF-43F9-46B5-BD48-4A233AA7BA7B}">
      <text>
        <r>
          <rPr>
            <sz val="9"/>
            <color indexed="81"/>
            <rFont val="Tahoma"/>
            <family val="2"/>
          </rPr>
          <t xml:space="preserve">C10F18
</t>
        </r>
      </text>
    </comment>
    <comment ref="C421" authorId="0" shapeId="0" xr:uid="{57362793-ED57-4C0C-B331-1DD6A4121CA1}">
      <text>
        <r>
          <rPr>
            <sz val="9"/>
            <color indexed="81"/>
            <rFont val="Tahoma"/>
            <family val="2"/>
          </rPr>
          <t xml:space="preserve">IPCC, AR6, Table 7, SM7
</t>
        </r>
      </text>
    </comment>
    <comment ref="D421" authorId="0" shapeId="0" xr:uid="{A44FD33E-FB36-4345-AE96-451D86ADB9FB}">
      <text>
        <r>
          <rPr>
            <sz val="9"/>
            <color indexed="81"/>
            <rFont val="Tahoma"/>
            <family val="2"/>
          </rPr>
          <t>based on IPCC AR6 WG1 
table 7.SM.8-13</t>
        </r>
      </text>
    </comment>
    <comment ref="E421" authorId="0" shapeId="0" xr:uid="{FC148D7D-376E-4AA5-BBFB-25444695ADE9}">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1" authorId="0" shapeId="0" xr:uid="{87DE98F5-EE07-4806-8D7E-9D5DADB996C1}">
      <text>
        <r>
          <rPr>
            <sz val="9"/>
            <color indexed="81"/>
            <rFont val="Tahoma"/>
            <family val="2"/>
          </rPr>
          <t xml:space="preserve">See note on CFC-11
</t>
        </r>
      </text>
    </comment>
    <comment ref="I421" authorId="0" shapeId="0" xr:uid="{FEEA8069-8E17-4027-89E8-1B73CEC95986}">
      <text>
        <r>
          <rPr>
            <sz val="9"/>
            <color indexed="81"/>
            <rFont val="Tahoma"/>
            <family val="2"/>
          </rPr>
          <t xml:space="preserve">See note on CFC-11
</t>
        </r>
      </text>
    </comment>
    <comment ref="J421" authorId="0" shapeId="0" xr:uid="{287EDBB6-91E2-4031-A75B-2D2921CD174D}">
      <text>
        <r>
          <rPr>
            <sz val="9"/>
            <color indexed="81"/>
            <rFont val="Tahoma"/>
            <family val="2"/>
          </rPr>
          <t xml:space="preserve">See note on CFC-11
</t>
        </r>
      </text>
    </comment>
    <comment ref="A422" authorId="0" shapeId="0" xr:uid="{CC5A2CA0-3636-4D3B-A8C0-F54F62A91C67}">
      <text>
        <r>
          <rPr>
            <sz val="9"/>
            <color indexed="81"/>
            <rFont val="Tahoma"/>
            <family val="2"/>
          </rPr>
          <t xml:space="preserve">Z-C10F18
</t>
        </r>
      </text>
    </comment>
    <comment ref="C422" authorId="0" shapeId="0" xr:uid="{9E070543-9B06-4ADC-BB4D-815E9DD7C729}">
      <text>
        <r>
          <rPr>
            <sz val="9"/>
            <color indexed="81"/>
            <rFont val="Tahoma"/>
            <family val="2"/>
          </rPr>
          <t xml:space="preserve">IPCC, AR6, Table 7, SM7
</t>
        </r>
      </text>
    </comment>
    <comment ref="D422" authorId="0" shapeId="0" xr:uid="{F1F3C4E6-F8AA-4242-ACCE-3A37D8A0E38B}">
      <text>
        <r>
          <rPr>
            <sz val="9"/>
            <color indexed="81"/>
            <rFont val="Tahoma"/>
            <family val="2"/>
          </rPr>
          <t>based on IPCC AR6 WG1 
table 7.SM.8-13</t>
        </r>
      </text>
    </comment>
    <comment ref="E422" authorId="0" shapeId="0" xr:uid="{7B97EBAF-5987-4EFF-AA21-E40CCD03E5C2}">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2" authorId="0" shapeId="0" xr:uid="{A925EDC3-CA40-4187-99A1-F91ED64CCFF3}">
      <text>
        <r>
          <rPr>
            <sz val="9"/>
            <color indexed="81"/>
            <rFont val="Tahoma"/>
            <family val="2"/>
          </rPr>
          <t xml:space="preserve">See note on CFC-11
</t>
        </r>
      </text>
    </comment>
    <comment ref="I422" authorId="0" shapeId="0" xr:uid="{3FB50A6F-B8FF-422F-AEC4-BA87A5D9E748}">
      <text>
        <r>
          <rPr>
            <sz val="9"/>
            <color indexed="81"/>
            <rFont val="Tahoma"/>
            <family val="2"/>
          </rPr>
          <t xml:space="preserve">See note on CFC-11
</t>
        </r>
      </text>
    </comment>
    <comment ref="J422" authorId="0" shapeId="0" xr:uid="{BE1D5B92-DF2F-459B-A471-364C79FF7211}">
      <text>
        <r>
          <rPr>
            <sz val="9"/>
            <color indexed="81"/>
            <rFont val="Tahoma"/>
            <family val="2"/>
          </rPr>
          <t xml:space="preserve">See note on CFC-11
</t>
        </r>
      </text>
    </comment>
    <comment ref="C423" authorId="0" shapeId="0" xr:uid="{DFB5A125-498A-446F-8721-79F9F0760FE1}">
      <text>
        <r>
          <rPr>
            <sz val="9"/>
            <color indexed="81"/>
            <rFont val="Tahoma"/>
            <family val="2"/>
          </rPr>
          <t xml:space="preserve">IPCC, AR6, Table 7, SM7
</t>
        </r>
      </text>
    </comment>
    <comment ref="D423" authorId="0" shapeId="0" xr:uid="{0812239C-B452-4D43-8BF3-3EB63E1A7B00}">
      <text>
        <r>
          <rPr>
            <sz val="9"/>
            <color indexed="81"/>
            <rFont val="Tahoma"/>
            <family val="2"/>
          </rPr>
          <t>based on IPCC AR6 WG1 
table 7.SM.8-13</t>
        </r>
      </text>
    </comment>
    <comment ref="E423" authorId="0" shapeId="0" xr:uid="{7B90B2EA-7BCE-4413-A2C4-3FCCFB3229DE}">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3" authorId="0" shapeId="0" xr:uid="{8FBBDF4B-16BA-4AC8-BF9E-73836D62E0FE}">
      <text>
        <r>
          <rPr>
            <sz val="9"/>
            <color indexed="81"/>
            <rFont val="Tahoma"/>
            <family val="2"/>
          </rPr>
          <t xml:space="preserve">See note on CFC-11
</t>
        </r>
      </text>
    </comment>
    <comment ref="I423" authorId="0" shapeId="0" xr:uid="{BA62C2F5-E1E0-4EDA-9ECC-FD730AB393AA}">
      <text>
        <r>
          <rPr>
            <sz val="9"/>
            <color indexed="81"/>
            <rFont val="Tahoma"/>
            <family val="2"/>
          </rPr>
          <t xml:space="preserve">See note on CFC-11
</t>
        </r>
      </text>
    </comment>
    <comment ref="J423" authorId="0" shapeId="0" xr:uid="{C3EC6CBA-307A-484B-BCAD-E9CDE5B84283}">
      <text>
        <r>
          <rPr>
            <sz val="9"/>
            <color indexed="81"/>
            <rFont val="Tahoma"/>
            <family val="2"/>
          </rPr>
          <t xml:space="preserve">See note on CFC-11
</t>
        </r>
      </text>
    </comment>
    <comment ref="A424" authorId="0" shapeId="0" xr:uid="{D95FED36-9374-4F18-B685-14BD36A12B46}">
      <text>
        <r>
          <rPr>
            <sz val="9"/>
            <color indexed="81"/>
            <rFont val="Tahoma"/>
            <family val="2"/>
          </rPr>
          <t xml:space="preserve">CF2=CF2
</t>
        </r>
      </text>
    </comment>
    <comment ref="C424" authorId="0" shapeId="0" xr:uid="{0219CFA4-291F-45B3-90CB-07EB0C5EAC43}">
      <text>
        <r>
          <rPr>
            <sz val="9"/>
            <color indexed="81"/>
            <rFont val="Tahoma"/>
            <family val="2"/>
          </rPr>
          <t xml:space="preserve">IPCC, AR6, Table 7, SM7
</t>
        </r>
      </text>
    </comment>
    <comment ref="D424" authorId="0" shapeId="0" xr:uid="{4BC8D6BB-8AC9-42E2-AEBE-1B2DAE2DF5A6}">
      <text>
        <r>
          <rPr>
            <sz val="9"/>
            <color indexed="81"/>
            <rFont val="Tahoma"/>
            <family val="2"/>
          </rPr>
          <t>based on IPCC AR6 WG1 
table 7.SM.8-13</t>
        </r>
      </text>
    </comment>
    <comment ref="E424" authorId="0" shapeId="0" xr:uid="{738A23AB-BABF-48E4-9350-E2001B417E68}">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4" authorId="0" shapeId="0" xr:uid="{5BF515C9-9090-450B-B5DE-EB5CE155B3A0}">
      <text>
        <r>
          <rPr>
            <sz val="9"/>
            <color indexed="81"/>
            <rFont val="Tahoma"/>
            <family val="2"/>
          </rPr>
          <t xml:space="preserve">See note on CFC-11
</t>
        </r>
      </text>
    </comment>
    <comment ref="I424" authorId="0" shapeId="0" xr:uid="{2AC67FC5-0684-4CDC-B810-FE8483A08ACB}">
      <text>
        <r>
          <rPr>
            <sz val="9"/>
            <color indexed="81"/>
            <rFont val="Tahoma"/>
            <family val="2"/>
          </rPr>
          <t xml:space="preserve">See note on CFC-11
</t>
        </r>
      </text>
    </comment>
    <comment ref="J424" authorId="0" shapeId="0" xr:uid="{5E974048-FDE2-4408-8126-9C12BCB1766E}">
      <text>
        <r>
          <rPr>
            <sz val="9"/>
            <color indexed="81"/>
            <rFont val="Tahoma"/>
            <family val="2"/>
          </rPr>
          <t xml:space="preserve">See note on CFC-11
</t>
        </r>
      </text>
    </comment>
    <comment ref="A425" authorId="0" shapeId="0" xr:uid="{7471ED14-4148-4A28-9F28-6C6165B96DC0}">
      <text>
        <r>
          <rPr>
            <sz val="9"/>
            <color indexed="81"/>
            <rFont val="Tahoma"/>
            <family val="2"/>
          </rPr>
          <t xml:space="preserve">CF3CF=CF2
</t>
        </r>
      </text>
    </comment>
    <comment ref="C425" authorId="0" shapeId="0" xr:uid="{F22D939E-0F5E-4153-AE05-0C179BA094D1}">
      <text>
        <r>
          <rPr>
            <sz val="9"/>
            <color indexed="81"/>
            <rFont val="Tahoma"/>
            <family val="2"/>
          </rPr>
          <t xml:space="preserve">IPCC, AR6, Table 7, SM7
</t>
        </r>
      </text>
    </comment>
    <comment ref="D425" authorId="0" shapeId="0" xr:uid="{04D54A0F-2137-4E0C-B6C5-FB45E3BB76E2}">
      <text>
        <r>
          <rPr>
            <sz val="9"/>
            <color indexed="81"/>
            <rFont val="Tahoma"/>
            <family val="2"/>
          </rPr>
          <t>based on IPCC AR6 WG1 
table 7.SM.8-13</t>
        </r>
      </text>
    </comment>
    <comment ref="E425" authorId="0" shapeId="0" xr:uid="{415D5DB8-EE2E-4A4A-8EBD-8D527EF18DE0}">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5" authorId="0" shapeId="0" xr:uid="{781FFEEC-3304-4443-8A8D-40BACB4D658F}">
      <text>
        <r>
          <rPr>
            <sz val="9"/>
            <color indexed="81"/>
            <rFont val="Tahoma"/>
            <family val="2"/>
          </rPr>
          <t xml:space="preserve">See note on CFC-11
</t>
        </r>
      </text>
    </comment>
    <comment ref="I425" authorId="0" shapeId="0" xr:uid="{11F4EEEB-74FC-4952-8891-7B326FDAFA29}">
      <text>
        <r>
          <rPr>
            <sz val="9"/>
            <color indexed="81"/>
            <rFont val="Tahoma"/>
            <family val="2"/>
          </rPr>
          <t xml:space="preserve">See note on CFC-11
</t>
        </r>
      </text>
    </comment>
    <comment ref="J425" authorId="0" shapeId="0" xr:uid="{FFA58BBC-ABE4-4B84-8182-3EE2160AA062}">
      <text>
        <r>
          <rPr>
            <sz val="9"/>
            <color indexed="81"/>
            <rFont val="Tahoma"/>
            <family val="2"/>
          </rPr>
          <t xml:space="preserve">See note on CFC-11
</t>
        </r>
      </text>
    </comment>
    <comment ref="A426" authorId="0" shapeId="0" xr:uid="{002B2E36-F4E3-416B-86A2-08AE1B6DB3AC}">
      <text>
        <r>
          <rPr>
            <sz val="9"/>
            <color indexed="81"/>
            <rFont val="Tahoma"/>
            <family val="2"/>
          </rPr>
          <t xml:space="preserve">CF2=CFCF=CF2
</t>
        </r>
      </text>
    </comment>
    <comment ref="C426" authorId="0" shapeId="0" xr:uid="{41E36352-F0AE-4F4C-AECE-01BEE4D7872A}">
      <text>
        <r>
          <rPr>
            <sz val="9"/>
            <color indexed="81"/>
            <rFont val="Tahoma"/>
            <family val="2"/>
          </rPr>
          <t xml:space="preserve">IPCC, AR6, Table 7, SM7
</t>
        </r>
      </text>
    </comment>
    <comment ref="D426" authorId="0" shapeId="0" xr:uid="{3DFB2DD8-9A50-460D-825D-5A0EEEC5F53F}">
      <text>
        <r>
          <rPr>
            <sz val="9"/>
            <color indexed="81"/>
            <rFont val="Tahoma"/>
            <family val="2"/>
          </rPr>
          <t>based on IPCC AR6 WG1 
table 7.SM.8-13</t>
        </r>
      </text>
    </comment>
    <comment ref="E426" authorId="0" shapeId="0" xr:uid="{85B1DD0D-E4E6-4BB0-98AF-3367845874BD}">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6" authorId="0" shapeId="0" xr:uid="{75C8A0D5-95E1-4855-82F2-D3A62CA1F6FA}">
      <text>
        <r>
          <rPr>
            <sz val="9"/>
            <color indexed="81"/>
            <rFont val="Tahoma"/>
            <family val="2"/>
          </rPr>
          <t xml:space="preserve">See note on CFC-11
</t>
        </r>
      </text>
    </comment>
    <comment ref="I426" authorId="0" shapeId="0" xr:uid="{9FD18DF9-B9CF-40B7-BE67-F29F31D07BB3}">
      <text>
        <r>
          <rPr>
            <sz val="9"/>
            <color indexed="81"/>
            <rFont val="Tahoma"/>
            <family val="2"/>
          </rPr>
          <t xml:space="preserve">See note on CFC-11
</t>
        </r>
      </text>
    </comment>
    <comment ref="J426" authorId="0" shapeId="0" xr:uid="{30CD2EDA-4B63-4319-B85E-E96FE0E5EBB3}">
      <text>
        <r>
          <rPr>
            <sz val="9"/>
            <color indexed="81"/>
            <rFont val="Tahoma"/>
            <family val="2"/>
          </rPr>
          <t xml:space="preserve">See note on CFC-11
</t>
        </r>
      </text>
    </comment>
    <comment ref="A427" authorId="0" shapeId="0" xr:uid="{C2466F4E-7A09-4AC6-BAD1-F3C5EE751564}">
      <text>
        <r>
          <rPr>
            <sz val="9"/>
            <color indexed="81"/>
            <rFont val="Tahoma"/>
            <family val="2"/>
          </rPr>
          <t xml:space="preserve">CF3CF2CF=CF2
</t>
        </r>
      </text>
    </comment>
    <comment ref="C427" authorId="0" shapeId="0" xr:uid="{EB3E9970-AD32-4911-9A36-DEB47FA68A99}">
      <text>
        <r>
          <rPr>
            <sz val="9"/>
            <color indexed="81"/>
            <rFont val="Tahoma"/>
            <family val="2"/>
          </rPr>
          <t xml:space="preserve">IPCC, AR6, Table 7, SM7
</t>
        </r>
      </text>
    </comment>
    <comment ref="D427" authorId="0" shapeId="0" xr:uid="{67667E21-72DF-460B-8BE3-F06FA08BA4F9}">
      <text>
        <r>
          <rPr>
            <sz val="9"/>
            <color indexed="81"/>
            <rFont val="Tahoma"/>
            <family val="2"/>
          </rPr>
          <t>based on IPCC AR6 WG1 
table 7.SM.8-13</t>
        </r>
      </text>
    </comment>
    <comment ref="E427" authorId="0" shapeId="0" xr:uid="{467F32B5-DE40-4D73-9ED5-0C5D94CD824B}">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7" authorId="0" shapeId="0" xr:uid="{369D3175-8575-4D4D-95E8-AE158BDD5D61}">
      <text>
        <r>
          <rPr>
            <sz val="9"/>
            <color indexed="81"/>
            <rFont val="Tahoma"/>
            <family val="2"/>
          </rPr>
          <t xml:space="preserve">See note on CFC-11
</t>
        </r>
      </text>
    </comment>
    <comment ref="I427" authorId="0" shapeId="0" xr:uid="{690BA237-49C3-4137-AB9B-75796898F29E}">
      <text>
        <r>
          <rPr>
            <sz val="9"/>
            <color indexed="81"/>
            <rFont val="Tahoma"/>
            <family val="2"/>
          </rPr>
          <t xml:space="preserve">See note on CFC-11
</t>
        </r>
      </text>
    </comment>
    <comment ref="J427" authorId="0" shapeId="0" xr:uid="{DB869A93-6D19-4F9C-9B44-875C2046AABC}">
      <text>
        <r>
          <rPr>
            <sz val="9"/>
            <color indexed="81"/>
            <rFont val="Tahoma"/>
            <family val="2"/>
          </rPr>
          <t xml:space="preserve">See note on CFC-11
</t>
        </r>
      </text>
    </comment>
    <comment ref="A428" authorId="0" shapeId="0" xr:uid="{E58FA7C5-123C-4908-8070-ACE0C0F4971E}">
      <text>
        <r>
          <rPr>
            <sz val="9"/>
            <color indexed="81"/>
            <rFont val="Tahoma"/>
            <family val="2"/>
          </rPr>
          <t xml:space="preserve">CF3CF=CFCF3
</t>
        </r>
      </text>
    </comment>
    <comment ref="C428" authorId="0" shapeId="0" xr:uid="{3FA186B2-D51F-4B56-9300-F136A212B2B8}">
      <text>
        <r>
          <rPr>
            <sz val="9"/>
            <color indexed="81"/>
            <rFont val="Tahoma"/>
            <family val="2"/>
          </rPr>
          <t xml:space="preserve">IPCC, AR6, Table 7, SM7
</t>
        </r>
      </text>
    </comment>
    <comment ref="D428" authorId="0" shapeId="0" xr:uid="{049E4406-31F9-4A12-BADC-DC8DCDF998FF}">
      <text>
        <r>
          <rPr>
            <sz val="9"/>
            <color indexed="81"/>
            <rFont val="Tahoma"/>
            <family val="2"/>
          </rPr>
          <t>based on IPCC AR6 WG1 
table 7.SM.8-13</t>
        </r>
      </text>
    </comment>
    <comment ref="E428" authorId="0" shapeId="0" xr:uid="{378DE99D-3C2A-4332-865F-A6D385A4AABF}">
      <text>
        <r>
          <rPr>
            <sz val="9"/>
            <color indexed="81"/>
            <rFont val="Tahoma"/>
            <family val="2"/>
          </rPr>
          <t xml:space="preserve">Assumed to be 0 as no known fully flourinated species are known to have an ODP. Burkholder and Hodnebrog , NOAA, 2022, ANNEX Summary of Abundances, Lifetimes, ODPs, REs, GWPs, and GTP
</t>
        </r>
      </text>
    </comment>
    <comment ref="G428" authorId="0" shapeId="0" xr:uid="{E72B4202-1FFF-410A-9840-2611A156E8CE}">
      <text>
        <r>
          <rPr>
            <sz val="9"/>
            <color indexed="81"/>
            <rFont val="Tahoma"/>
            <family val="2"/>
          </rPr>
          <t xml:space="preserve">See note on CFC-11
</t>
        </r>
      </text>
    </comment>
    <comment ref="I428" authorId="0" shapeId="0" xr:uid="{896BECCB-7BB2-49DA-9B2D-6B06D8496E64}">
      <text>
        <r>
          <rPr>
            <sz val="9"/>
            <color indexed="81"/>
            <rFont val="Tahoma"/>
            <family val="2"/>
          </rPr>
          <t xml:space="preserve">See note on CFC-11
</t>
        </r>
      </text>
    </comment>
    <comment ref="J428" authorId="0" shapeId="0" xr:uid="{6BB2E5B2-2A63-4D5B-9945-308D16E2E25F}">
      <text>
        <r>
          <rPr>
            <sz val="9"/>
            <color indexed="81"/>
            <rFont val="Tahoma"/>
            <family val="2"/>
          </rPr>
          <t xml:space="preserve">See note on CFC-11
</t>
        </r>
      </text>
    </comment>
    <comment ref="G429" authorId="0" shapeId="0" xr:uid="{4D084B18-336D-4619-BD3E-1C616F56E992}">
      <text>
        <r>
          <rPr>
            <sz val="9"/>
            <color indexed="81"/>
            <rFont val="Tahoma"/>
            <family val="2"/>
          </rPr>
          <t xml:space="preserve">See note on CFC-11
</t>
        </r>
      </text>
    </comment>
    <comment ref="A430" authorId="0" shapeId="0" xr:uid="{23DCD557-774B-456C-805A-92FD9F6152C4}">
      <text>
        <r>
          <rPr>
            <sz val="9"/>
            <color indexed="81"/>
            <rFont val="Tahoma"/>
            <family val="2"/>
          </rPr>
          <t xml:space="preserve">CHF2OCF3
</t>
        </r>
      </text>
    </comment>
    <comment ref="C430" authorId="0" shapeId="0" xr:uid="{4BEB2F09-3A6A-4C07-BD0A-B1DBB85C76CD}">
      <text>
        <r>
          <rPr>
            <sz val="9"/>
            <color indexed="81"/>
            <rFont val="Tahoma"/>
            <family val="2"/>
          </rPr>
          <t xml:space="preserve">IPCC, AR6, Table 7, SM7
</t>
        </r>
      </text>
    </comment>
    <comment ref="D430" authorId="0" shapeId="0" xr:uid="{42A205D1-8D19-435A-AD0D-D415EB98CE72}">
      <text>
        <r>
          <rPr>
            <sz val="9"/>
            <color indexed="81"/>
            <rFont val="Tahoma"/>
            <family val="2"/>
          </rPr>
          <t>based on IPCC AR6 WG1 
table 7.SM.8-13</t>
        </r>
      </text>
    </comment>
    <comment ref="E430" authorId="0" shapeId="0" xr:uid="{E7ECBDFA-33E5-4045-9868-5A27EAF959A1}">
      <text>
        <r>
          <rPr>
            <sz val="9"/>
            <color indexed="81"/>
            <rFont val="Tahoma"/>
            <family val="2"/>
          </rPr>
          <t xml:space="preserve">Burkholder and Hodnebrog , NOAA, 2022, ANNEX Summary of Abundances, Lifetimes, ODPs, REs, GWPs, and GTP
</t>
        </r>
      </text>
    </comment>
    <comment ref="G430" authorId="0" shapeId="0" xr:uid="{0FD8C767-D929-4722-B70D-4072324E047C}">
      <text>
        <r>
          <rPr>
            <sz val="9"/>
            <color indexed="81"/>
            <rFont val="Tahoma"/>
            <family val="2"/>
          </rPr>
          <t xml:space="preserve">See note on CFC-11
</t>
        </r>
      </text>
    </comment>
    <comment ref="I430" authorId="0" shapeId="0" xr:uid="{58E85511-492C-4AEA-925C-AFCD378F0484}">
      <text>
        <r>
          <rPr>
            <sz val="9"/>
            <color indexed="81"/>
            <rFont val="Tahoma"/>
            <family val="2"/>
          </rPr>
          <t xml:space="preserve">See note on CFC-11
</t>
        </r>
      </text>
    </comment>
    <comment ref="J430" authorId="0" shapeId="0" xr:uid="{270FEE07-B489-4C64-B543-17A9F9472187}">
      <text>
        <r>
          <rPr>
            <sz val="9"/>
            <color indexed="81"/>
            <rFont val="Tahoma"/>
            <family val="2"/>
          </rPr>
          <t xml:space="preserve">See note on CFC-11
</t>
        </r>
      </text>
    </comment>
    <comment ref="A431" authorId="0" shapeId="0" xr:uid="{5E7A7213-BFD1-4C19-B43C-A32E7163A0E6}">
      <text>
        <r>
          <rPr>
            <sz val="9"/>
            <color indexed="81"/>
            <rFont val="Tahoma"/>
            <family val="2"/>
          </rPr>
          <t xml:space="preserve">CHF2OCHF2
</t>
        </r>
      </text>
    </comment>
    <comment ref="C431" authorId="0" shapeId="0" xr:uid="{017ED6AE-BAEB-47FF-A246-D6871BD5CC5C}">
      <text>
        <r>
          <rPr>
            <sz val="9"/>
            <color indexed="81"/>
            <rFont val="Tahoma"/>
            <family val="2"/>
          </rPr>
          <t xml:space="preserve">IPCC, AR6, Table 7, SM7
</t>
        </r>
      </text>
    </comment>
    <comment ref="D431" authorId="0" shapeId="0" xr:uid="{EB4D455B-5C3E-4DD7-BD52-206E135B952E}">
      <text>
        <r>
          <rPr>
            <sz val="9"/>
            <color indexed="81"/>
            <rFont val="Tahoma"/>
            <family val="2"/>
          </rPr>
          <t>based on IPCC AR6 WG1 
table 7.SM.8-13</t>
        </r>
      </text>
    </comment>
    <comment ref="E431" authorId="0" shapeId="0" xr:uid="{5BE9228E-9950-4558-BDEC-4C2E9B9F25B4}">
      <text>
        <r>
          <rPr>
            <sz val="9"/>
            <color indexed="81"/>
            <rFont val="Tahoma"/>
            <family val="2"/>
          </rPr>
          <t xml:space="preserve">Burkholder and Hodnebrog , NOAA, 2022, ANNEX Summary of Abundances, Lifetimes, ODPs, REs, GWPs, and GTP
</t>
        </r>
      </text>
    </comment>
    <comment ref="G431" authorId="0" shapeId="0" xr:uid="{289C5F09-2008-4328-ACAC-0C3E7537F574}">
      <text>
        <r>
          <rPr>
            <sz val="9"/>
            <color indexed="81"/>
            <rFont val="Tahoma"/>
            <family val="2"/>
          </rPr>
          <t xml:space="preserve">See note on CFC-11
</t>
        </r>
      </text>
    </comment>
    <comment ref="I431" authorId="0" shapeId="0" xr:uid="{A2617038-FA37-46C7-8148-DEB70BD539EB}">
      <text>
        <r>
          <rPr>
            <sz val="9"/>
            <color indexed="81"/>
            <rFont val="Tahoma"/>
            <family val="2"/>
          </rPr>
          <t xml:space="preserve">See note on CFC-11
</t>
        </r>
      </text>
    </comment>
    <comment ref="J431" authorId="0" shapeId="0" xr:uid="{9E0756E7-562E-4DE9-BB8A-14786F5D1E63}">
      <text>
        <r>
          <rPr>
            <sz val="9"/>
            <color indexed="81"/>
            <rFont val="Tahoma"/>
            <family val="2"/>
          </rPr>
          <t xml:space="preserve">See note on CFC-11
</t>
        </r>
      </text>
    </comment>
    <comment ref="A432" authorId="0" shapeId="0" xr:uid="{3875FF74-8B42-4C5F-BF24-3432BF8BAC1A}">
      <text>
        <r>
          <rPr>
            <sz val="9"/>
            <color indexed="81"/>
            <rFont val="Tahoma"/>
            <family val="2"/>
          </rPr>
          <t xml:space="preserve">CH3OCF3
</t>
        </r>
      </text>
    </comment>
    <comment ref="C432" authorId="0" shapeId="0" xr:uid="{852E5392-B8D6-4254-86CB-63B92A09B33C}">
      <text>
        <r>
          <rPr>
            <sz val="9"/>
            <color indexed="81"/>
            <rFont val="Tahoma"/>
            <family val="2"/>
          </rPr>
          <t xml:space="preserve">IPCC, AR6, Table 7, SM7
</t>
        </r>
      </text>
    </comment>
    <comment ref="D432" authorId="0" shapeId="0" xr:uid="{A3513728-2B27-455B-85EE-B0851B02459E}">
      <text>
        <r>
          <rPr>
            <sz val="9"/>
            <color indexed="81"/>
            <rFont val="Tahoma"/>
            <family val="2"/>
          </rPr>
          <t>based on IPCC AR6 WG1 
table 7.SM.8-13</t>
        </r>
      </text>
    </comment>
    <comment ref="E432" authorId="0" shapeId="0" xr:uid="{7481477D-9419-4E33-8C9B-F8471CACC8CC}">
      <text>
        <r>
          <rPr>
            <sz val="9"/>
            <color indexed="81"/>
            <rFont val="Tahoma"/>
            <family val="2"/>
          </rPr>
          <t xml:space="preserve">Burkholder and Hodnebrog , NOAA, 2022, ANNEX Summary of Abundances, Lifetimes, ODPs, REs, GWPs, and GTP
</t>
        </r>
      </text>
    </comment>
    <comment ref="G432" authorId="0" shapeId="0" xr:uid="{E3858A2B-EE9C-4400-99BB-01215096663E}">
      <text>
        <r>
          <rPr>
            <sz val="9"/>
            <color indexed="81"/>
            <rFont val="Tahoma"/>
            <family val="2"/>
          </rPr>
          <t xml:space="preserve">See note on CFC-11
</t>
        </r>
      </text>
    </comment>
    <comment ref="I432" authorId="0" shapeId="0" xr:uid="{23955CDF-F0C8-4ABD-8CAE-0F12D57AC891}">
      <text>
        <r>
          <rPr>
            <sz val="9"/>
            <color indexed="81"/>
            <rFont val="Tahoma"/>
            <family val="2"/>
          </rPr>
          <t xml:space="preserve">See note on CFC-11
</t>
        </r>
      </text>
    </comment>
    <comment ref="J432" authorId="0" shapeId="0" xr:uid="{96664CA3-2F34-4AC6-84FF-084C543C939E}">
      <text>
        <r>
          <rPr>
            <sz val="9"/>
            <color indexed="81"/>
            <rFont val="Tahoma"/>
            <family val="2"/>
          </rPr>
          <t xml:space="preserve">See note on CFC-11
</t>
        </r>
      </text>
    </comment>
    <comment ref="A433" authorId="0" shapeId="0" xr:uid="{377EDFB0-333A-4A54-8996-CF9EE5F1D39E}">
      <text>
        <r>
          <rPr>
            <sz val="9"/>
            <color indexed="81"/>
            <rFont val="Tahoma"/>
            <family val="2"/>
          </rPr>
          <t xml:space="preserve">CF3CHFOCF3
</t>
        </r>
      </text>
    </comment>
    <comment ref="C433" authorId="0" shapeId="0" xr:uid="{5415BC5C-F4BB-40C7-AB7D-58FBB12E73DE}">
      <text>
        <r>
          <rPr>
            <sz val="9"/>
            <color indexed="81"/>
            <rFont val="Tahoma"/>
            <family val="2"/>
          </rPr>
          <t xml:space="preserve">IPCC, AR6, Table 7, SM7
</t>
        </r>
      </text>
    </comment>
    <comment ref="D433" authorId="0" shapeId="0" xr:uid="{6E93FEB4-FF96-4BAE-9EBF-27798BAE060B}">
      <text>
        <r>
          <rPr>
            <sz val="9"/>
            <color indexed="81"/>
            <rFont val="Tahoma"/>
            <family val="2"/>
          </rPr>
          <t>based on IPCC AR6 WG1 
table 7.SM.8-13</t>
        </r>
      </text>
    </comment>
    <comment ref="E433" authorId="0" shapeId="0" xr:uid="{782303A3-0C08-4F4B-8942-EDBA3FA61F62}">
      <text>
        <r>
          <rPr>
            <sz val="9"/>
            <color indexed="81"/>
            <rFont val="Tahoma"/>
            <family val="2"/>
          </rPr>
          <t xml:space="preserve">Burkholder and Hodnebrog , NOAA, 2022, ANNEX Summary of Abundances, Lifetimes, ODPs, REs, GWPs, and GTP
</t>
        </r>
      </text>
    </comment>
    <comment ref="G433" authorId="0" shapeId="0" xr:uid="{75E4270D-269C-4B5E-A1DD-7F0113C7E5E2}">
      <text>
        <r>
          <rPr>
            <sz val="9"/>
            <color indexed="81"/>
            <rFont val="Tahoma"/>
            <family val="2"/>
          </rPr>
          <t xml:space="preserve">See note on CFC-11
</t>
        </r>
      </text>
    </comment>
    <comment ref="I433" authorId="0" shapeId="0" xr:uid="{5B1D390E-65AC-4A5F-9B3F-D9CFB6E492D9}">
      <text>
        <r>
          <rPr>
            <sz val="9"/>
            <color indexed="81"/>
            <rFont val="Tahoma"/>
            <family val="2"/>
          </rPr>
          <t xml:space="preserve">See note on CFC-11
</t>
        </r>
      </text>
    </comment>
    <comment ref="J433" authorId="0" shapeId="0" xr:uid="{41923F35-13F3-455A-946C-1C61B92C5DAF}">
      <text>
        <r>
          <rPr>
            <sz val="9"/>
            <color indexed="81"/>
            <rFont val="Tahoma"/>
            <family val="2"/>
          </rPr>
          <t xml:space="preserve">See note on CFC-11
</t>
        </r>
      </text>
    </comment>
    <comment ref="A434" authorId="0" shapeId="0" xr:uid="{C8216199-896A-420D-8CD5-A95409383B0D}">
      <text>
        <r>
          <rPr>
            <sz val="9"/>
            <color indexed="81"/>
            <rFont val="Tahoma"/>
            <family val="2"/>
          </rPr>
          <t xml:space="preserve">CHF2OCF2CHFCl
</t>
        </r>
      </text>
    </comment>
    <comment ref="C434" authorId="0" shapeId="0" xr:uid="{853A73B1-84AE-45DF-9706-DE531622BF3B}">
      <text>
        <r>
          <rPr>
            <sz val="9"/>
            <color indexed="81"/>
            <rFont val="Tahoma"/>
            <family val="2"/>
          </rPr>
          <t xml:space="preserve">IPCC, AR6, Table 7, SM7
</t>
        </r>
      </text>
    </comment>
    <comment ref="D434" authorId="0" shapeId="0" xr:uid="{5A2C7737-4F89-41E9-934D-34383391FA0E}">
      <text>
        <r>
          <rPr>
            <sz val="9"/>
            <color indexed="81"/>
            <rFont val="Tahoma"/>
            <family val="2"/>
          </rPr>
          <t>based on IPCC AR6 WG1 
table 7.SM.8-13</t>
        </r>
      </text>
    </comment>
    <comment ref="E434" authorId="0" shapeId="0" xr:uid="{2206E5B2-AB59-4EEE-92E5-6575F830407E}">
      <text>
        <r>
          <rPr>
            <sz val="9"/>
            <color indexed="81"/>
            <rFont val="Tahoma"/>
            <family val="2"/>
          </rPr>
          <t xml:space="preserve">Burkholder and Hodnebrog , NOAA, 2022, ANNEX Summary of Abundances, Lifetimes, ODPs, REs, GWPs, and GTP
</t>
        </r>
      </text>
    </comment>
    <comment ref="F434" authorId="0" shapeId="0" xr:uid="{4F9AE991-C039-4115-8A24-A58FDF30CC48}">
      <text>
        <r>
          <rPr>
            <sz val="9"/>
            <color indexed="81"/>
            <rFont val="Tahoma"/>
            <family val="2"/>
          </rPr>
          <t xml:space="preserve">lifetimes of 3-4 years will give moderate variations due to location of emissions
</t>
        </r>
      </text>
    </comment>
    <comment ref="G434" authorId="0" shapeId="0" xr:uid="{4B75E5AB-1A84-4068-8416-D03F01CDA153}">
      <text>
        <r>
          <rPr>
            <sz val="9"/>
            <color indexed="81"/>
            <rFont val="Tahoma"/>
            <family val="2"/>
          </rPr>
          <t xml:space="preserve">See note on CFC-11
</t>
        </r>
      </text>
    </comment>
    <comment ref="I434" authorId="0" shapeId="0" xr:uid="{8FE97262-492F-43D4-8E57-26B3C94BE061}">
      <text>
        <r>
          <rPr>
            <sz val="9"/>
            <color indexed="81"/>
            <rFont val="Tahoma"/>
            <family val="2"/>
          </rPr>
          <t xml:space="preserve">See note on CFC-11
</t>
        </r>
      </text>
    </comment>
    <comment ref="J434" authorId="0" shapeId="0" xr:uid="{8ABE5083-3C34-44F4-A703-2DC64D612BF8}">
      <text>
        <r>
          <rPr>
            <sz val="9"/>
            <color indexed="81"/>
            <rFont val="Tahoma"/>
            <family val="2"/>
          </rPr>
          <t xml:space="preserve">See note on CFC-11
</t>
        </r>
      </text>
    </comment>
    <comment ref="A435" authorId="0" shapeId="0" xr:uid="{FF63FC41-EC79-4264-8DA4-9ACD34277AC3}">
      <text>
        <r>
          <rPr>
            <sz val="9"/>
            <color indexed="81"/>
            <rFont val="Tahoma"/>
            <family val="2"/>
          </rPr>
          <t>CHF2OCHClCF3</t>
        </r>
      </text>
    </comment>
    <comment ref="C435" authorId="0" shapeId="0" xr:uid="{0F44AAE7-BB24-40EC-9879-D2C72129D75F}">
      <text>
        <r>
          <rPr>
            <sz val="9"/>
            <color indexed="81"/>
            <rFont val="Tahoma"/>
            <family val="2"/>
          </rPr>
          <t xml:space="preserve">IPCC, AR6, Table 7, SM7
</t>
        </r>
      </text>
    </comment>
    <comment ref="D435" authorId="0" shapeId="0" xr:uid="{8BF1D909-66F5-4E08-A669-AAFAE9914AB3}">
      <text>
        <r>
          <rPr>
            <sz val="9"/>
            <color indexed="81"/>
            <rFont val="Tahoma"/>
            <family val="2"/>
          </rPr>
          <t>based on IPCC AR6 WG1 
table 7.SM.8-13</t>
        </r>
      </text>
    </comment>
    <comment ref="E435" authorId="0" shapeId="0" xr:uid="{FF76CA6B-F3F0-4386-9A11-DA014D768829}">
      <text>
        <r>
          <rPr>
            <sz val="9"/>
            <color indexed="81"/>
            <rFont val="Tahoma"/>
            <family val="2"/>
          </rPr>
          <t xml:space="preserve">Burkholder and Hodnebrog , NOAA, 2022, ANNEX Summary of Abundances, Lifetimes, ODPs, REs, GWPs, and GTP
</t>
        </r>
      </text>
    </comment>
    <comment ref="F435" authorId="0" shapeId="0" xr:uid="{B8D0CAB4-B438-4426-BBB1-43D6D1F1CA4E}">
      <text>
        <r>
          <rPr>
            <sz val="9"/>
            <color indexed="81"/>
            <rFont val="Tahoma"/>
            <family val="2"/>
          </rPr>
          <t xml:space="preserve">lifetimes of 3-4 years will give moderate variations due to location of emissions
</t>
        </r>
      </text>
    </comment>
    <comment ref="G435" authorId="0" shapeId="0" xr:uid="{3F311AB0-C3BE-426D-A28E-6420C3AA27D0}">
      <text>
        <r>
          <rPr>
            <sz val="9"/>
            <color indexed="81"/>
            <rFont val="Tahoma"/>
            <family val="2"/>
          </rPr>
          <t xml:space="preserve">See note on CFC-11
</t>
        </r>
      </text>
    </comment>
    <comment ref="I435" authorId="0" shapeId="0" xr:uid="{09B74065-2046-4A57-B3B3-A6B6B9AE5C16}">
      <text>
        <r>
          <rPr>
            <sz val="9"/>
            <color indexed="81"/>
            <rFont val="Tahoma"/>
            <family val="2"/>
          </rPr>
          <t xml:space="preserve">See note on CFC-11
</t>
        </r>
      </text>
    </comment>
    <comment ref="J435" authorId="0" shapeId="0" xr:uid="{EF2D40DA-9906-40E1-B3A8-9605C0D8BCA1}">
      <text>
        <r>
          <rPr>
            <sz val="9"/>
            <color indexed="81"/>
            <rFont val="Tahoma"/>
            <family val="2"/>
          </rPr>
          <t xml:space="preserve">See note on CFC-11
</t>
        </r>
      </text>
    </comment>
    <comment ref="A436" authorId="0" shapeId="0" xr:uid="{DC5A713D-40E8-4648-AE7B-9B59DFB3DFAF}">
      <text>
        <r>
          <rPr>
            <sz val="9"/>
            <color indexed="81"/>
            <rFont val="Tahoma"/>
            <family val="2"/>
          </rPr>
          <t>CHF2OCHFCF3</t>
        </r>
      </text>
    </comment>
    <comment ref="C436" authorId="0" shapeId="0" xr:uid="{458475B7-55F8-4DF2-AF4C-EAAAE5ACA50E}">
      <text>
        <r>
          <rPr>
            <sz val="9"/>
            <color indexed="81"/>
            <rFont val="Tahoma"/>
            <family val="2"/>
          </rPr>
          <t xml:space="preserve">IPCC, AR6, Table 7, SM7
</t>
        </r>
      </text>
    </comment>
    <comment ref="D436" authorId="0" shapeId="0" xr:uid="{50B473E0-557B-4CD4-8B89-A4942BCA5AF9}">
      <text>
        <r>
          <rPr>
            <sz val="9"/>
            <color indexed="81"/>
            <rFont val="Tahoma"/>
            <family val="2"/>
          </rPr>
          <t>based on IPCC AR6 WG1 
table 7.SM.8-13</t>
        </r>
      </text>
    </comment>
    <comment ref="E436" authorId="0" shapeId="0" xr:uid="{5E2CB123-8059-4495-84E7-F1C37EB00FE3}">
      <text>
        <r>
          <rPr>
            <sz val="9"/>
            <color indexed="81"/>
            <rFont val="Tahoma"/>
            <family val="2"/>
          </rPr>
          <t xml:space="preserve">Burkholder and Hodnebrog , NOAA, 2022, ANNEX Summary of Abundances, Lifetimes, ODPs, REs, GWPs, and GTP
</t>
        </r>
      </text>
    </comment>
    <comment ref="G436" authorId="0" shapeId="0" xr:uid="{34DF9CB4-00BC-4DC7-B175-96010D60EC76}">
      <text>
        <r>
          <rPr>
            <sz val="9"/>
            <color indexed="81"/>
            <rFont val="Tahoma"/>
            <family val="2"/>
          </rPr>
          <t xml:space="preserve">See note on CFC-11
</t>
        </r>
      </text>
    </comment>
    <comment ref="I436" authorId="0" shapeId="0" xr:uid="{6E2AFEF4-40F2-4CF7-8956-8588F00C5010}">
      <text>
        <r>
          <rPr>
            <sz val="9"/>
            <color indexed="81"/>
            <rFont val="Tahoma"/>
            <family val="2"/>
          </rPr>
          <t xml:space="preserve">See note on CFC-11
</t>
        </r>
      </text>
    </comment>
    <comment ref="J436" authorId="0" shapeId="0" xr:uid="{706DA26F-DA92-496F-8205-EF0FBCC5EF75}">
      <text>
        <r>
          <rPr>
            <sz val="9"/>
            <color indexed="81"/>
            <rFont val="Tahoma"/>
            <family val="2"/>
          </rPr>
          <t xml:space="preserve">See note on CFC-11
</t>
        </r>
      </text>
    </comment>
    <comment ref="A437" authorId="0" shapeId="0" xr:uid="{5284D715-4CDA-455F-8F0B-137144D32D49}">
      <text>
        <r>
          <rPr>
            <sz val="9"/>
            <color indexed="81"/>
            <rFont val="Tahoma"/>
            <family val="2"/>
          </rPr>
          <t xml:space="preserve">CF3CH2OCF3
</t>
        </r>
      </text>
    </comment>
    <comment ref="C437" authorId="0" shapeId="0" xr:uid="{FA6D4C31-4D8E-4973-8B3B-93E0590DFD1C}">
      <text>
        <r>
          <rPr>
            <sz val="9"/>
            <color indexed="81"/>
            <rFont val="Tahoma"/>
            <family val="2"/>
          </rPr>
          <t xml:space="preserve">IPCC, AR6, Table 7, SM7
</t>
        </r>
      </text>
    </comment>
    <comment ref="D437" authorId="0" shapeId="0" xr:uid="{279523F2-A66E-4566-8290-DE7304DC429F}">
      <text>
        <r>
          <rPr>
            <sz val="9"/>
            <color indexed="81"/>
            <rFont val="Tahoma"/>
            <family val="2"/>
          </rPr>
          <t>based on IPCC AR6 WG1 
table 7.SM.8-13</t>
        </r>
      </text>
    </comment>
    <comment ref="E437" authorId="0" shapeId="0" xr:uid="{1C218C77-DD8E-4617-9399-CBF5AC4395DE}">
      <text>
        <r>
          <rPr>
            <sz val="9"/>
            <color indexed="81"/>
            <rFont val="Tahoma"/>
            <family val="2"/>
          </rPr>
          <t xml:space="preserve">Burkholder and Hodnebrog , NOAA, 2022, ANNEX Summary of Abundances, Lifetimes, ODPs, REs, GWPs, and GTP
</t>
        </r>
      </text>
    </comment>
    <comment ref="G437" authorId="0" shapeId="0" xr:uid="{B1BB3209-7D36-4F3A-9DCB-D92FE51498F8}">
      <text>
        <r>
          <rPr>
            <sz val="9"/>
            <color indexed="81"/>
            <rFont val="Tahoma"/>
            <family val="2"/>
          </rPr>
          <t xml:space="preserve">See note on CFC-11
</t>
        </r>
      </text>
    </comment>
    <comment ref="I437" authorId="0" shapeId="0" xr:uid="{6996A646-E95D-4466-B27F-C27421FDFB99}">
      <text>
        <r>
          <rPr>
            <sz val="9"/>
            <color indexed="81"/>
            <rFont val="Tahoma"/>
            <family val="2"/>
          </rPr>
          <t xml:space="preserve">See note on CFC-11
</t>
        </r>
      </text>
    </comment>
    <comment ref="J437" authorId="0" shapeId="0" xr:uid="{5B924D6F-12CD-437E-8C16-0E4793F5EC75}">
      <text>
        <r>
          <rPr>
            <sz val="9"/>
            <color indexed="81"/>
            <rFont val="Tahoma"/>
            <family val="2"/>
          </rPr>
          <t xml:space="preserve">See note on CFC-11
</t>
        </r>
      </text>
    </comment>
    <comment ref="A438" authorId="0" shapeId="0" xr:uid="{D51110CE-B8A1-4976-AC3B-533B7C760B16}">
      <text>
        <r>
          <rPr>
            <sz val="9"/>
            <color indexed="81"/>
            <rFont val="Tahoma"/>
            <family val="2"/>
          </rPr>
          <t xml:space="preserve">CF3CF2OCH3
</t>
        </r>
      </text>
    </comment>
    <comment ref="C438" authorId="0" shapeId="0" xr:uid="{6B300D30-124F-4C99-AD07-F0541684F00F}">
      <text>
        <r>
          <rPr>
            <sz val="9"/>
            <color indexed="81"/>
            <rFont val="Tahoma"/>
            <family val="2"/>
          </rPr>
          <t xml:space="preserve">IPCC, AR6, Table 7, SM7
</t>
        </r>
      </text>
    </comment>
    <comment ref="D438" authorId="0" shapeId="0" xr:uid="{C07B2D42-E8C6-4357-994A-42B37BA3B9AA}">
      <text>
        <r>
          <rPr>
            <sz val="9"/>
            <color indexed="81"/>
            <rFont val="Tahoma"/>
            <family val="2"/>
          </rPr>
          <t>based on IPCC AR6 WG1 
table 7.SM.8-13</t>
        </r>
      </text>
    </comment>
    <comment ref="E438" authorId="0" shapeId="0" xr:uid="{6C363EF1-D357-4378-AA86-95F8C0C42919}">
      <text>
        <r>
          <rPr>
            <sz val="9"/>
            <color indexed="81"/>
            <rFont val="Tahoma"/>
            <family val="2"/>
          </rPr>
          <t xml:space="preserve">Burkholder and Hodnebrog , NOAA, 2022, ANNEX Summary of Abundances, Lifetimes, ODPs, REs, GWPs, and GTP
</t>
        </r>
      </text>
    </comment>
    <comment ref="G438" authorId="0" shapeId="0" xr:uid="{9332B94C-71C6-49BF-A668-34CC49996A8C}">
      <text>
        <r>
          <rPr>
            <sz val="9"/>
            <color indexed="81"/>
            <rFont val="Tahoma"/>
            <family val="2"/>
          </rPr>
          <t xml:space="preserve">See note on CFC-11
</t>
        </r>
      </text>
    </comment>
    <comment ref="I438" authorId="0" shapeId="0" xr:uid="{5FE49B00-A836-4AB7-BB70-A9FD7E17FF17}">
      <text>
        <r>
          <rPr>
            <sz val="9"/>
            <color indexed="81"/>
            <rFont val="Tahoma"/>
            <family val="2"/>
          </rPr>
          <t xml:space="preserve">See note on CFC-11
</t>
        </r>
      </text>
    </comment>
    <comment ref="J438" authorId="0" shapeId="0" xr:uid="{494B8903-2714-4365-BC93-5D552BC7A748}">
      <text>
        <r>
          <rPr>
            <sz val="9"/>
            <color indexed="81"/>
            <rFont val="Tahoma"/>
            <family val="2"/>
          </rPr>
          <t xml:space="preserve">See note on CFC-11
</t>
        </r>
      </text>
    </comment>
    <comment ref="A439" authorId="0" shapeId="0" xr:uid="{890A264A-ED18-4DAD-A079-E72AFCE1A8F3}">
      <text>
        <r>
          <rPr>
            <sz val="9"/>
            <color indexed="81"/>
            <rFont val="Tahoma"/>
            <family val="2"/>
          </rPr>
          <t xml:space="preserve">CHF2CH2OCF3
</t>
        </r>
      </text>
    </comment>
    <comment ref="C439" authorId="0" shapeId="0" xr:uid="{36CCE391-4EA2-4690-8431-97890CAB6C6C}">
      <text>
        <r>
          <rPr>
            <sz val="9"/>
            <color indexed="81"/>
            <rFont val="Tahoma"/>
            <family val="2"/>
          </rPr>
          <t xml:space="preserve">IPCC, AR6, Table 7, SM7
</t>
        </r>
      </text>
    </comment>
    <comment ref="D439" authorId="0" shapeId="0" xr:uid="{FB706052-610E-4343-997B-23D6B99EA53E}">
      <text>
        <r>
          <rPr>
            <sz val="9"/>
            <color indexed="81"/>
            <rFont val="Tahoma"/>
            <family val="2"/>
          </rPr>
          <t>based on IPCC AR6 WG1 
table 7.SM.8-13</t>
        </r>
      </text>
    </comment>
    <comment ref="E439" authorId="0" shapeId="0" xr:uid="{9E1C4D8B-9889-404C-9B7F-FF5CEF6D93CB}">
      <text>
        <r>
          <rPr>
            <sz val="9"/>
            <color indexed="81"/>
            <rFont val="Tahoma"/>
            <family val="2"/>
          </rPr>
          <t xml:space="preserve">Burkholder and Hodnebrog , NOAA, 2022, ANNEX Summary of Abundances, Lifetimes, ODPs, REs, GWPs, and GTP
</t>
        </r>
      </text>
    </comment>
    <comment ref="G439" authorId="0" shapeId="0" xr:uid="{DF85B39A-8944-4108-AFB6-ECEEF3EDA911}">
      <text>
        <r>
          <rPr>
            <sz val="9"/>
            <color indexed="81"/>
            <rFont val="Tahoma"/>
            <family val="2"/>
          </rPr>
          <t xml:space="preserve">See note on CFC-11
</t>
        </r>
      </text>
    </comment>
    <comment ref="I439" authorId="0" shapeId="0" xr:uid="{914722E4-F8B5-49F7-9615-59D3B886F215}">
      <text>
        <r>
          <rPr>
            <sz val="9"/>
            <color indexed="81"/>
            <rFont val="Tahoma"/>
            <family val="2"/>
          </rPr>
          <t xml:space="preserve">See note on CFC-11
</t>
        </r>
      </text>
    </comment>
    <comment ref="J439" authorId="0" shapeId="0" xr:uid="{0596FFA6-CC2C-48C7-8306-358D607F6494}">
      <text>
        <r>
          <rPr>
            <sz val="9"/>
            <color indexed="81"/>
            <rFont val="Tahoma"/>
            <family val="2"/>
          </rPr>
          <t xml:space="preserve">See note on CFC-11
</t>
        </r>
      </text>
    </comment>
    <comment ref="A440" authorId="0" shapeId="0" xr:uid="{3F2D2CB8-C970-4377-8168-28E66281845D}">
      <text>
        <r>
          <rPr>
            <sz val="9"/>
            <color indexed="81"/>
            <rFont val="Tahoma"/>
            <family val="2"/>
          </rPr>
          <t xml:space="preserve">CHF2OCH2CF3
</t>
        </r>
      </text>
    </comment>
    <comment ref="C440" authorId="0" shapeId="0" xr:uid="{A194AA0E-C47C-4C49-8C07-DB0610A6A28A}">
      <text>
        <r>
          <rPr>
            <sz val="9"/>
            <color indexed="81"/>
            <rFont val="Tahoma"/>
            <family val="2"/>
          </rPr>
          <t xml:space="preserve">IPCC, AR6, Table 7, SM7
</t>
        </r>
      </text>
    </comment>
    <comment ref="D440" authorId="0" shapeId="0" xr:uid="{57A0739D-18B0-4ACD-9F9D-F53CC4C8219D}">
      <text>
        <r>
          <rPr>
            <sz val="9"/>
            <color indexed="81"/>
            <rFont val="Tahoma"/>
            <family val="2"/>
          </rPr>
          <t>based on IPCC AR6 WG1 
table 7.SM.8-13</t>
        </r>
      </text>
    </comment>
    <comment ref="E440" authorId="0" shapeId="0" xr:uid="{57C3B2B6-A06D-4593-8F5E-5B7042C99554}">
      <text>
        <r>
          <rPr>
            <sz val="9"/>
            <color indexed="81"/>
            <rFont val="Tahoma"/>
            <family val="2"/>
          </rPr>
          <t xml:space="preserve">Burkholder and Hodnebrog , NOAA, 2022, ANNEX Summary of Abundances, Lifetimes, ODPs, REs, GWPs, and GTP
</t>
        </r>
      </text>
    </comment>
    <comment ref="G440" authorId="0" shapeId="0" xr:uid="{E74FA140-284E-4E34-A3F1-2FA6CFDB7AC1}">
      <text>
        <r>
          <rPr>
            <sz val="9"/>
            <color indexed="81"/>
            <rFont val="Tahoma"/>
            <family val="2"/>
          </rPr>
          <t xml:space="preserve">See note on CFC-11
</t>
        </r>
      </text>
    </comment>
    <comment ref="I440" authorId="0" shapeId="0" xr:uid="{83CC51AF-25A8-4851-AD96-42BE159B9CE2}">
      <text>
        <r>
          <rPr>
            <sz val="9"/>
            <color indexed="81"/>
            <rFont val="Tahoma"/>
            <family val="2"/>
          </rPr>
          <t xml:space="preserve">See note on CFC-11
</t>
        </r>
      </text>
    </comment>
    <comment ref="J440" authorId="0" shapeId="0" xr:uid="{298C92B4-245C-46C0-B2BB-408042DE1465}">
      <text>
        <r>
          <rPr>
            <sz val="9"/>
            <color indexed="81"/>
            <rFont val="Tahoma"/>
            <family val="2"/>
          </rPr>
          <t xml:space="preserve">See note on CFC-11
</t>
        </r>
      </text>
    </comment>
    <comment ref="A441" authorId="0" shapeId="0" xr:uid="{8C83D86E-DA38-499C-9CDA-FD9D4087094C}">
      <text>
        <r>
          <rPr>
            <sz val="9"/>
            <color indexed="81"/>
            <rFont val="Tahoma"/>
            <family val="2"/>
          </rPr>
          <t>CF3CF2CH2OH</t>
        </r>
      </text>
    </comment>
    <comment ref="C441" authorId="0" shapeId="0" xr:uid="{576B65B1-55B1-48BF-A1C9-F106653D17F6}">
      <text>
        <r>
          <rPr>
            <sz val="9"/>
            <color indexed="81"/>
            <rFont val="Tahoma"/>
            <family val="2"/>
          </rPr>
          <t xml:space="preserve">IPCC, AR6, Table 7, SM7
</t>
        </r>
      </text>
    </comment>
    <comment ref="D441" authorId="0" shapeId="0" xr:uid="{E2A81D60-D4DF-4A8D-876A-903ABC0EE6D9}">
      <text>
        <r>
          <rPr>
            <sz val="9"/>
            <color indexed="81"/>
            <rFont val="Tahoma"/>
            <family val="2"/>
          </rPr>
          <t>based on IPCC AR6 WG1 
table 7.SM.8-13</t>
        </r>
      </text>
    </comment>
    <comment ref="E441" authorId="0" shapeId="0" xr:uid="{767C46B4-832E-46BE-8BB8-7E9D6DD39793}">
      <text>
        <r>
          <rPr>
            <sz val="9"/>
            <color indexed="81"/>
            <rFont val="Tahoma"/>
            <family val="2"/>
          </rPr>
          <t xml:space="preserve">Burkholder and Hodnebrog , NOAA, 2022, ANNEX Summary of Abundances, Lifetimes, ODPs, REs, GWPs, and GTP
</t>
        </r>
      </text>
    </comment>
    <comment ref="G441" authorId="0" shapeId="0" xr:uid="{056A2FDC-FCF9-40EE-A122-943B5CCFB2E1}">
      <text>
        <r>
          <rPr>
            <sz val="9"/>
            <color indexed="81"/>
            <rFont val="Tahoma"/>
            <family val="2"/>
          </rPr>
          <t xml:space="preserve">See note on CFC-11
</t>
        </r>
      </text>
    </comment>
    <comment ref="I441" authorId="0" shapeId="0" xr:uid="{E9925FBE-5265-40FD-8EAE-F54908F79DFE}">
      <text>
        <r>
          <rPr>
            <sz val="9"/>
            <color indexed="81"/>
            <rFont val="Tahoma"/>
            <family val="2"/>
          </rPr>
          <t xml:space="preserve">See note on CFC-11
</t>
        </r>
      </text>
    </comment>
    <comment ref="J441" authorId="0" shapeId="0" xr:uid="{D5068805-889E-4EEA-A1B4-5BEF759E6510}">
      <text>
        <r>
          <rPr>
            <sz val="9"/>
            <color indexed="81"/>
            <rFont val="Tahoma"/>
            <family val="2"/>
          </rPr>
          <t xml:space="preserve">See note on CFC-11
</t>
        </r>
      </text>
    </comment>
    <comment ref="A442" authorId="0" shapeId="0" xr:uid="{B778DF4B-D2C7-4CA1-917B-6ED9D6C5ACDF}">
      <text>
        <r>
          <rPr>
            <sz val="9"/>
            <color indexed="81"/>
            <rFont val="Tahoma"/>
            <family val="2"/>
          </rPr>
          <t xml:space="preserve">CH3OCF2CHF2
</t>
        </r>
      </text>
    </comment>
    <comment ref="C442" authorId="0" shapeId="0" xr:uid="{F0EFFAB8-B386-43D3-9ACA-5D8D43AEF8E2}">
      <text>
        <r>
          <rPr>
            <sz val="9"/>
            <color indexed="81"/>
            <rFont val="Tahoma"/>
            <family val="2"/>
          </rPr>
          <t xml:space="preserve">IPCC, AR6, Table 7, SM7
</t>
        </r>
      </text>
    </comment>
    <comment ref="D442" authorId="0" shapeId="0" xr:uid="{72B85C11-4609-4CEA-9DBB-D14B587F5E0B}">
      <text>
        <r>
          <rPr>
            <sz val="9"/>
            <color indexed="81"/>
            <rFont val="Tahoma"/>
            <family val="2"/>
          </rPr>
          <t>based on IPCC AR6 WG1 
table 7.SM.8-13</t>
        </r>
      </text>
    </comment>
    <comment ref="E442" authorId="0" shapeId="0" xr:uid="{0D331FC0-2ED6-43A3-8E36-40326604DC42}">
      <text>
        <r>
          <rPr>
            <sz val="9"/>
            <color indexed="81"/>
            <rFont val="Tahoma"/>
            <family val="2"/>
          </rPr>
          <t xml:space="preserve">Burkholder and Hodnebrog , NOAA, 2022, ANNEX Summary of Abundances, Lifetimes, ODPs, REs, GWPs, and GTP
</t>
        </r>
      </text>
    </comment>
    <comment ref="G442" authorId="0" shapeId="0" xr:uid="{E2688DF5-BA0C-45B9-9247-109562BE92DC}">
      <text>
        <r>
          <rPr>
            <sz val="9"/>
            <color indexed="81"/>
            <rFont val="Tahoma"/>
            <family val="2"/>
          </rPr>
          <t xml:space="preserve">See note on CFC-11
</t>
        </r>
      </text>
    </comment>
    <comment ref="I442" authorId="0" shapeId="0" xr:uid="{2A72B4C9-2FCC-4BFB-9398-587793BA63E0}">
      <text>
        <r>
          <rPr>
            <sz val="9"/>
            <color indexed="81"/>
            <rFont val="Tahoma"/>
            <family val="2"/>
          </rPr>
          <t xml:space="preserve">See note on CFC-11
</t>
        </r>
      </text>
    </comment>
    <comment ref="J442" authorId="0" shapeId="0" xr:uid="{89AD20E1-A8F9-4180-B489-01B3A8474ED3}">
      <text>
        <r>
          <rPr>
            <sz val="9"/>
            <color indexed="81"/>
            <rFont val="Tahoma"/>
            <family val="2"/>
          </rPr>
          <t xml:space="preserve">See note on CFC-11
</t>
        </r>
      </text>
    </comment>
    <comment ref="A443" authorId="0" shapeId="0" xr:uid="{47A6D03D-3EF2-47F3-B832-7AED081DD38B}">
      <text>
        <r>
          <rPr>
            <sz val="9"/>
            <color indexed="81"/>
            <rFont val="Tahoma"/>
            <family val="2"/>
          </rPr>
          <t>CF3CH2OCH3</t>
        </r>
      </text>
    </comment>
    <comment ref="C443" authorId="0" shapeId="0" xr:uid="{19D48635-DEF3-46CA-A027-81BF7C06E203}">
      <text>
        <r>
          <rPr>
            <sz val="9"/>
            <color indexed="81"/>
            <rFont val="Tahoma"/>
            <family val="2"/>
          </rPr>
          <t xml:space="preserve">IPCC, AR6, Table 7, SM7
</t>
        </r>
      </text>
    </comment>
    <comment ref="D443" authorId="0" shapeId="0" xr:uid="{4C5862A9-7BD9-4DAA-8C66-C5A4D53CACEC}">
      <text>
        <r>
          <rPr>
            <sz val="9"/>
            <color indexed="81"/>
            <rFont val="Tahoma"/>
            <family val="2"/>
          </rPr>
          <t>based on IPCC AR6 WG1 
table 7.SM.8-13</t>
        </r>
      </text>
    </comment>
    <comment ref="E443" authorId="0" shapeId="0" xr:uid="{E021B364-5C1E-46C6-A82E-9E7CACD1A3F9}">
      <text>
        <r>
          <rPr>
            <sz val="9"/>
            <color indexed="81"/>
            <rFont val="Tahoma"/>
            <family val="2"/>
          </rPr>
          <t xml:space="preserve">Burkholder and Hodnebrog , NOAA, 2022, ANNEX Summary of Abundances, Lifetimes, ODPs, REs, GWPs, and GTP
</t>
        </r>
      </text>
    </comment>
    <comment ref="G443" authorId="0" shapeId="0" xr:uid="{7616F34F-EEA4-4410-8637-999A6CEA14BC}">
      <text>
        <r>
          <rPr>
            <sz val="9"/>
            <color indexed="81"/>
            <rFont val="Tahoma"/>
            <family val="2"/>
          </rPr>
          <t xml:space="preserve">See note on CFC-11
</t>
        </r>
      </text>
    </comment>
    <comment ref="I443" authorId="0" shapeId="0" xr:uid="{F3EE67DE-0112-4B7B-A493-A7F816A59289}">
      <text>
        <r>
          <rPr>
            <sz val="9"/>
            <color indexed="81"/>
            <rFont val="Tahoma"/>
            <family val="2"/>
          </rPr>
          <t xml:space="preserve">See note on CFC-11
</t>
        </r>
      </text>
    </comment>
    <comment ref="J443" authorId="0" shapeId="0" xr:uid="{7A8EBEF6-0805-492B-B45B-20D5C7345BD3}">
      <text>
        <r>
          <rPr>
            <sz val="9"/>
            <color indexed="81"/>
            <rFont val="Tahoma"/>
            <family val="2"/>
          </rPr>
          <t xml:space="preserve">See note on CFC-11
</t>
        </r>
      </text>
    </comment>
    <comment ref="A444" authorId="0" shapeId="0" xr:uid="{AE84E09A-4AA6-4130-803B-D40D19B5A8AC}">
      <text>
        <r>
          <rPr>
            <sz val="9"/>
            <color indexed="81"/>
            <rFont val="Tahoma"/>
            <family val="2"/>
          </rPr>
          <t xml:space="preserve">CF3OCH2CH3
</t>
        </r>
      </text>
    </comment>
    <comment ref="C444" authorId="0" shapeId="0" xr:uid="{894447F2-2BF2-46F9-A85B-A8EE378AD239}">
      <text>
        <r>
          <rPr>
            <sz val="9"/>
            <color indexed="81"/>
            <rFont val="Tahoma"/>
            <family val="2"/>
          </rPr>
          <t xml:space="preserve">IPCC, AR6, Table 7, SM7
</t>
        </r>
      </text>
    </comment>
    <comment ref="D444" authorId="0" shapeId="0" xr:uid="{52627161-267C-46EC-9ABC-4A1A1FB1E7DA}">
      <text>
        <r>
          <rPr>
            <sz val="9"/>
            <color indexed="81"/>
            <rFont val="Tahoma"/>
            <family val="2"/>
          </rPr>
          <t>based on IPCC AR6 WG1 
table 7.SM.8-13</t>
        </r>
      </text>
    </comment>
    <comment ref="E444" authorId="0" shapeId="0" xr:uid="{509A4EC7-F21C-4294-9571-8424F97BCFDE}">
      <text>
        <r>
          <rPr>
            <sz val="9"/>
            <color indexed="81"/>
            <rFont val="Tahoma"/>
            <family val="2"/>
          </rPr>
          <t xml:space="preserve">Burkholder and Hodnebrog , NOAA, 2022, ANNEX Summary of Abundances, Lifetimes, ODPs, REs, GWPs, and GTP
</t>
        </r>
      </text>
    </comment>
    <comment ref="G444" authorId="0" shapeId="0" xr:uid="{2DFAD571-6076-4FDD-A861-E34090A8BB5B}">
      <text>
        <r>
          <rPr>
            <sz val="9"/>
            <color indexed="81"/>
            <rFont val="Tahoma"/>
            <family val="2"/>
          </rPr>
          <t xml:space="preserve">See note on CFC-11
</t>
        </r>
      </text>
    </comment>
    <comment ref="I444" authorId="0" shapeId="0" xr:uid="{9B850A89-0AEB-4BFB-8903-18E7B91B54B9}">
      <text>
        <r>
          <rPr>
            <sz val="9"/>
            <color indexed="81"/>
            <rFont val="Tahoma"/>
            <family val="2"/>
          </rPr>
          <t xml:space="preserve">See note on CFC-11
</t>
        </r>
      </text>
    </comment>
    <comment ref="J444" authorId="0" shapeId="0" xr:uid="{EE54910A-B675-4251-9385-1BC602F1C80B}">
      <text>
        <r>
          <rPr>
            <sz val="9"/>
            <color indexed="81"/>
            <rFont val="Tahoma"/>
            <family val="2"/>
          </rPr>
          <t xml:space="preserve">See note on CFC-11
</t>
        </r>
      </text>
    </comment>
    <comment ref="A445" authorId="0" shapeId="0" xr:uid="{B10F593F-7936-446C-BFC0-E2BA303A5105}">
      <text>
        <r>
          <rPr>
            <sz val="9"/>
            <color indexed="81"/>
            <rFont val="Tahoma"/>
            <family val="2"/>
          </rPr>
          <t xml:space="preserve">CF3CH2CH2OH
</t>
        </r>
      </text>
    </comment>
    <comment ref="C445" authorId="0" shapeId="0" xr:uid="{B8303A10-96B9-4F93-B3B0-47FDEBED7821}">
      <text>
        <r>
          <rPr>
            <sz val="9"/>
            <color indexed="81"/>
            <rFont val="Tahoma"/>
            <family val="2"/>
          </rPr>
          <t xml:space="preserve">IPCC, AR6, Table 7, SM7
</t>
        </r>
      </text>
    </comment>
    <comment ref="D445" authorId="0" shapeId="0" xr:uid="{7495F277-9E79-4AED-985A-0EB997BE2F29}">
      <text>
        <r>
          <rPr>
            <sz val="9"/>
            <color indexed="81"/>
            <rFont val="Tahoma"/>
            <family val="2"/>
          </rPr>
          <t>based on IPCC AR6 WG1 
table 7.SM.8-13</t>
        </r>
      </text>
    </comment>
    <comment ref="E445" authorId="0" shapeId="0" xr:uid="{96918A11-FC5F-4628-91D2-7688C9A0C08B}">
      <text>
        <r>
          <rPr>
            <sz val="9"/>
            <color indexed="81"/>
            <rFont val="Tahoma"/>
            <family val="2"/>
          </rPr>
          <t xml:space="preserve">Burkholder and Hodnebrog , NOAA, 2022, ANNEX Summary of Abundances, Lifetimes, ODPs, REs, GWPs, and GTP
</t>
        </r>
      </text>
    </comment>
    <comment ref="G445" authorId="0" shapeId="0" xr:uid="{8BB39CC7-D47E-44AE-B89E-BF5130AD57B2}">
      <text>
        <r>
          <rPr>
            <sz val="9"/>
            <color indexed="81"/>
            <rFont val="Tahoma"/>
            <family val="2"/>
          </rPr>
          <t xml:space="preserve">See note on CFC-11
</t>
        </r>
      </text>
    </comment>
    <comment ref="I445" authorId="0" shapeId="0" xr:uid="{334DD93F-41A5-43A3-A8D3-C8612DACF660}">
      <text>
        <r>
          <rPr>
            <sz val="9"/>
            <color indexed="81"/>
            <rFont val="Tahoma"/>
            <family val="2"/>
          </rPr>
          <t xml:space="preserve">See note on CFC-11
</t>
        </r>
      </text>
    </comment>
    <comment ref="J445" authorId="0" shapeId="0" xr:uid="{1F0D0C11-55FA-4923-84AE-50E5BEF80F6E}">
      <text>
        <r>
          <rPr>
            <sz val="9"/>
            <color indexed="81"/>
            <rFont val="Tahoma"/>
            <family val="2"/>
          </rPr>
          <t xml:space="preserve">See note on CFC-11
</t>
        </r>
      </text>
    </comment>
    <comment ref="A446" authorId="0" shapeId="0" xr:uid="{3D256DEF-67CC-4F84-8F4D-8DC8139287C6}">
      <text>
        <r>
          <rPr>
            <sz val="9"/>
            <color indexed="81"/>
            <rFont val="Tahoma"/>
            <family val="2"/>
          </rPr>
          <t xml:space="preserve">CHF2 CF2 OCF2 CF3
</t>
        </r>
      </text>
    </comment>
    <comment ref="C446" authorId="0" shapeId="0" xr:uid="{F39EEABC-AE3C-49A9-A310-A794CD56A8AB}">
      <text>
        <r>
          <rPr>
            <sz val="9"/>
            <color indexed="81"/>
            <rFont val="Tahoma"/>
            <family val="2"/>
          </rPr>
          <t xml:space="preserve">IPCC, AR6, Table 7, SM7
</t>
        </r>
      </text>
    </comment>
    <comment ref="D446" authorId="0" shapeId="0" xr:uid="{9416D3E7-340C-45D5-B852-752693781255}">
      <text>
        <r>
          <rPr>
            <sz val="9"/>
            <color indexed="81"/>
            <rFont val="Tahoma"/>
            <family val="2"/>
          </rPr>
          <t>based on IPCC AR6 WG1 
table 7.SM.8-13</t>
        </r>
      </text>
    </comment>
    <comment ref="E446" authorId="0" shapeId="0" xr:uid="{49AF5C58-34AA-446D-B7D0-8CCF2B9F379F}">
      <text>
        <r>
          <rPr>
            <sz val="9"/>
            <color indexed="81"/>
            <rFont val="Tahoma"/>
            <family val="2"/>
          </rPr>
          <t xml:space="preserve">Burkholder and Hodnebrog , NOAA, 2022, ANNEX Summary of Abundances, Lifetimes, ODPs, REs, GWPs, and GTP
</t>
        </r>
      </text>
    </comment>
    <comment ref="G446" authorId="0" shapeId="0" xr:uid="{1632CEFE-90F2-4481-A895-E23556308947}">
      <text>
        <r>
          <rPr>
            <sz val="9"/>
            <color indexed="81"/>
            <rFont val="Tahoma"/>
            <family val="2"/>
          </rPr>
          <t xml:space="preserve">See note on CFC-11
</t>
        </r>
      </text>
    </comment>
    <comment ref="I446" authorId="0" shapeId="0" xr:uid="{F0C08773-6479-4552-9B8F-3E6D2C48756F}">
      <text>
        <r>
          <rPr>
            <sz val="9"/>
            <color indexed="81"/>
            <rFont val="Tahoma"/>
            <family val="2"/>
          </rPr>
          <t xml:space="preserve">See note on CFC-11
</t>
        </r>
      </text>
    </comment>
    <comment ref="J446" authorId="0" shapeId="0" xr:uid="{548536E2-90CA-4786-85F6-9A14B9805A9B}">
      <text>
        <r>
          <rPr>
            <sz val="9"/>
            <color indexed="81"/>
            <rFont val="Tahoma"/>
            <family val="2"/>
          </rPr>
          <t xml:space="preserve">See note on CFC-11
</t>
        </r>
      </text>
    </comment>
    <comment ref="A447" authorId="0" shapeId="0" xr:uid="{735988B1-6CBD-4A58-A168-B8D56E5E1575}">
      <text>
        <r>
          <rPr>
            <sz val="9"/>
            <color indexed="81"/>
            <rFont val="Tahoma"/>
            <family val="2"/>
          </rPr>
          <t xml:space="preserve">(CF3)2CHOCHF2
</t>
        </r>
      </text>
    </comment>
    <comment ref="C447" authorId="0" shapeId="0" xr:uid="{F68BF4FA-2613-4643-936C-0B14C28462D3}">
      <text>
        <r>
          <rPr>
            <sz val="9"/>
            <color indexed="81"/>
            <rFont val="Tahoma"/>
            <family val="2"/>
          </rPr>
          <t xml:space="preserve">IPCC, AR6, Table 7, SM7
</t>
        </r>
      </text>
    </comment>
    <comment ref="D447" authorId="0" shapeId="0" xr:uid="{4E5D9657-D47F-4533-BAB1-101D52BDC8A8}">
      <text>
        <r>
          <rPr>
            <sz val="9"/>
            <color indexed="81"/>
            <rFont val="Tahoma"/>
            <family val="2"/>
          </rPr>
          <t>based on IPCC AR6 WG1 
table 7.SM.8-13
Burkholder and Hodnebrog , NOAA, 2022, ANNEX Summary of Abundances, Lifetimes, ODPs, REs, GWPs, and GTP
report a GWP100 of 2950</t>
        </r>
      </text>
    </comment>
    <comment ref="E447" authorId="0" shapeId="0" xr:uid="{503539F3-29FA-489D-9724-7621075E8908}">
      <text>
        <r>
          <rPr>
            <sz val="9"/>
            <color indexed="81"/>
            <rFont val="Tahoma"/>
            <family val="2"/>
          </rPr>
          <t xml:space="preserve">Burkholder and Hodnebrog , NOAA, 2022, ANNEX Summary of Abundances, Lifetimes, ODPs, REs, GWPs, and GTP
</t>
        </r>
      </text>
    </comment>
    <comment ref="G447" authorId="0" shapeId="0" xr:uid="{7896A41E-1A22-4B5F-9AA4-006296923C97}">
      <text>
        <r>
          <rPr>
            <sz val="9"/>
            <color indexed="81"/>
            <rFont val="Tahoma"/>
            <family val="2"/>
          </rPr>
          <t xml:space="preserve">See note on CFC-11
</t>
        </r>
      </text>
    </comment>
    <comment ref="I447" authorId="0" shapeId="0" xr:uid="{0BC37ED0-D456-43C5-AC83-CAB76BF77206}">
      <text>
        <r>
          <rPr>
            <sz val="9"/>
            <color indexed="81"/>
            <rFont val="Tahoma"/>
            <family val="2"/>
          </rPr>
          <t xml:space="preserve">See note on CFC-11
</t>
        </r>
      </text>
    </comment>
    <comment ref="J447" authorId="0" shapeId="0" xr:uid="{13043FD8-1D2C-45E5-A64D-9E3A4383ED98}">
      <text>
        <r>
          <rPr>
            <sz val="9"/>
            <color indexed="81"/>
            <rFont val="Tahoma"/>
            <family val="2"/>
          </rPr>
          <t xml:space="preserve">See note on CFC-11
</t>
        </r>
      </text>
    </comment>
    <comment ref="A448" authorId="0" shapeId="0" xr:uid="{CB9CFA8E-8F26-485C-8BC3-441326024DEE}">
      <text>
        <r>
          <rPr>
            <sz val="9"/>
            <color indexed="81"/>
            <rFont val="Tahoma"/>
            <family val="2"/>
          </rPr>
          <t>CF3CH2OCF2CF3</t>
        </r>
      </text>
    </comment>
    <comment ref="C448" authorId="0" shapeId="0" xr:uid="{78F9735B-C84F-477F-9BED-08E1555AD7D1}">
      <text>
        <r>
          <rPr>
            <sz val="9"/>
            <color indexed="81"/>
            <rFont val="Tahoma"/>
            <family val="2"/>
          </rPr>
          <t xml:space="preserve">IPCC, AR6, Table 7, SM7
</t>
        </r>
      </text>
    </comment>
    <comment ref="D448" authorId="0" shapeId="0" xr:uid="{603C20C3-2F2D-4667-BBC8-C02B45DE462B}">
      <text>
        <r>
          <rPr>
            <sz val="9"/>
            <color indexed="81"/>
            <rFont val="Tahoma"/>
            <family val="2"/>
          </rPr>
          <t>based on IPCC AR6 WG1 
table 7.SM.8-13
Burkholder and Hodnebrog , NOAA, 2022, ANNEX Summary of Abundances, Lifetimes, ODPs, REs, GWPs, and GTP
report a GWP100 of 1070</t>
        </r>
      </text>
    </comment>
    <comment ref="E448" authorId="0" shapeId="0" xr:uid="{F6A3B262-E4A9-4F94-9A0F-3703430997C8}">
      <text>
        <r>
          <rPr>
            <sz val="9"/>
            <color indexed="81"/>
            <rFont val="Tahoma"/>
            <family val="2"/>
          </rPr>
          <t xml:space="preserve">Burkholder and Hodnebrog , NOAA, 2022, ANNEX Summary of Abundances, Lifetimes, ODPs, REs, GWPs, and GTP
</t>
        </r>
      </text>
    </comment>
    <comment ref="G448" authorId="0" shapeId="0" xr:uid="{0242A780-11B6-4575-8E85-2B13CC4E1E1B}">
      <text>
        <r>
          <rPr>
            <sz val="9"/>
            <color indexed="81"/>
            <rFont val="Tahoma"/>
            <family val="2"/>
          </rPr>
          <t xml:space="preserve">See note on CFC-11
</t>
        </r>
      </text>
    </comment>
    <comment ref="I448" authorId="0" shapeId="0" xr:uid="{1904985F-A88F-4B72-8FC9-412202AD13FE}">
      <text>
        <r>
          <rPr>
            <sz val="9"/>
            <color indexed="81"/>
            <rFont val="Tahoma"/>
            <family val="2"/>
          </rPr>
          <t xml:space="preserve">See note on CFC-11
</t>
        </r>
      </text>
    </comment>
    <comment ref="J448" authorId="0" shapeId="0" xr:uid="{9DA0FDAC-E080-4E8D-AFF1-C3540194FD45}">
      <text>
        <r>
          <rPr>
            <sz val="9"/>
            <color indexed="81"/>
            <rFont val="Tahoma"/>
            <family val="2"/>
          </rPr>
          <t xml:space="preserve">See note on CFC-11
</t>
        </r>
      </text>
    </comment>
    <comment ref="A449" authorId="0" shapeId="0" xr:uid="{4A59F434-FC58-4F72-BA0E-BF1C9A3E2732}">
      <text>
        <r>
          <rPr>
            <sz val="9"/>
            <color indexed="81"/>
            <rFont val="Tahoma"/>
            <family val="2"/>
          </rPr>
          <t xml:space="preserve">(CF3)2CHOCH2F
</t>
        </r>
      </text>
    </comment>
    <comment ref="C449" authorId="0" shapeId="0" xr:uid="{5650FF9F-CF87-4C9C-BAC9-71B477DBF69B}">
      <text>
        <r>
          <rPr>
            <sz val="9"/>
            <color indexed="81"/>
            <rFont val="Tahoma"/>
            <family val="2"/>
          </rPr>
          <t xml:space="preserve">IPCC, AR6, Table 7, SM7
</t>
        </r>
      </text>
    </comment>
    <comment ref="D449" authorId="0" shapeId="0" xr:uid="{57D22E63-B481-4CA1-AC22-908183F6C477}">
      <text>
        <r>
          <rPr>
            <sz val="9"/>
            <color indexed="81"/>
            <rFont val="Tahoma"/>
            <family val="2"/>
          </rPr>
          <t>based on IPCC AR6 WG1 
table 7.SM.8-13
Burkholder and Hodnebrog , NOAA, 2022, ANNEX Summary of Abundances, Lifetimes, ODPs, REs, GWPs, and GTP
report a GWP100 of 140</t>
        </r>
      </text>
    </comment>
    <comment ref="E449" authorId="0" shapeId="0" xr:uid="{588E6A64-47C3-422B-A65E-5C0C5444AF83}">
      <text>
        <r>
          <rPr>
            <sz val="9"/>
            <color indexed="81"/>
            <rFont val="Tahoma"/>
            <family val="2"/>
          </rPr>
          <t xml:space="preserve">Burkholder and Hodnebrog , NOAA, 2022, ANNEX Summary of Abundances, Lifetimes, ODPs, REs, GWPs, and GTP
</t>
        </r>
      </text>
    </comment>
    <comment ref="G449" authorId="0" shapeId="0" xr:uid="{BA04E096-E4C4-4383-829F-D7C315BBAE28}">
      <text>
        <r>
          <rPr>
            <sz val="9"/>
            <color indexed="81"/>
            <rFont val="Tahoma"/>
            <family val="2"/>
          </rPr>
          <t xml:space="preserve">See note on CFC-11
</t>
        </r>
      </text>
    </comment>
    <comment ref="I449" authorId="0" shapeId="0" xr:uid="{109A5C07-EC60-49B9-B9F3-EA218C09ED3B}">
      <text>
        <r>
          <rPr>
            <sz val="9"/>
            <color indexed="81"/>
            <rFont val="Tahoma"/>
            <family val="2"/>
          </rPr>
          <t xml:space="preserve">See note on CFC-11
</t>
        </r>
      </text>
    </comment>
    <comment ref="J449" authorId="0" shapeId="0" xr:uid="{7A81896D-8CFC-49EC-BDF1-5A838A8836AC}">
      <text>
        <r>
          <rPr>
            <sz val="9"/>
            <color indexed="81"/>
            <rFont val="Tahoma"/>
            <family val="2"/>
          </rPr>
          <t xml:space="preserve">See note on CFC-11
</t>
        </r>
      </text>
    </comment>
    <comment ref="A450" authorId="0" shapeId="0" xr:uid="{B3DC8578-A096-4328-9F4C-9C74E8CC7065}">
      <text>
        <r>
          <rPr>
            <sz val="9"/>
            <color indexed="81"/>
            <rFont val="Tahoma"/>
            <family val="2"/>
          </rPr>
          <t xml:space="preserve">CH3OCF2CF2CF3
</t>
        </r>
      </text>
    </comment>
    <comment ref="C450" authorId="0" shapeId="0" xr:uid="{AD7BE134-2BED-40BC-9380-9221FB7ED999}">
      <text>
        <r>
          <rPr>
            <sz val="9"/>
            <color indexed="81"/>
            <rFont val="Tahoma"/>
            <family val="2"/>
          </rPr>
          <t xml:space="preserve">IPCC, AR6, Table 7, SM7
</t>
        </r>
      </text>
    </comment>
    <comment ref="D450" authorId="0" shapeId="0" xr:uid="{9C7AF0D3-EFE4-49D6-A13E-112B85903EB5}">
      <text>
        <r>
          <rPr>
            <sz val="9"/>
            <color indexed="81"/>
            <rFont val="Tahoma"/>
            <family val="2"/>
          </rPr>
          <t>based on IPCC AR6 WG1 
table 7.SM.8-13
Burkholder and Hodnebrog , NOAA, 2022, ANNEX Summary of Abundances, Lifetimes, ODPs, REs, GWPs, and GTP
report a GWP100 of 579</t>
        </r>
      </text>
    </comment>
    <comment ref="E450" authorId="0" shapeId="0" xr:uid="{3D891CD8-05FB-49FC-8446-982780C16443}">
      <text>
        <r>
          <rPr>
            <sz val="9"/>
            <color indexed="81"/>
            <rFont val="Tahoma"/>
            <family val="2"/>
          </rPr>
          <t xml:space="preserve">Burkholder and Hodnebrog , NOAA, 2022, ANNEX Summary of Abundances, Lifetimes, ODPs, REs, GWPs, and GTP
</t>
        </r>
      </text>
    </comment>
    <comment ref="G450" authorId="0" shapeId="0" xr:uid="{39D91AC3-6CC8-4818-B138-C9F66DAE156F}">
      <text>
        <r>
          <rPr>
            <sz val="9"/>
            <color indexed="81"/>
            <rFont val="Tahoma"/>
            <family val="2"/>
          </rPr>
          <t xml:space="preserve">See note on CFC-11
</t>
        </r>
      </text>
    </comment>
    <comment ref="I450" authorId="0" shapeId="0" xr:uid="{E5F75FBC-F399-4EEE-8E55-C57A2B42D4AC}">
      <text>
        <r>
          <rPr>
            <sz val="9"/>
            <color indexed="81"/>
            <rFont val="Tahoma"/>
            <family val="2"/>
          </rPr>
          <t xml:space="preserve">See note on CFC-11
</t>
        </r>
      </text>
    </comment>
    <comment ref="J450" authorId="0" shapeId="0" xr:uid="{04AF3BF6-8A17-48C4-8A85-3151A8FF425C}">
      <text>
        <r>
          <rPr>
            <sz val="9"/>
            <color indexed="81"/>
            <rFont val="Tahoma"/>
            <family val="2"/>
          </rPr>
          <t xml:space="preserve">See note on CFC-11
</t>
        </r>
      </text>
    </comment>
    <comment ref="A451" authorId="0" shapeId="0" xr:uid="{A6AA0B08-AE4A-4096-816E-382B336CAABE}">
      <text>
        <r>
          <rPr>
            <sz val="9"/>
            <color indexed="81"/>
            <rFont val="Tahoma"/>
            <family val="2"/>
          </rPr>
          <t xml:space="preserve">CHF2CH2OCF2CF3
</t>
        </r>
      </text>
    </comment>
    <comment ref="C451" authorId="0" shapeId="0" xr:uid="{9E457A2F-7271-46DF-900D-9641251E8DD2}">
      <text>
        <r>
          <rPr>
            <sz val="9"/>
            <color indexed="81"/>
            <rFont val="Tahoma"/>
            <family val="2"/>
          </rPr>
          <t xml:space="preserve">IPCC, AR6, Table 7, SM7
</t>
        </r>
      </text>
    </comment>
    <comment ref="D451" authorId="0" shapeId="0" xr:uid="{173C0400-C03B-47C4-B795-56AF117ECC80}">
      <text>
        <r>
          <rPr>
            <sz val="9"/>
            <color indexed="81"/>
            <rFont val="Tahoma"/>
            <family val="2"/>
          </rPr>
          <t>based on IPCC AR6 WG1 
table 7.SM.8-13
Burkholder and Hodnebrog , NOAA, 2022, ANNEX Summary of Abundances, Lifetimes, ODPs, REs, GWPs, and GTP
report a GWP100 of 973</t>
        </r>
      </text>
    </comment>
    <comment ref="E451" authorId="0" shapeId="0" xr:uid="{2721B80D-D3C0-49EF-98BE-E6BFFFB7AAA4}">
      <text>
        <r>
          <rPr>
            <sz val="9"/>
            <color indexed="81"/>
            <rFont val="Tahoma"/>
            <family val="2"/>
          </rPr>
          <t xml:space="preserve">Burkholder and Hodnebrog , NOAA, 2022, ANNEX Summary of Abundances, Lifetimes, ODPs, REs, GWPs, and GTP
</t>
        </r>
      </text>
    </comment>
    <comment ref="G451" authorId="0" shapeId="0" xr:uid="{44A50A30-861B-4560-93AE-2D0A868D8676}">
      <text>
        <r>
          <rPr>
            <sz val="9"/>
            <color indexed="81"/>
            <rFont val="Tahoma"/>
            <family val="2"/>
          </rPr>
          <t xml:space="preserve">See note on CFC-11
</t>
        </r>
      </text>
    </comment>
    <comment ref="I451" authorId="0" shapeId="0" xr:uid="{B01DE812-2227-4116-8442-2B83FB7D34B2}">
      <text>
        <r>
          <rPr>
            <sz val="9"/>
            <color indexed="81"/>
            <rFont val="Tahoma"/>
            <family val="2"/>
          </rPr>
          <t xml:space="preserve">See note on CFC-11
</t>
        </r>
      </text>
    </comment>
    <comment ref="J451" authorId="0" shapeId="0" xr:uid="{57941BC7-0F02-4A16-82AD-309A2BB0912F}">
      <text>
        <r>
          <rPr>
            <sz val="9"/>
            <color indexed="81"/>
            <rFont val="Tahoma"/>
            <family val="2"/>
          </rPr>
          <t xml:space="preserve">See note on CFC-11
</t>
        </r>
      </text>
    </comment>
    <comment ref="A452" authorId="0" shapeId="0" xr:uid="{7A760E62-1C27-44C2-BFFD-18D51A3B4ED5}">
      <text>
        <r>
          <rPr>
            <sz val="9"/>
            <color indexed="81"/>
            <rFont val="Tahoma"/>
            <family val="2"/>
          </rPr>
          <t xml:space="preserve">CHF2CF2OCH2CF3
</t>
        </r>
      </text>
    </comment>
    <comment ref="C452" authorId="0" shapeId="0" xr:uid="{DA04D665-7973-4490-B8D3-284452C2FEA8}">
      <text>
        <r>
          <rPr>
            <sz val="9"/>
            <color indexed="81"/>
            <rFont val="Tahoma"/>
            <family val="2"/>
          </rPr>
          <t xml:space="preserve">IPCC, AR6, Table 7, SM7
</t>
        </r>
      </text>
    </comment>
    <comment ref="D452" authorId="0" shapeId="0" xr:uid="{E6E59B75-91E2-40E9-B5E2-D04D4D4769E6}">
      <text>
        <r>
          <rPr>
            <sz val="9"/>
            <color indexed="81"/>
            <rFont val="Tahoma"/>
            <family val="2"/>
          </rPr>
          <t>based on IPCC AR6 WG1 
table 7.SM.8-13
Burkholder and Hodnebrog , NOAA, 2022, ANNEX Summary of Abundances, Lifetimes, ODPs, REs, GWPs, and GTP
report a GWP100 of 964</t>
        </r>
      </text>
    </comment>
    <comment ref="E452" authorId="0" shapeId="0" xr:uid="{ECF09855-348F-4481-A739-9672315F59E5}">
      <text>
        <r>
          <rPr>
            <sz val="9"/>
            <color indexed="81"/>
            <rFont val="Tahoma"/>
            <family val="2"/>
          </rPr>
          <t xml:space="preserve">Burkholder and Hodnebrog , NOAA, 2022, ANNEX Summary of Abundances, Lifetimes, ODPs, REs, GWPs, and GTP
</t>
        </r>
      </text>
    </comment>
    <comment ref="G452" authorId="0" shapeId="0" xr:uid="{C8854E28-CAEB-4158-B2F3-19005B7184D6}">
      <text>
        <r>
          <rPr>
            <sz val="9"/>
            <color indexed="81"/>
            <rFont val="Tahoma"/>
            <family val="2"/>
          </rPr>
          <t xml:space="preserve">See note on CFC-11
</t>
        </r>
      </text>
    </comment>
    <comment ref="I452" authorId="0" shapeId="0" xr:uid="{ECB7C487-CAD4-4C41-9E14-047C6B2ED0A3}">
      <text>
        <r>
          <rPr>
            <sz val="9"/>
            <color indexed="81"/>
            <rFont val="Tahoma"/>
            <family val="2"/>
          </rPr>
          <t xml:space="preserve">See note on CFC-11
</t>
        </r>
      </text>
    </comment>
    <comment ref="J452" authorId="0" shapeId="0" xr:uid="{4BD44EA9-0199-450D-8A8F-D6559669C344}">
      <text>
        <r>
          <rPr>
            <sz val="9"/>
            <color indexed="81"/>
            <rFont val="Tahoma"/>
            <family val="2"/>
          </rPr>
          <t xml:space="preserve">See note on CFC-11
</t>
        </r>
      </text>
    </comment>
    <comment ref="A453" authorId="0" shapeId="0" xr:uid="{E12A27FA-681E-4299-A0D6-AF7BD8FCEF6B}">
      <text>
        <r>
          <rPr>
            <sz val="9"/>
            <color indexed="81"/>
            <rFont val="Tahoma"/>
            <family val="2"/>
          </rPr>
          <t>(CF3)2CFOCH3</t>
        </r>
      </text>
    </comment>
    <comment ref="C453" authorId="0" shapeId="0" xr:uid="{20137208-D885-48D9-A75F-3D9F13A631EC}">
      <text>
        <r>
          <rPr>
            <sz val="9"/>
            <color indexed="81"/>
            <rFont val="Tahoma"/>
            <family val="2"/>
          </rPr>
          <t xml:space="preserve">IPCC, AR6, Table 7, SM7
</t>
        </r>
      </text>
    </comment>
    <comment ref="D453" authorId="0" shapeId="0" xr:uid="{326B4ED3-8BE7-4C3E-8DD0-064C44192F1D}">
      <text>
        <r>
          <rPr>
            <sz val="9"/>
            <color indexed="81"/>
            <rFont val="Tahoma"/>
            <family val="2"/>
          </rPr>
          <t>based on IPCC AR6 WG1 
table 7.SM.8-13
Burkholder and Hodnebrog , NOAA, 2022, ANNEX Summary of Abundances, Lifetimes, ODPs, REs, GWPs, and GTP
report a GWP100 of 391</t>
        </r>
      </text>
    </comment>
    <comment ref="E453" authorId="0" shapeId="0" xr:uid="{22B134AD-606C-47E0-9DC7-712FBFAB300E}">
      <text>
        <r>
          <rPr>
            <sz val="9"/>
            <color indexed="81"/>
            <rFont val="Tahoma"/>
            <family val="2"/>
          </rPr>
          <t xml:space="preserve">Burkholder and Hodnebrog , NOAA, 2022, ANNEX Summary of Abundances, Lifetimes, ODPs, REs, GWPs, and GTP
</t>
        </r>
      </text>
    </comment>
    <comment ref="G453" authorId="0" shapeId="0" xr:uid="{8CA01E18-39EA-4931-970F-1EEA8EC4DEF2}">
      <text>
        <r>
          <rPr>
            <sz val="9"/>
            <color indexed="81"/>
            <rFont val="Tahoma"/>
            <family val="2"/>
          </rPr>
          <t xml:space="preserve">See note on CFC-11
</t>
        </r>
      </text>
    </comment>
    <comment ref="I453" authorId="0" shapeId="0" xr:uid="{C31C5709-DF01-4B76-8914-7FEC9FDF02AD}">
      <text>
        <r>
          <rPr>
            <sz val="9"/>
            <color indexed="81"/>
            <rFont val="Tahoma"/>
            <family val="2"/>
          </rPr>
          <t xml:space="preserve">See note on CFC-11
</t>
        </r>
      </text>
    </comment>
    <comment ref="J453" authorId="0" shapeId="0" xr:uid="{EDE023F6-7C66-47D9-85AD-C35D4B18C0C8}">
      <text>
        <r>
          <rPr>
            <sz val="9"/>
            <color indexed="81"/>
            <rFont val="Tahoma"/>
            <family val="2"/>
          </rPr>
          <t xml:space="preserve">See note on CFC-11
</t>
        </r>
      </text>
    </comment>
    <comment ref="A454" authorId="0" shapeId="0" xr:uid="{EC5FE14F-CFE4-49F5-BAE2-F21C4B491292}">
      <text>
        <r>
          <rPr>
            <sz val="9"/>
            <color indexed="81"/>
            <rFont val="Tahoma"/>
            <family val="2"/>
          </rPr>
          <t>CH3OCF2CHFCF3</t>
        </r>
      </text>
    </comment>
    <comment ref="C454" authorId="0" shapeId="0" xr:uid="{A71A712C-4881-45E6-AC86-D0CACC929A8E}">
      <text>
        <r>
          <rPr>
            <sz val="9"/>
            <color indexed="81"/>
            <rFont val="Tahoma"/>
            <family val="2"/>
          </rPr>
          <t xml:space="preserve">IPCC, AR6, Table 7, SM7
</t>
        </r>
      </text>
    </comment>
    <comment ref="D454" authorId="0" shapeId="0" xr:uid="{B6FB712E-2A99-4421-A5E5-B0D66A451F9E}">
      <text>
        <r>
          <rPr>
            <sz val="9"/>
            <color indexed="81"/>
            <rFont val="Tahoma"/>
            <family val="2"/>
          </rPr>
          <t>based on IPCC AR6 WG1 
table 7.SM.8-13
Burkholder and Hodnebrog , NOAA, 2022, ANNEX Summary of Abundances, Lifetimes, ODPs, REs, GWPs, and GTP
report a GWP100 of 312</t>
        </r>
      </text>
    </comment>
    <comment ref="E454" authorId="0" shapeId="0" xr:uid="{54956206-9D31-491E-AB33-CCCED079F705}">
      <text>
        <r>
          <rPr>
            <sz val="9"/>
            <color indexed="81"/>
            <rFont val="Tahoma"/>
            <family val="2"/>
          </rPr>
          <t xml:space="preserve">Burkholder and Hodnebrog , NOAA, 2022, ANNEX Summary of Abundances, Lifetimes, ODPs, REs, GWPs, and GTP
</t>
        </r>
      </text>
    </comment>
    <comment ref="G454" authorId="0" shapeId="0" xr:uid="{468DBFFC-0055-4E8D-B0A4-F02AC6A6B9AF}">
      <text>
        <r>
          <rPr>
            <sz val="9"/>
            <color indexed="81"/>
            <rFont val="Tahoma"/>
            <family val="2"/>
          </rPr>
          <t xml:space="preserve">See note on CFC-11
</t>
        </r>
      </text>
    </comment>
    <comment ref="I454" authorId="0" shapeId="0" xr:uid="{C69F3D4D-8240-4226-B0A0-CA3F4DCDEE5A}">
      <text>
        <r>
          <rPr>
            <sz val="9"/>
            <color indexed="81"/>
            <rFont val="Tahoma"/>
            <family val="2"/>
          </rPr>
          <t xml:space="preserve">See note on CFC-11
</t>
        </r>
      </text>
    </comment>
    <comment ref="J454" authorId="0" shapeId="0" xr:uid="{0DDA1936-5834-466E-A3C5-C631E92CC272}">
      <text>
        <r>
          <rPr>
            <sz val="9"/>
            <color indexed="81"/>
            <rFont val="Tahoma"/>
            <family val="2"/>
          </rPr>
          <t xml:space="preserve">See note on CFC-11
</t>
        </r>
      </text>
    </comment>
    <comment ref="A455" authorId="0" shapeId="0" xr:uid="{04A33E58-EC10-45B4-98A1-38F8BBCF4A7F}">
      <text>
        <r>
          <rPr>
            <sz val="9"/>
            <color indexed="81"/>
            <rFont val="Tahoma"/>
            <family val="2"/>
          </rPr>
          <t xml:space="preserve">CF3CH2OCH2CF3
</t>
        </r>
      </text>
    </comment>
    <comment ref="C455" authorId="0" shapeId="0" xr:uid="{BCC5B022-7146-4A20-94DC-D806051D7FA5}">
      <text>
        <r>
          <rPr>
            <sz val="9"/>
            <color indexed="81"/>
            <rFont val="Tahoma"/>
            <family val="2"/>
          </rPr>
          <t xml:space="preserve">IPCC, AR6, Table 7, SM7
</t>
        </r>
      </text>
    </comment>
    <comment ref="D455" authorId="0" shapeId="0" xr:uid="{9D1871BD-1996-42BE-B7E0-6E098262567C}">
      <text>
        <r>
          <rPr>
            <sz val="9"/>
            <color indexed="81"/>
            <rFont val="Tahoma"/>
            <family val="2"/>
          </rPr>
          <t>based on IPCC AR6 WG1 
table 7.SM.8-13
Burkholder and Hodnebrog , NOAA, 2022, ANNEX Summary of Abundances, Lifetimes, ODPs, REs, GWPs, and GTP
report a GWP100 of 24</t>
        </r>
      </text>
    </comment>
    <comment ref="E455" authorId="0" shapeId="0" xr:uid="{AF0ADC7F-DD07-4F2A-9432-0E30D3FAABAB}">
      <text>
        <r>
          <rPr>
            <sz val="9"/>
            <color indexed="81"/>
            <rFont val="Tahoma"/>
            <family val="2"/>
          </rPr>
          <t xml:space="preserve">Burkholder and Hodnebrog , NOAA, 2022, ANNEX Summary of Abundances, Lifetimes, ODPs, REs, GWPs, and GTP
</t>
        </r>
      </text>
    </comment>
    <comment ref="G455" authorId="0" shapeId="0" xr:uid="{E2AFD4FF-DC86-460E-83F7-BBF2C5A2FE60}">
      <text>
        <r>
          <rPr>
            <sz val="9"/>
            <color indexed="81"/>
            <rFont val="Tahoma"/>
            <family val="2"/>
          </rPr>
          <t xml:space="preserve">See note on CFC-11
</t>
        </r>
      </text>
    </comment>
    <comment ref="I455" authorId="0" shapeId="0" xr:uid="{1CF483FC-C40E-490F-B07A-B5F4225A33AB}">
      <text>
        <r>
          <rPr>
            <sz val="9"/>
            <color indexed="81"/>
            <rFont val="Tahoma"/>
            <family val="2"/>
          </rPr>
          <t xml:space="preserve">See note on CFC-11
</t>
        </r>
      </text>
    </comment>
    <comment ref="J455" authorId="0" shapeId="0" xr:uid="{0F499FC4-B88B-46C8-8A2F-6A7AAC0477BE}">
      <text>
        <r>
          <rPr>
            <sz val="9"/>
            <color indexed="81"/>
            <rFont val="Tahoma"/>
            <family val="2"/>
          </rPr>
          <t xml:space="preserve">See note on CFC-11
</t>
        </r>
      </text>
    </comment>
    <comment ref="A456" authorId="0" shapeId="0" xr:uid="{68ED8069-D96C-4C61-93C2-016EB8E1821D}">
      <text>
        <r>
          <rPr>
            <sz val="9"/>
            <color indexed="81"/>
            <rFont val="Tahoma"/>
            <family val="2"/>
          </rPr>
          <t xml:space="preserve">CHF2CH2OCF2CHF2
</t>
        </r>
      </text>
    </comment>
    <comment ref="C456" authorId="0" shapeId="0" xr:uid="{DC9A4D34-E3A5-43B6-8B1C-02A9F0F85A45}">
      <text>
        <r>
          <rPr>
            <sz val="9"/>
            <color indexed="81"/>
            <rFont val="Tahoma"/>
            <family val="2"/>
          </rPr>
          <t xml:space="preserve">IPCC, AR6, Table 7, SM7
</t>
        </r>
      </text>
    </comment>
    <comment ref="D456" authorId="0" shapeId="0" xr:uid="{5EC6A87D-8F78-41A6-8E17-52AF8C514405}">
      <text>
        <r>
          <rPr>
            <sz val="9"/>
            <color indexed="81"/>
            <rFont val="Tahoma"/>
            <family val="2"/>
          </rPr>
          <t>based on IPCC AR6 WG1 
table 7.SM.8-13
Burkholder and Hodnebrog , NOAA, 2022, ANNEX Summary of Abundances, Lifetimes, ODPs, REs, GWPs, and GTP
report a GWP100 of 810</t>
        </r>
      </text>
    </comment>
    <comment ref="E456" authorId="0" shapeId="0" xr:uid="{68F280AE-0333-46F0-AD2A-83FAD6FB606D}">
      <text>
        <r>
          <rPr>
            <sz val="9"/>
            <color indexed="81"/>
            <rFont val="Tahoma"/>
            <family val="2"/>
          </rPr>
          <t xml:space="preserve">Burkholder and Hodnebrog , NOAA, 2022, ANNEX Summary of Abundances, Lifetimes, ODPs, REs, GWPs, and GTP
</t>
        </r>
      </text>
    </comment>
    <comment ref="G456" authorId="0" shapeId="0" xr:uid="{CA8447DD-8DF5-4A32-90CD-4CC24CB84572}">
      <text>
        <r>
          <rPr>
            <sz val="9"/>
            <color indexed="81"/>
            <rFont val="Tahoma"/>
            <family val="2"/>
          </rPr>
          <t xml:space="preserve">See note on CFC-11
</t>
        </r>
      </text>
    </comment>
    <comment ref="I456" authorId="0" shapeId="0" xr:uid="{D9D1F437-47F0-4D83-A15E-9D9AD1AF6757}">
      <text>
        <r>
          <rPr>
            <sz val="9"/>
            <color indexed="81"/>
            <rFont val="Tahoma"/>
            <family val="2"/>
          </rPr>
          <t xml:space="preserve">See note on CFC-11
</t>
        </r>
      </text>
    </comment>
    <comment ref="J456" authorId="0" shapeId="0" xr:uid="{87C99B56-0D76-404D-90F2-E2FCE6039767}">
      <text>
        <r>
          <rPr>
            <sz val="9"/>
            <color indexed="81"/>
            <rFont val="Tahoma"/>
            <family val="2"/>
          </rPr>
          <t xml:space="preserve">See note on CFC-11
</t>
        </r>
      </text>
    </comment>
    <comment ref="A457" authorId="0" shapeId="0" xr:uid="{9E8C080F-7F2D-4884-937B-2F8D373719FE}">
      <text>
        <r>
          <rPr>
            <sz val="9"/>
            <color indexed="81"/>
            <rFont val="Tahoma"/>
            <family val="2"/>
          </rPr>
          <t xml:space="preserve">CHF2OCH2CF2CHF2
</t>
        </r>
      </text>
    </comment>
    <comment ref="C457" authorId="0" shapeId="0" xr:uid="{7296B56F-E7FA-45C5-BB0A-58F60D02F594}">
      <text>
        <r>
          <rPr>
            <sz val="9"/>
            <color indexed="81"/>
            <rFont val="Tahoma"/>
            <family val="2"/>
          </rPr>
          <t xml:space="preserve">IPCC, AR6, Table 7, SM7
</t>
        </r>
      </text>
    </comment>
    <comment ref="D457" authorId="0" shapeId="0" xr:uid="{16D8DB44-8316-4399-A9C5-3A701DA6C215}">
      <text>
        <r>
          <rPr>
            <sz val="9"/>
            <color indexed="81"/>
            <rFont val="Tahoma"/>
            <family val="2"/>
          </rPr>
          <t>based on IPCC AR6 WG1 
table 7.SM.8-13
Burkholder and Hodnebrog , NOAA, 2022, ANNEX Summary of Abundances, Lifetimes, ODPs, REs, GWPs, and GTP
report a GWP100 of 506</t>
        </r>
      </text>
    </comment>
    <comment ref="E457" authorId="0" shapeId="0" xr:uid="{2DB3CBE4-D3BA-45D6-A9BE-178152BED5B2}">
      <text>
        <r>
          <rPr>
            <sz val="9"/>
            <color indexed="81"/>
            <rFont val="Tahoma"/>
            <family val="2"/>
          </rPr>
          <t xml:space="preserve">Burkholder and Hodnebrog , NOAA, 2022, ANNEX Summary of Abundances, Lifetimes, ODPs, REs, GWPs, and GTP
</t>
        </r>
      </text>
    </comment>
    <comment ref="G457" authorId="0" shapeId="0" xr:uid="{BCD71203-89D5-4544-8154-66115682980E}">
      <text>
        <r>
          <rPr>
            <sz val="9"/>
            <color indexed="81"/>
            <rFont val="Tahoma"/>
            <family val="2"/>
          </rPr>
          <t xml:space="preserve">See note on CFC-11
</t>
        </r>
      </text>
    </comment>
    <comment ref="I457" authorId="0" shapeId="0" xr:uid="{63622F75-1323-4832-B96F-606BB02CAC56}">
      <text>
        <r>
          <rPr>
            <sz val="9"/>
            <color indexed="81"/>
            <rFont val="Tahoma"/>
            <family val="2"/>
          </rPr>
          <t xml:space="preserve">See note on CFC-11
</t>
        </r>
      </text>
    </comment>
    <comment ref="J457" authorId="0" shapeId="0" xr:uid="{18B0CD02-7FA2-48D2-A760-A7CA926BA586}">
      <text>
        <r>
          <rPr>
            <sz val="9"/>
            <color indexed="81"/>
            <rFont val="Tahoma"/>
            <family val="2"/>
          </rPr>
          <t xml:space="preserve">See note on CFC-11
</t>
        </r>
      </text>
    </comment>
    <comment ref="A458" authorId="0" shapeId="0" xr:uid="{9D28273B-9EB6-4371-A163-B83A6F49A270}">
      <text>
        <r>
          <rPr>
            <sz val="9"/>
            <color indexed="81"/>
            <rFont val="Tahoma"/>
            <family val="2"/>
          </rPr>
          <t xml:space="preserve">CH3OCF2CF2CHF2
</t>
        </r>
      </text>
    </comment>
    <comment ref="C458" authorId="0" shapeId="0" xr:uid="{76B463E8-2A0B-43AD-B910-F2759BDF4AD0}">
      <text>
        <r>
          <rPr>
            <sz val="9"/>
            <color indexed="81"/>
            <rFont val="Tahoma"/>
            <family val="2"/>
          </rPr>
          <t xml:space="preserve">IPCC, AR6, Table 7, SM7
</t>
        </r>
      </text>
    </comment>
    <comment ref="D458" authorId="0" shapeId="0" xr:uid="{EC35EC1D-0521-4F3E-8148-08DD07E7D259}">
      <text>
        <r>
          <rPr>
            <sz val="9"/>
            <color indexed="81"/>
            <rFont val="Tahoma"/>
            <family val="2"/>
          </rPr>
          <t>based on IPCC AR6 WG1 
table 7.SM.8-13
Burkholder and Hodnebrog , NOAA, 2022, ANNEX Summary of Abundances, Lifetimes, ODPs, REs, GWPs, and GTP
report a GWP100 of 330</t>
        </r>
      </text>
    </comment>
    <comment ref="E458" authorId="0" shapeId="0" xr:uid="{908B6B23-9DBF-42DD-A9D9-9832D74175F6}">
      <text>
        <r>
          <rPr>
            <sz val="9"/>
            <color indexed="81"/>
            <rFont val="Tahoma"/>
            <family val="2"/>
          </rPr>
          <t xml:space="preserve">Burkholder and Hodnebrog , NOAA, 2022, ANNEX Summary of Abundances, Lifetimes, ODPs, REs, GWPs, and GTP
</t>
        </r>
      </text>
    </comment>
    <comment ref="G458" authorId="0" shapeId="0" xr:uid="{C38985B8-A3AB-4E21-8508-2C8084EA13DD}">
      <text>
        <r>
          <rPr>
            <sz val="9"/>
            <color indexed="81"/>
            <rFont val="Tahoma"/>
            <family val="2"/>
          </rPr>
          <t xml:space="preserve">See note on CFC-11
</t>
        </r>
      </text>
    </comment>
    <comment ref="I458" authorId="0" shapeId="0" xr:uid="{9B61C0FD-9F31-456B-AFD5-B8989EA12AF8}">
      <text>
        <r>
          <rPr>
            <sz val="9"/>
            <color indexed="81"/>
            <rFont val="Tahoma"/>
            <family val="2"/>
          </rPr>
          <t xml:space="preserve">See note on CFC-11
</t>
        </r>
      </text>
    </comment>
    <comment ref="J458" authorId="0" shapeId="0" xr:uid="{80511240-FC26-403B-BCD7-B6E1FDAE9A4F}">
      <text>
        <r>
          <rPr>
            <sz val="9"/>
            <color indexed="81"/>
            <rFont val="Tahoma"/>
            <family val="2"/>
          </rPr>
          <t xml:space="preserve">See note on CFC-11
</t>
        </r>
      </text>
    </comment>
    <comment ref="A459" authorId="0" shapeId="0" xr:uid="{801B6034-2D1E-46F1-8EC1-51F1FC4D9762}">
      <text>
        <r>
          <rPr>
            <sz val="9"/>
            <color indexed="81"/>
            <rFont val="Tahoma"/>
            <family val="2"/>
          </rPr>
          <t xml:space="preserve">(CF3)2CHOCH3
</t>
        </r>
      </text>
    </comment>
    <comment ref="C459" authorId="0" shapeId="0" xr:uid="{D4839AB9-89B2-4F70-ACF9-38BE5398A1A2}">
      <text>
        <r>
          <rPr>
            <sz val="9"/>
            <color indexed="81"/>
            <rFont val="Tahoma"/>
            <family val="2"/>
          </rPr>
          <t xml:space="preserve">IPCC, AR6, Table 7, SM7
</t>
        </r>
      </text>
    </comment>
    <comment ref="D459" authorId="0" shapeId="0" xr:uid="{E6BFE0F3-E89B-4C5C-B1CA-572CA96998C7}">
      <text>
        <r>
          <rPr>
            <sz val="9"/>
            <color indexed="81"/>
            <rFont val="Tahoma"/>
            <family val="2"/>
          </rPr>
          <t>based on IPCC AR6 WG1 
table 7.SM.8-13
Burkholder and Hodnebrog , NOAA, 2022, ANNEX Summary of Abundances, Lifetimes, ODPs, REs, GWPs, and GTP
report a GWP100 of 9</t>
        </r>
      </text>
    </comment>
    <comment ref="E459" authorId="0" shapeId="0" xr:uid="{711CFCE7-5313-44F1-BDA6-8AEA965B234A}">
      <text>
        <r>
          <rPr>
            <sz val="9"/>
            <color indexed="81"/>
            <rFont val="Tahoma"/>
            <family val="2"/>
          </rPr>
          <t xml:space="preserve">Burkholder and Hodnebrog , NOAA, 2022, ANNEX Summary of Abundances, Lifetimes, ODPs, REs, GWPs, and GTP
</t>
        </r>
      </text>
    </comment>
    <comment ref="G459" authorId="0" shapeId="0" xr:uid="{D46C4FA2-661F-4E40-8DA1-49DD1CF71F60}">
      <text>
        <r>
          <rPr>
            <sz val="9"/>
            <color indexed="81"/>
            <rFont val="Tahoma"/>
            <family val="2"/>
          </rPr>
          <t xml:space="preserve">See note on CFC-11
</t>
        </r>
      </text>
    </comment>
    <comment ref="I459" authorId="0" shapeId="0" xr:uid="{1899EB5E-7FB3-4716-91E5-0622685C1012}">
      <text>
        <r>
          <rPr>
            <sz val="9"/>
            <color indexed="81"/>
            <rFont val="Tahoma"/>
            <family val="2"/>
          </rPr>
          <t xml:space="preserve">See note on CFC-11
</t>
        </r>
      </text>
    </comment>
    <comment ref="J459" authorId="0" shapeId="0" xr:uid="{57A02030-ECE7-40D5-8F72-C812E3E45354}">
      <text>
        <r>
          <rPr>
            <sz val="9"/>
            <color indexed="81"/>
            <rFont val="Tahoma"/>
            <family val="2"/>
          </rPr>
          <t xml:space="preserve">See note on CFC-11
</t>
        </r>
      </text>
    </comment>
    <comment ref="A460" authorId="0" shapeId="0" xr:uid="{DE6C0072-8257-4FD5-8CA3-C56B9BE47DC1}">
      <text>
        <r>
          <rPr>
            <sz val="9"/>
            <color indexed="81"/>
            <rFont val="Tahoma"/>
            <family val="2"/>
          </rPr>
          <t xml:space="preserve">CF3CF2CH2OCH3
</t>
        </r>
      </text>
    </comment>
    <comment ref="C460" authorId="0" shapeId="0" xr:uid="{1343F731-FA1D-4A9D-B663-7C40A069577B}">
      <text>
        <r>
          <rPr>
            <sz val="9"/>
            <color indexed="81"/>
            <rFont val="Tahoma"/>
            <family val="2"/>
          </rPr>
          <t xml:space="preserve">IPCC, AR6, Table 7, SM7
</t>
        </r>
      </text>
    </comment>
    <comment ref="D460" authorId="0" shapeId="0" xr:uid="{3D6A5BFE-1554-4288-B1C6-575BB53618F4}">
      <text>
        <r>
          <rPr>
            <sz val="9"/>
            <color indexed="81"/>
            <rFont val="Tahoma"/>
            <family val="2"/>
          </rPr>
          <t>based on IPCC AR6 WG1 
table 7.SM.8-13
Burkholder and Hodnebrog , NOAA, 2022, ANNEX Summary of Abundances, Lifetimes, ODPs, REs, GWPs, and GTP
report a GWP100 of 2</t>
        </r>
      </text>
    </comment>
    <comment ref="E460" authorId="0" shapeId="0" xr:uid="{51451B40-4D11-4E5F-80F0-8C96AC42EB1D}">
      <text>
        <r>
          <rPr>
            <sz val="9"/>
            <color indexed="81"/>
            <rFont val="Tahoma"/>
            <family val="2"/>
          </rPr>
          <t xml:space="preserve">Burkholder and Hodnebrog , NOAA, 2022, ANNEX Summary of Abundances, Lifetimes, ODPs, REs, GWPs, and GTP
</t>
        </r>
      </text>
    </comment>
    <comment ref="G460" authorId="0" shapeId="0" xr:uid="{231869B2-FFB8-4B28-B2B1-15D4DDDD78D6}">
      <text>
        <r>
          <rPr>
            <sz val="9"/>
            <color indexed="81"/>
            <rFont val="Tahoma"/>
            <family val="2"/>
          </rPr>
          <t xml:space="preserve">See note on CFC-11
</t>
        </r>
      </text>
    </comment>
    <comment ref="I460" authorId="0" shapeId="0" xr:uid="{44258CD1-272A-4A2A-B53E-70C37210A165}">
      <text>
        <r>
          <rPr>
            <sz val="9"/>
            <color indexed="81"/>
            <rFont val="Tahoma"/>
            <family val="2"/>
          </rPr>
          <t xml:space="preserve">See note on CFC-11
</t>
        </r>
      </text>
    </comment>
    <comment ref="J460" authorId="0" shapeId="0" xr:uid="{132C6474-B973-418F-8104-3D8FFC43AD27}">
      <text>
        <r>
          <rPr>
            <sz val="9"/>
            <color indexed="81"/>
            <rFont val="Tahoma"/>
            <family val="2"/>
          </rPr>
          <t xml:space="preserve">See note on CFC-11
</t>
        </r>
      </text>
    </comment>
    <comment ref="A461" authorId="0" shapeId="0" xr:uid="{2A431AA8-3182-4C2B-8501-0C2EDC15788A}">
      <text>
        <r>
          <rPr>
            <sz val="9"/>
            <color indexed="81"/>
            <rFont val="Tahoma"/>
            <family val="2"/>
          </rPr>
          <t xml:space="preserve">CHF2CF2OCH2CH3
</t>
        </r>
      </text>
    </comment>
    <comment ref="C461" authorId="0" shapeId="0" xr:uid="{14E95C77-D864-4CFF-8E08-D780330C6D2B}">
      <text>
        <r>
          <rPr>
            <sz val="9"/>
            <color indexed="81"/>
            <rFont val="Tahoma"/>
            <family val="2"/>
          </rPr>
          <t xml:space="preserve">IPCC, AR6, Table 7, SM7
</t>
        </r>
      </text>
    </comment>
    <comment ref="D461" authorId="0" shapeId="0" xr:uid="{13285819-7614-4C28-80AA-2B79EAA0CD65}">
      <text>
        <r>
          <rPr>
            <sz val="9"/>
            <color indexed="81"/>
            <rFont val="Tahoma"/>
            <family val="2"/>
          </rPr>
          <t>based on IPCC AR6 WG1 
table 7.SM.8-13
Burkholder and Hodnebrog , NOAA, 2022, ANNEX Summary of Abundances, Lifetimes, ODPs, REs, GWPs, and GTP
report a GWP100 of 13</t>
        </r>
      </text>
    </comment>
    <comment ref="E461" authorId="0" shapeId="0" xr:uid="{A3D669C0-A4FB-4581-8306-F39B2D5195CE}">
      <text>
        <r>
          <rPr>
            <sz val="9"/>
            <color indexed="81"/>
            <rFont val="Tahoma"/>
            <family val="2"/>
          </rPr>
          <t xml:space="preserve">Burkholder and Hodnebrog , NOAA, 2022, ANNEX Summary of Abundances, Lifetimes, ODPs, REs, GWPs, and GTP
</t>
        </r>
      </text>
    </comment>
    <comment ref="G461" authorId="0" shapeId="0" xr:uid="{CCBE3226-F8FB-470D-AD82-C3FC17A18CF0}">
      <text>
        <r>
          <rPr>
            <sz val="9"/>
            <color indexed="81"/>
            <rFont val="Tahoma"/>
            <family val="2"/>
          </rPr>
          <t xml:space="preserve">See note on CFC-11
</t>
        </r>
      </text>
    </comment>
    <comment ref="I461" authorId="0" shapeId="0" xr:uid="{D2480B32-80E7-403F-9330-1301155100CD}">
      <text>
        <r>
          <rPr>
            <sz val="9"/>
            <color indexed="81"/>
            <rFont val="Tahoma"/>
            <family val="2"/>
          </rPr>
          <t xml:space="preserve">See note on CFC-11
</t>
        </r>
      </text>
    </comment>
    <comment ref="J461" authorId="0" shapeId="0" xr:uid="{F8FA80B8-6775-4324-ADAC-D0F5CAB694C5}">
      <text>
        <r>
          <rPr>
            <sz val="9"/>
            <color indexed="81"/>
            <rFont val="Tahoma"/>
            <family val="2"/>
          </rPr>
          <t xml:space="preserve">See note on CFC-11
</t>
        </r>
      </text>
    </comment>
    <comment ref="A462" authorId="0" shapeId="0" xr:uid="{59F9D19D-0B86-4052-A20E-5CBDB187B6EA}">
      <text>
        <r>
          <rPr>
            <sz val="9"/>
            <color indexed="81"/>
            <rFont val="Tahoma"/>
            <family val="2"/>
          </rPr>
          <t xml:space="preserve">CF3(CH2)2CH2OH
</t>
        </r>
      </text>
    </comment>
    <comment ref="C462" authorId="0" shapeId="0" xr:uid="{80AFAB1E-9650-4B38-A31B-4408485031A5}">
      <text>
        <r>
          <rPr>
            <sz val="9"/>
            <color indexed="81"/>
            <rFont val="Tahoma"/>
            <family val="2"/>
          </rPr>
          <t xml:space="preserve">IPCC, AR6, Table 7, SM7
</t>
        </r>
      </text>
    </comment>
    <comment ref="D462" authorId="0" shapeId="0" xr:uid="{8469AB78-6369-4250-A8FF-6FE97861BA9B}">
      <text>
        <r>
          <rPr>
            <sz val="9"/>
            <color indexed="81"/>
            <rFont val="Tahoma"/>
            <family val="2"/>
          </rPr>
          <t>based on IPCC AR6 WG1 
table 7.SM.8-13</t>
        </r>
      </text>
    </comment>
    <comment ref="E462" authorId="0" shapeId="0" xr:uid="{ECE0831E-BF89-45C5-AFD8-5B8FDCC5A32F}">
      <text>
        <r>
          <rPr>
            <sz val="9"/>
            <color indexed="81"/>
            <rFont val="Tahoma"/>
            <family val="2"/>
          </rPr>
          <t xml:space="preserve">Burkholder and Hodnebrog , NOAA, 2022, ANNEX Summary of Abundances, Lifetimes, ODPs, REs, GWPs, and GTP
</t>
        </r>
      </text>
    </comment>
    <comment ref="G462" authorId="0" shapeId="0" xr:uid="{21C06FD7-8231-4350-B28D-2C040133BECC}">
      <text>
        <r>
          <rPr>
            <sz val="9"/>
            <color indexed="81"/>
            <rFont val="Tahoma"/>
            <family val="2"/>
          </rPr>
          <t xml:space="preserve">See note on CFC-11
</t>
        </r>
      </text>
    </comment>
    <comment ref="I462" authorId="0" shapeId="0" xr:uid="{D2CA3BA6-7C63-408E-A494-121C8AE1685D}">
      <text>
        <r>
          <rPr>
            <sz val="9"/>
            <color indexed="81"/>
            <rFont val="Tahoma"/>
            <family val="2"/>
          </rPr>
          <t xml:space="preserve">See note on CFC-11
</t>
        </r>
      </text>
    </comment>
    <comment ref="J462" authorId="0" shapeId="0" xr:uid="{D8A2FA13-8E0A-433C-826B-1E5E2D3A1F68}">
      <text>
        <r>
          <rPr>
            <sz val="9"/>
            <color indexed="81"/>
            <rFont val="Tahoma"/>
            <family val="2"/>
          </rPr>
          <t xml:space="preserve">See note on CFC-11
</t>
        </r>
      </text>
    </comment>
    <comment ref="A463" authorId="0" shapeId="0" xr:uid="{793B27B4-165B-4CFF-9820-6D520FEE5066}">
      <text>
        <r>
          <rPr>
            <sz val="9"/>
            <color indexed="81"/>
            <rFont val="Tahoma"/>
            <family val="2"/>
          </rPr>
          <t xml:space="preserve">cyc (-(CF2)4CH(OH)-)
</t>
        </r>
      </text>
    </comment>
    <comment ref="C463" authorId="0" shapeId="0" xr:uid="{1D2B913F-3F0D-49C9-96BD-A66BA4D9F90B}">
      <text>
        <r>
          <rPr>
            <sz val="9"/>
            <color indexed="81"/>
            <rFont val="Tahoma"/>
            <family val="2"/>
          </rPr>
          <t xml:space="preserve">IPCC, AR6, Table 7, SM7
</t>
        </r>
      </text>
    </comment>
    <comment ref="D463" authorId="0" shapeId="0" xr:uid="{2925D59A-567D-474C-A836-5019D74F17AE}">
      <text>
        <r>
          <rPr>
            <sz val="9"/>
            <color indexed="81"/>
            <rFont val="Tahoma"/>
            <family val="2"/>
          </rPr>
          <t>based on IPCC AR6 WG1 
table 7.SM.8-13</t>
        </r>
      </text>
    </comment>
    <comment ref="E463" authorId="0" shapeId="0" xr:uid="{FC88454B-F14C-4211-83AE-B593335A4BBF}">
      <text>
        <r>
          <rPr>
            <sz val="9"/>
            <color indexed="81"/>
            <rFont val="Tahoma"/>
            <family val="2"/>
          </rPr>
          <t xml:space="preserve">Burkholder and Hodnebrog , NOAA, 2022, ANNEX Summary of Abundances, Lifetimes, ODPs, REs, GWPs, and GTP
</t>
        </r>
      </text>
    </comment>
    <comment ref="G463" authorId="0" shapeId="0" xr:uid="{09936F8B-E7AB-440D-BB03-5A61178BFEA0}">
      <text>
        <r>
          <rPr>
            <sz val="9"/>
            <color indexed="81"/>
            <rFont val="Tahoma"/>
            <family val="2"/>
          </rPr>
          <t xml:space="preserve">See note on CFC-11
</t>
        </r>
      </text>
    </comment>
    <comment ref="I463" authorId="0" shapeId="0" xr:uid="{FD0EE222-DC04-48B2-8EAD-F67098BADACB}">
      <text>
        <r>
          <rPr>
            <sz val="9"/>
            <color indexed="81"/>
            <rFont val="Tahoma"/>
            <family val="2"/>
          </rPr>
          <t xml:space="preserve">See note on CFC-11
</t>
        </r>
      </text>
    </comment>
    <comment ref="J463" authorId="0" shapeId="0" xr:uid="{143860B6-6877-4625-962F-B4389E114544}">
      <text>
        <r>
          <rPr>
            <sz val="9"/>
            <color indexed="81"/>
            <rFont val="Tahoma"/>
            <family val="2"/>
          </rPr>
          <t xml:space="preserve">See note on CFC-11
</t>
        </r>
      </text>
    </comment>
    <comment ref="A464" authorId="0" shapeId="0" xr:uid="{F6E7F704-7685-4E4A-A901-9B52838740B2}">
      <text>
        <r>
          <rPr>
            <sz val="9"/>
            <color indexed="81"/>
            <rFont val="Tahoma"/>
            <family val="2"/>
          </rPr>
          <t>CHF2OCF2OCF2CF2OCHF2</t>
        </r>
      </text>
    </comment>
    <comment ref="C464" authorId="0" shapeId="0" xr:uid="{FDE4FF28-A2C4-4880-8B8D-4DC8DD360027}">
      <text>
        <r>
          <rPr>
            <sz val="9"/>
            <color indexed="81"/>
            <rFont val="Tahoma"/>
            <family val="2"/>
          </rPr>
          <t xml:space="preserve">IPCC, AR6, Table 7, SM7
</t>
        </r>
      </text>
    </comment>
    <comment ref="D464" authorId="0" shapeId="0" xr:uid="{E36580C3-97D9-4145-8AED-04432062E294}">
      <text>
        <r>
          <rPr>
            <sz val="9"/>
            <color indexed="81"/>
            <rFont val="Tahoma"/>
            <family val="2"/>
          </rPr>
          <t>based on IPCC AR6 WG1 
table 7.SM.8-13
Burkholder and Hodnebrog , NOAA, 2022, ANNEX Summary of Abundances, Lifetimes, ODPs, REs, GWPs, and GTP
report a GWP100 of 3130</t>
        </r>
      </text>
    </comment>
    <comment ref="E464" authorId="0" shapeId="0" xr:uid="{E3398BBE-C8FC-4C2D-8237-0A15B064386C}">
      <text>
        <r>
          <rPr>
            <sz val="9"/>
            <color indexed="81"/>
            <rFont val="Tahoma"/>
            <family val="2"/>
          </rPr>
          <t xml:space="preserve">Burkholder and Hodnebrog , NOAA, 2022, ANNEX Summary of Abundances, Lifetimes, ODPs, REs, GWPs, and GTP
</t>
        </r>
      </text>
    </comment>
    <comment ref="G464" authorId="0" shapeId="0" xr:uid="{9E8CE703-1E10-4A81-BD39-420DA27346F1}">
      <text>
        <r>
          <rPr>
            <sz val="9"/>
            <color indexed="81"/>
            <rFont val="Tahoma"/>
            <family val="2"/>
          </rPr>
          <t xml:space="preserve">See note on CFC-11
</t>
        </r>
      </text>
    </comment>
    <comment ref="I464" authorId="0" shapeId="0" xr:uid="{F514A420-FDBD-4708-BF14-0B0D4C277618}">
      <text>
        <r>
          <rPr>
            <sz val="9"/>
            <color indexed="81"/>
            <rFont val="Tahoma"/>
            <family val="2"/>
          </rPr>
          <t xml:space="preserve">See note on CFC-11
</t>
        </r>
      </text>
    </comment>
    <comment ref="J464" authorId="0" shapeId="0" xr:uid="{189BF5F5-3FD2-465D-8296-E4D7B424B2F4}">
      <text>
        <r>
          <rPr>
            <sz val="9"/>
            <color indexed="81"/>
            <rFont val="Tahoma"/>
            <family val="2"/>
          </rPr>
          <t xml:space="preserve">See note on CFC-11
</t>
        </r>
      </text>
    </comment>
    <comment ref="A465" authorId="0" shapeId="0" xr:uid="{1CFA8909-CA41-4BDB-B676-0B539E3403A9}">
      <text>
        <r>
          <rPr>
            <sz val="9"/>
            <color indexed="81"/>
            <rFont val="Tahoma"/>
            <family val="2"/>
          </rPr>
          <t>C4F9OCH3</t>
        </r>
      </text>
    </comment>
    <comment ref="C465" authorId="0" shapeId="0" xr:uid="{408AC313-D889-4371-8150-08ECC9CAEFD2}">
      <text>
        <r>
          <rPr>
            <sz val="9"/>
            <color indexed="81"/>
            <rFont val="Tahoma"/>
            <family val="2"/>
          </rPr>
          <t xml:space="preserve">IPCC, AR6, Table 7, SM7
</t>
        </r>
      </text>
    </comment>
    <comment ref="D465" authorId="0" shapeId="0" xr:uid="{8CFB2885-EFC9-4458-A514-93EFDCB0F661}">
      <text>
        <r>
          <rPr>
            <sz val="9"/>
            <color indexed="81"/>
            <rFont val="Tahoma"/>
            <family val="2"/>
          </rPr>
          <t>based on IPCC AR6 WG1 
table 7.SM.8-13
Burkholder and Hodnebrog , NOAA, 2022, ANNEX Summary of Abundances, Lifetimes, ODPs, REs, GWPs, and GTP
report a GWP100 of 487</t>
        </r>
      </text>
    </comment>
    <comment ref="E465" authorId="0" shapeId="0" xr:uid="{BE316CEC-B4A6-47A3-81B6-D8599EC6CAA1}">
      <text>
        <r>
          <rPr>
            <sz val="9"/>
            <color indexed="81"/>
            <rFont val="Tahoma"/>
            <family val="2"/>
          </rPr>
          <t xml:space="preserve">Burkholder and Hodnebrog , NOAA, 2022, ANNEX Summary of Abundances, Lifetimes, ODPs, REs, GWPs, and GTP
</t>
        </r>
      </text>
    </comment>
    <comment ref="G465" authorId="0" shapeId="0" xr:uid="{9892C70B-F355-47C5-AADE-65F4DA5E5A8D}">
      <text>
        <r>
          <rPr>
            <sz val="9"/>
            <color indexed="81"/>
            <rFont val="Tahoma"/>
            <family val="2"/>
          </rPr>
          <t xml:space="preserve">See note on CFC-11
</t>
        </r>
      </text>
    </comment>
    <comment ref="I465" authorId="0" shapeId="0" xr:uid="{BEB9B5C7-A90B-41E1-BDA6-334BA118A3DC}">
      <text>
        <r>
          <rPr>
            <sz val="9"/>
            <color indexed="81"/>
            <rFont val="Tahoma"/>
            <family val="2"/>
          </rPr>
          <t xml:space="preserve">See note on CFC-11
</t>
        </r>
      </text>
    </comment>
    <comment ref="J465" authorId="0" shapeId="0" xr:uid="{1D86AA5C-E34B-44F4-A5A2-9422F26E02C4}">
      <text>
        <r>
          <rPr>
            <sz val="9"/>
            <color indexed="81"/>
            <rFont val="Tahoma"/>
            <family val="2"/>
          </rPr>
          <t xml:space="preserve">See note on CFC-11
</t>
        </r>
      </text>
    </comment>
    <comment ref="A466" authorId="0" shapeId="0" xr:uid="{EBBC8217-5E15-441B-9381-78D8B761D11D}">
      <text>
        <r>
          <rPr>
            <sz val="9"/>
            <color indexed="81"/>
            <rFont val="Tahoma"/>
            <family val="2"/>
          </rPr>
          <t xml:space="preserve">CF3CF2CF2CF2OCH3
</t>
        </r>
      </text>
    </comment>
    <comment ref="C466" authorId="0" shapeId="0" xr:uid="{D823CAB5-97E2-467A-9D89-7C1B0D5628DF}">
      <text>
        <r>
          <rPr>
            <sz val="9"/>
            <color indexed="81"/>
            <rFont val="Tahoma"/>
            <family val="2"/>
          </rPr>
          <t xml:space="preserve">IPCC, AR6, Table 7, SM7
</t>
        </r>
      </text>
    </comment>
    <comment ref="D466" authorId="0" shapeId="0" xr:uid="{0D74E53D-2EEE-4A88-970F-4DD8BA7E80E4}">
      <text>
        <r>
          <rPr>
            <sz val="9"/>
            <color indexed="81"/>
            <rFont val="Tahoma"/>
            <family val="2"/>
          </rPr>
          <t>based on IPCC AR6 WG1 
table 7.SM.8-13
Burkholder and Hodnebrog , NOAA, 2022, ANNEX Summary of Abundances, Lifetimes, ODPs, REs, GWPs, and GTP
report a GWP100 of 576</t>
        </r>
      </text>
    </comment>
    <comment ref="E466" authorId="0" shapeId="0" xr:uid="{6D062D57-6ABD-4E9B-A5FD-8045C3CEA969}">
      <text>
        <r>
          <rPr>
            <sz val="9"/>
            <color indexed="81"/>
            <rFont val="Tahoma"/>
            <family val="2"/>
          </rPr>
          <t xml:space="preserve">Burkholder and Hodnebrog , NOAA, 2022, ANNEX Summary of Abundances, Lifetimes, ODPs, REs, GWPs, and GTP
</t>
        </r>
      </text>
    </comment>
    <comment ref="G466" authorId="0" shapeId="0" xr:uid="{2383FB5B-12C7-4299-8893-C51A65942C5C}">
      <text>
        <r>
          <rPr>
            <sz val="9"/>
            <color indexed="81"/>
            <rFont val="Tahoma"/>
            <family val="2"/>
          </rPr>
          <t xml:space="preserve">See note on CFC-11
</t>
        </r>
      </text>
    </comment>
    <comment ref="I466" authorId="0" shapeId="0" xr:uid="{271D6A6C-74CD-4BBF-8B0A-51516A7804FF}">
      <text>
        <r>
          <rPr>
            <sz val="9"/>
            <color indexed="81"/>
            <rFont val="Tahoma"/>
            <family val="2"/>
          </rPr>
          <t xml:space="preserve">See note on CFC-11
</t>
        </r>
      </text>
    </comment>
    <comment ref="J466" authorId="0" shapeId="0" xr:uid="{E7821E84-0DF6-4147-9FC9-05757D7DB16C}">
      <text>
        <r>
          <rPr>
            <sz val="9"/>
            <color indexed="81"/>
            <rFont val="Tahoma"/>
            <family val="2"/>
          </rPr>
          <t xml:space="preserve">See note on CFC-11
</t>
        </r>
      </text>
    </comment>
    <comment ref="A467" authorId="0" shapeId="0" xr:uid="{3EE8DF90-1F74-4C2C-B93D-F0689670A92A}">
      <text>
        <r>
          <rPr>
            <sz val="9"/>
            <color indexed="81"/>
            <rFont val="Tahoma"/>
            <family val="2"/>
          </rPr>
          <t xml:space="preserve">(CF3)2CFCF2OCH3
</t>
        </r>
      </text>
    </comment>
    <comment ref="C467" authorId="0" shapeId="0" xr:uid="{A1764D66-7642-4193-BB0E-482535C58CAF}">
      <text>
        <r>
          <rPr>
            <sz val="9"/>
            <color indexed="81"/>
            <rFont val="Tahoma"/>
            <family val="2"/>
          </rPr>
          <t xml:space="preserve">IPCC, AR6, Table 7, SM7
</t>
        </r>
      </text>
    </comment>
    <comment ref="D467" authorId="0" shapeId="0" xr:uid="{D32B50B9-60EA-4B96-AB58-7E2E1DD51D35}">
      <text>
        <r>
          <rPr>
            <sz val="9"/>
            <color indexed="81"/>
            <rFont val="Tahoma"/>
            <family val="2"/>
          </rPr>
          <t>based on IPCC AR6 WG1 
table 7.SM.8-13
Burkholder and Hodnebrog , NOAA, 2022, ANNEX Summary of Abundances, Lifetimes, ODPs, REs, GWPs, and GTP
report a GWP100 of 462</t>
        </r>
      </text>
    </comment>
    <comment ref="E467" authorId="0" shapeId="0" xr:uid="{C0D1D422-76F7-480D-8263-0AB8CFA4AD00}">
      <text>
        <r>
          <rPr>
            <sz val="9"/>
            <color indexed="81"/>
            <rFont val="Tahoma"/>
            <family val="2"/>
          </rPr>
          <t xml:space="preserve">Burkholder and Hodnebrog , NOAA, 2022, ANNEX Summary of Abundances, Lifetimes, ODPs, REs, GWPs, and GTP
</t>
        </r>
      </text>
    </comment>
    <comment ref="G467" authorId="0" shapeId="0" xr:uid="{DA7C7BC6-80D9-4DCE-AE92-F77487CD4E90}">
      <text>
        <r>
          <rPr>
            <sz val="9"/>
            <color indexed="81"/>
            <rFont val="Tahoma"/>
            <family val="2"/>
          </rPr>
          <t xml:space="preserve">See note on CFC-11
</t>
        </r>
      </text>
    </comment>
    <comment ref="I467" authorId="0" shapeId="0" xr:uid="{E5A9E098-AC79-4857-AD80-B540B7C05983}">
      <text>
        <r>
          <rPr>
            <sz val="9"/>
            <color indexed="81"/>
            <rFont val="Tahoma"/>
            <family val="2"/>
          </rPr>
          <t xml:space="preserve">See note on CFC-11
</t>
        </r>
      </text>
    </comment>
    <comment ref="J467" authorId="0" shapeId="0" xr:uid="{FCE4620B-80B6-40AD-A1D3-A7CCC3695FCC}">
      <text>
        <r>
          <rPr>
            <sz val="9"/>
            <color indexed="81"/>
            <rFont val="Tahoma"/>
            <family val="2"/>
          </rPr>
          <t xml:space="preserve">See note on CFC-11
</t>
        </r>
      </text>
    </comment>
    <comment ref="A468" authorId="0" shapeId="0" xr:uid="{AFEA7680-2038-41DB-B13F-996E882E07F9}">
      <text>
        <r>
          <rPr>
            <sz val="9"/>
            <color indexed="81"/>
            <rFont val="Tahoma"/>
            <family val="2"/>
          </rPr>
          <t xml:space="preserve">C4F9OC2H5
</t>
        </r>
      </text>
    </comment>
    <comment ref="C468" authorId="0" shapeId="0" xr:uid="{08A08824-08BD-4170-B920-43B297043D51}">
      <text>
        <r>
          <rPr>
            <sz val="9"/>
            <color indexed="81"/>
            <rFont val="Tahoma"/>
            <family val="2"/>
          </rPr>
          <t xml:space="preserve">IPCC, AR6, Table 7, SM7
</t>
        </r>
      </text>
    </comment>
    <comment ref="D468" authorId="0" shapeId="0" xr:uid="{A1C71E9C-AB26-4553-842D-F09E37A2AAA3}">
      <text>
        <r>
          <rPr>
            <sz val="9"/>
            <color indexed="81"/>
            <rFont val="Tahoma"/>
            <family val="2"/>
          </rPr>
          <t xml:space="preserve">based on IPCC AR6 WG1 
table 7.SM.8-13
</t>
        </r>
      </text>
    </comment>
    <comment ref="E468" authorId="0" shapeId="0" xr:uid="{76674DF3-D399-4F42-A6E8-D340011EA9DD}">
      <text>
        <r>
          <rPr>
            <sz val="9"/>
            <color indexed="81"/>
            <rFont val="Tahoma"/>
            <family val="2"/>
          </rPr>
          <t xml:space="preserve">Burkholder and Hodnebrog , NOAA, 2022, ANNEX Summary of Abundances, Lifetimes, ODPs, REs, GWPs, and GTP
</t>
        </r>
      </text>
    </comment>
    <comment ref="G468" authorId="0" shapeId="0" xr:uid="{41370EE4-B917-4515-8775-28DF0163A89D}">
      <text>
        <r>
          <rPr>
            <sz val="9"/>
            <color indexed="81"/>
            <rFont val="Tahoma"/>
            <family val="2"/>
          </rPr>
          <t xml:space="preserve">See note on CFC-11
</t>
        </r>
      </text>
    </comment>
    <comment ref="I468" authorId="0" shapeId="0" xr:uid="{1C929A00-D3F0-4BE8-B851-0F006CAEDC35}">
      <text>
        <r>
          <rPr>
            <sz val="9"/>
            <color indexed="81"/>
            <rFont val="Tahoma"/>
            <family val="2"/>
          </rPr>
          <t xml:space="preserve">See note on CFC-11
</t>
        </r>
      </text>
    </comment>
    <comment ref="J468" authorId="0" shapeId="0" xr:uid="{FD759B74-DCEA-4FF9-980A-650870EF2633}">
      <text>
        <r>
          <rPr>
            <sz val="9"/>
            <color indexed="81"/>
            <rFont val="Tahoma"/>
            <family val="2"/>
          </rPr>
          <t xml:space="preserve">See note on CFC-11
</t>
        </r>
      </text>
    </comment>
    <comment ref="A469" authorId="0" shapeId="0" xr:uid="{FEB5CCBA-3000-4CBF-96FB-74A8931385B8}">
      <text>
        <r>
          <rPr>
            <sz val="9"/>
            <color indexed="81"/>
            <rFont val="Tahoma"/>
            <family val="2"/>
          </rPr>
          <t xml:space="preserve">(CF3)2CFCF2OCH2CH3
</t>
        </r>
      </text>
    </comment>
    <comment ref="C469" authorId="0" shapeId="0" xr:uid="{A7A9BC45-676F-4639-9D85-405702640A46}">
      <text>
        <r>
          <rPr>
            <sz val="9"/>
            <color indexed="81"/>
            <rFont val="Tahoma"/>
            <family val="2"/>
          </rPr>
          <t xml:space="preserve">IPCC, AR6, Table 7, SM7
</t>
        </r>
      </text>
    </comment>
    <comment ref="D469" authorId="0" shapeId="0" xr:uid="{1229B36D-A5DB-44AE-899D-1C905AC38C46}">
      <text>
        <r>
          <rPr>
            <sz val="9"/>
            <color indexed="81"/>
            <rFont val="Tahoma"/>
            <family val="2"/>
          </rPr>
          <t>based on IPCC AR6 WG1 
table 7.SM.8-13
Burkholder and Hodnebrog , NOAA, 2022, ANNEX Summary of Abundances, Lifetimes, ODPs, REs, GWPs, and GTP
report a GWP100 of 34</t>
        </r>
      </text>
    </comment>
    <comment ref="E469" authorId="0" shapeId="0" xr:uid="{FAA3C3DA-BB6B-4079-B097-B01254C21999}">
      <text>
        <r>
          <rPr>
            <sz val="9"/>
            <color indexed="81"/>
            <rFont val="Tahoma"/>
            <family val="2"/>
          </rPr>
          <t xml:space="preserve">Burkholder and Hodnebrog , NOAA, 2022, ANNEX Summary of Abundances, Lifetimes, ODPs, REs, GWPs, and GTP
</t>
        </r>
      </text>
    </comment>
    <comment ref="G469" authorId="0" shapeId="0" xr:uid="{08E78580-4C75-4BC1-B04C-640A0BE3C565}">
      <text>
        <r>
          <rPr>
            <sz val="9"/>
            <color indexed="81"/>
            <rFont val="Tahoma"/>
            <family val="2"/>
          </rPr>
          <t xml:space="preserve">See note on CFC-11
</t>
        </r>
      </text>
    </comment>
    <comment ref="I469" authorId="0" shapeId="0" xr:uid="{52C0FD8F-5A7C-43FA-8703-E6EF90A0E803}">
      <text>
        <r>
          <rPr>
            <sz val="9"/>
            <color indexed="81"/>
            <rFont val="Tahoma"/>
            <family val="2"/>
          </rPr>
          <t xml:space="preserve">See note on CFC-11
</t>
        </r>
      </text>
    </comment>
    <comment ref="J469" authorId="0" shapeId="0" xr:uid="{7CEB1492-AFC2-4AF6-BDA3-0B440D25BF44}">
      <text>
        <r>
          <rPr>
            <sz val="9"/>
            <color indexed="81"/>
            <rFont val="Tahoma"/>
            <family val="2"/>
          </rPr>
          <t xml:space="preserve">See note on CFC-11
</t>
        </r>
      </text>
    </comment>
    <comment ref="A470" authorId="0" shapeId="0" xr:uid="{F96E5AD9-C3E2-4D1D-8EB7-0184E7220B0F}">
      <text>
        <r>
          <rPr>
            <sz val="9"/>
            <color indexed="81"/>
            <rFont val="Tahoma"/>
            <family val="2"/>
          </rPr>
          <t xml:space="preserve">(CF3)2CFCFOC2H5CF2CF2CF3
</t>
        </r>
      </text>
    </comment>
    <comment ref="C470" authorId="0" shapeId="0" xr:uid="{A0A28FD2-215F-4F5F-8524-B9C2943CCD4E}">
      <text>
        <r>
          <rPr>
            <sz val="9"/>
            <color indexed="81"/>
            <rFont val="Tahoma"/>
            <family val="2"/>
          </rPr>
          <t xml:space="preserve">IPCC, AR6, Table 7, SM7
</t>
        </r>
      </text>
    </comment>
    <comment ref="D470" authorId="0" shapeId="0" xr:uid="{6C2BD5D2-3468-4CFF-87DC-D602207FF839}">
      <text>
        <r>
          <rPr>
            <sz val="9"/>
            <color indexed="81"/>
            <rFont val="Tahoma"/>
            <family val="2"/>
          </rPr>
          <t>based on IPCC AR6 WG1 
table 7.SM.8-13
Burkholder and Hodnebrog , NOAA, 2022, ANNEX Summary of Abundances, Lifetimes, ODPs, REs, GWPs, and GTP
report a GWP100 of 509</t>
        </r>
      </text>
    </comment>
    <comment ref="E470" authorId="0" shapeId="0" xr:uid="{DBD830A4-A201-4A69-A0D7-F0B6E295C718}">
      <text>
        <r>
          <rPr>
            <sz val="9"/>
            <color indexed="81"/>
            <rFont val="Tahoma"/>
            <family val="2"/>
          </rPr>
          <t xml:space="preserve">Burkholder and Hodnebrog , NOAA, 2022, ANNEX Summary of Abundances, Lifetimes, ODPs, REs, GWPs, and GTP
</t>
        </r>
      </text>
    </comment>
    <comment ref="G470" authorId="0" shapeId="0" xr:uid="{BEE75AD9-B2E8-48DF-B86F-24318FD36535}">
      <text>
        <r>
          <rPr>
            <sz val="9"/>
            <color indexed="81"/>
            <rFont val="Tahoma"/>
            <family val="2"/>
          </rPr>
          <t xml:space="preserve">See note on CFC-11
</t>
        </r>
      </text>
    </comment>
    <comment ref="I470" authorId="0" shapeId="0" xr:uid="{629D11ED-07C9-4975-925E-7C60805B01ED}">
      <text>
        <r>
          <rPr>
            <sz val="9"/>
            <color indexed="81"/>
            <rFont val="Tahoma"/>
            <family val="2"/>
          </rPr>
          <t xml:space="preserve">See note on CFC-11
</t>
        </r>
      </text>
    </comment>
    <comment ref="J470" authorId="0" shapeId="0" xr:uid="{A52AC227-1D3D-41F4-A772-DFC366DCED8B}">
      <text>
        <r>
          <rPr>
            <sz val="9"/>
            <color indexed="81"/>
            <rFont val="Tahoma"/>
            <family val="2"/>
          </rPr>
          <t xml:space="preserve">See note on CFC-11
</t>
        </r>
      </text>
    </comment>
    <comment ref="A471" authorId="0" shapeId="0" xr:uid="{2C1F9278-88A1-4AD5-B523-212C38507804}">
      <text>
        <r>
          <rPr>
            <sz val="9"/>
            <color indexed="81"/>
            <rFont val="Tahoma"/>
            <family val="2"/>
          </rPr>
          <t xml:space="preserve">n-C3F7CFOC2H5CF(CF3)2
</t>
        </r>
      </text>
    </comment>
    <comment ref="C471" authorId="0" shapeId="0" xr:uid="{77029ACE-37DC-4678-B23C-3DA03E3049D1}">
      <text>
        <r>
          <rPr>
            <sz val="9"/>
            <color indexed="81"/>
            <rFont val="Tahoma"/>
            <family val="2"/>
          </rPr>
          <t xml:space="preserve">IPCC, AR6, Table 7, SM7
</t>
        </r>
      </text>
    </comment>
    <comment ref="D471" authorId="0" shapeId="0" xr:uid="{4685353A-8D39-4727-B23B-A42337DAD33A}">
      <text>
        <r>
          <rPr>
            <sz val="9"/>
            <color indexed="81"/>
            <rFont val="Tahoma"/>
            <family val="2"/>
          </rPr>
          <t>based on IPCC AR6 WG1 
table 7.SM.8-13
Burkholder and Hodnebrog , NOAA, 2022, ANNEX Summary of Abundances, Lifetimes, ODPs, REs, GWPs, and GTP
report a GWP100 of 19</t>
        </r>
      </text>
    </comment>
    <comment ref="E471" authorId="0" shapeId="0" xr:uid="{75FFD91C-9405-426B-A393-A1481EF3139E}">
      <text>
        <r>
          <rPr>
            <sz val="9"/>
            <color indexed="81"/>
            <rFont val="Tahoma"/>
            <family val="2"/>
          </rPr>
          <t xml:space="preserve">Burkholder and Hodnebrog , NOAA, 2022, ANNEX Summary of Abundances, Lifetimes, ODPs, REs, GWPs, and GTP
</t>
        </r>
      </text>
    </comment>
    <comment ref="G471" authorId="0" shapeId="0" xr:uid="{DE9C620B-4DD7-4E99-8417-819BA5080A03}">
      <text>
        <r>
          <rPr>
            <sz val="9"/>
            <color indexed="81"/>
            <rFont val="Tahoma"/>
            <family val="2"/>
          </rPr>
          <t xml:space="preserve">See note on CFC-11
</t>
        </r>
      </text>
    </comment>
    <comment ref="I471" authorId="0" shapeId="0" xr:uid="{AE1CEE53-BD9A-4F8D-88C2-A3D1B6E0806D}">
      <text>
        <r>
          <rPr>
            <sz val="9"/>
            <color indexed="81"/>
            <rFont val="Tahoma"/>
            <family val="2"/>
          </rPr>
          <t xml:space="preserve">See note on CFC-11
</t>
        </r>
      </text>
    </comment>
    <comment ref="J471" authorId="0" shapeId="0" xr:uid="{0AA12248-6384-4AF6-B0D9-21F4EF0DC1E8}">
      <text>
        <r>
          <rPr>
            <sz val="9"/>
            <color indexed="81"/>
            <rFont val="Tahoma"/>
            <family val="2"/>
          </rPr>
          <t xml:space="preserve">See note on CFC-11
</t>
        </r>
      </text>
    </comment>
    <comment ref="A472" authorId="0" shapeId="0" xr:uid="{9AC58956-01C0-40F8-9EAD-1B3DF7C9DEF1}">
      <text>
        <r>
          <rPr>
            <sz val="9"/>
            <color indexed="81"/>
            <rFont val="Tahoma"/>
            <family val="2"/>
          </rPr>
          <t xml:space="preserve">CHF2OCF2OCHF2
</t>
        </r>
      </text>
    </comment>
    <comment ref="C472" authorId="0" shapeId="0" xr:uid="{38B26AAE-D995-44C8-947B-B42A432B6AE4}">
      <text>
        <r>
          <rPr>
            <sz val="9"/>
            <color indexed="81"/>
            <rFont val="Tahoma"/>
            <family val="2"/>
          </rPr>
          <t xml:space="preserve">IPCC, AR6, Table 7, SM7
</t>
        </r>
      </text>
    </comment>
    <comment ref="D472" authorId="0" shapeId="0" xr:uid="{E544CB2E-F35D-4D5E-A39A-3B839D5F2B65}">
      <text>
        <r>
          <rPr>
            <sz val="9"/>
            <color indexed="81"/>
            <rFont val="Tahoma"/>
            <family val="2"/>
          </rPr>
          <t>based on IPCC AR6 WG1 
table 7.SM.8-13
Burkholder and Hodnebrog , NOAA, 2022, ANNEX Summary of Abundances, Lifetimes, ODPs, REs, GWPs, and GTP
report a GWP100 of 5950</t>
        </r>
      </text>
    </comment>
    <comment ref="E472" authorId="0" shapeId="0" xr:uid="{0846D598-19D4-4E21-810D-DF749D1CAA8F}">
      <text>
        <r>
          <rPr>
            <sz val="9"/>
            <color indexed="81"/>
            <rFont val="Tahoma"/>
            <family val="2"/>
          </rPr>
          <t xml:space="preserve">Burkholder and Hodnebrog , NOAA, 2022, ANNEX Summary of Abundances, Lifetimes, ODPs, REs, GWPs, and GTP
</t>
        </r>
      </text>
    </comment>
    <comment ref="G472" authorId="0" shapeId="0" xr:uid="{7E75F5E8-7595-4B87-AD2D-D3FF491436AF}">
      <text>
        <r>
          <rPr>
            <sz val="9"/>
            <color indexed="81"/>
            <rFont val="Tahoma"/>
            <family val="2"/>
          </rPr>
          <t xml:space="preserve">See note on CFC-11
</t>
        </r>
      </text>
    </comment>
    <comment ref="I472" authorId="0" shapeId="0" xr:uid="{D6E21394-AE6A-4119-8C6E-A43A44B78E21}">
      <text>
        <r>
          <rPr>
            <sz val="9"/>
            <color indexed="81"/>
            <rFont val="Tahoma"/>
            <family val="2"/>
          </rPr>
          <t xml:space="preserve">See note on CFC-11
</t>
        </r>
      </text>
    </comment>
    <comment ref="J472" authorId="0" shapeId="0" xr:uid="{29E5FA7D-0FA0-4777-8F9C-0CE64833EE70}">
      <text>
        <r>
          <rPr>
            <sz val="9"/>
            <color indexed="81"/>
            <rFont val="Tahoma"/>
            <family val="2"/>
          </rPr>
          <t xml:space="preserve">See note on CFC-11
</t>
        </r>
      </text>
    </comment>
    <comment ref="A473" authorId="0" shapeId="0" xr:uid="{A7C3F568-EB2E-474B-A71E-35B7682A034A}">
      <text>
        <r>
          <rPr>
            <sz val="9"/>
            <color indexed="81"/>
            <rFont val="Tahoma"/>
            <family val="2"/>
          </rPr>
          <t xml:space="preserve">CHF2OCF2CF2OCHF2
</t>
        </r>
      </text>
    </comment>
    <comment ref="C473" authorId="0" shapeId="0" xr:uid="{73D606D4-3B95-48D0-A400-A52F4C3F1FDF}">
      <text>
        <r>
          <rPr>
            <sz val="9"/>
            <color indexed="81"/>
            <rFont val="Tahoma"/>
            <family val="2"/>
          </rPr>
          <t xml:space="preserve">IPCC, AR6, Table 7, SM7
</t>
        </r>
      </text>
    </comment>
    <comment ref="D473" authorId="0" shapeId="0" xr:uid="{7B1D8A20-1028-4781-B0B5-B4B1C5C33B0E}">
      <text>
        <r>
          <rPr>
            <sz val="9"/>
            <color indexed="81"/>
            <rFont val="Tahoma"/>
            <family val="2"/>
          </rPr>
          <t>based on IPCC AR6 WG1 
table 7.SM.8-13
Burkholder and Hodnebrog , NOAA, 2022, ANNEX Summary of Abundances, Lifetimes, ODPs, REs, GWPs, and GTP
report a GWP100 of 3400</t>
        </r>
      </text>
    </comment>
    <comment ref="E473" authorId="0" shapeId="0" xr:uid="{CE356A22-73AB-4831-AB48-5667BFCD5524}">
      <text>
        <r>
          <rPr>
            <sz val="9"/>
            <color indexed="81"/>
            <rFont val="Tahoma"/>
            <family val="2"/>
          </rPr>
          <t xml:space="preserve">Burkholder and Hodnebrog , NOAA, 2022, ANNEX Summary of Abundances, Lifetimes, ODPs, REs, GWPs, and GTP
</t>
        </r>
      </text>
    </comment>
    <comment ref="G473" authorId="0" shapeId="0" xr:uid="{A414AB71-19F3-4ECD-BBA6-1896B0C28E6E}">
      <text>
        <r>
          <rPr>
            <sz val="9"/>
            <color indexed="81"/>
            <rFont val="Tahoma"/>
            <family val="2"/>
          </rPr>
          <t xml:space="preserve">See note on CFC-11
</t>
        </r>
      </text>
    </comment>
    <comment ref="I473" authorId="0" shapeId="0" xr:uid="{ECFCEE1C-3C67-43EB-B676-40C23C3DA20A}">
      <text>
        <r>
          <rPr>
            <sz val="9"/>
            <color indexed="81"/>
            <rFont val="Tahoma"/>
            <family val="2"/>
          </rPr>
          <t xml:space="preserve">See note on CFC-11
</t>
        </r>
      </text>
    </comment>
    <comment ref="J473" authorId="0" shapeId="0" xr:uid="{73F5EF76-CF00-4850-A95B-60473FE201AA}">
      <text>
        <r>
          <rPr>
            <sz val="9"/>
            <color indexed="81"/>
            <rFont val="Tahoma"/>
            <family val="2"/>
          </rPr>
          <t xml:space="preserve">See note on CFC-11
</t>
        </r>
      </text>
    </comment>
    <comment ref="A474" authorId="0" shapeId="0" xr:uid="{448EA160-9E66-48EF-91E2-99D71568ABF3}">
      <text>
        <r>
          <rPr>
            <sz val="9"/>
            <color indexed="81"/>
            <rFont val="Tahoma"/>
            <family val="2"/>
          </rPr>
          <t xml:space="preserve">(CF3)2CHOH
</t>
        </r>
      </text>
    </comment>
    <comment ref="C474" authorId="0" shapeId="0" xr:uid="{6EF271AB-A09D-4F07-BA33-921FD5D71721}">
      <text>
        <r>
          <rPr>
            <sz val="9"/>
            <color indexed="81"/>
            <rFont val="Tahoma"/>
            <family val="2"/>
          </rPr>
          <t xml:space="preserve">IPCC, AR6, Table 7, SM7
</t>
        </r>
      </text>
    </comment>
    <comment ref="D474" authorId="0" shapeId="0" xr:uid="{A6000C70-F93C-44CA-888B-9F2182F89D8C}">
      <text>
        <r>
          <rPr>
            <sz val="9"/>
            <color indexed="81"/>
            <rFont val="Tahoma"/>
            <family val="2"/>
          </rPr>
          <t>based on IPCC AR6 WG1 
table 7.SM.8-13
Burkholder and Hodnebrog , NOAA, 2022, ANNEX Summary of Abundances, Lifetimes, ODPs, REs, GWPs, and GTP
report a GWP100 of 219</t>
        </r>
      </text>
    </comment>
    <comment ref="E474" authorId="0" shapeId="0" xr:uid="{065E1EAE-B9A6-4346-9593-5F4206D67A8C}">
      <text>
        <r>
          <rPr>
            <sz val="9"/>
            <color indexed="81"/>
            <rFont val="Tahoma"/>
            <family val="2"/>
          </rPr>
          <t xml:space="preserve">Burkholder and Hodnebrog , NOAA, 2022, ANNEX Summary of Abundances, Lifetimes, ODPs, REs, GWPs, and GTP
</t>
        </r>
      </text>
    </comment>
    <comment ref="G474" authorId="0" shapeId="0" xr:uid="{05051761-71E2-4836-9705-FBCA98359B7A}">
      <text>
        <r>
          <rPr>
            <sz val="9"/>
            <color indexed="81"/>
            <rFont val="Tahoma"/>
            <family val="2"/>
          </rPr>
          <t xml:space="preserve">See note on CFC-11
</t>
        </r>
      </text>
    </comment>
    <comment ref="I474" authorId="0" shapeId="0" xr:uid="{C9D8B629-3BA6-4758-B518-E9D15CE133B4}">
      <text>
        <r>
          <rPr>
            <sz val="9"/>
            <color indexed="81"/>
            <rFont val="Tahoma"/>
            <family val="2"/>
          </rPr>
          <t xml:space="preserve">See note on CFC-11
</t>
        </r>
      </text>
    </comment>
    <comment ref="J474" authorId="0" shapeId="0" xr:uid="{20B57779-11F8-4C8F-8FDE-422CC8DDBBA8}">
      <text>
        <r>
          <rPr>
            <sz val="9"/>
            <color indexed="81"/>
            <rFont val="Tahoma"/>
            <family val="2"/>
          </rPr>
          <t xml:space="preserve">See note on CFC-11
</t>
        </r>
      </text>
    </comment>
    <comment ref="A475" authorId="0" shapeId="0" xr:uid="{8713689F-F267-4F58-B0F0-E8C391369134}">
      <text>
        <r>
          <rPr>
            <sz val="9"/>
            <color indexed="81"/>
            <rFont val="Tahoma"/>
            <family val="2"/>
          </rPr>
          <t>CHF2(OCF2CF2)2OCHF2
(1,1'-oxybis[2-(difluoromethoxy)-1,1,2,2-tetrafluoroethane)</t>
        </r>
      </text>
    </comment>
    <comment ref="C475" authorId="0" shapeId="0" xr:uid="{26611B0F-4096-46F3-BEBD-B352CC5A3198}">
      <text>
        <r>
          <rPr>
            <sz val="9"/>
            <color indexed="81"/>
            <rFont val="Tahoma"/>
            <family val="2"/>
          </rPr>
          <t xml:space="preserve">IPCC, AR6, Table 7, SM7
</t>
        </r>
      </text>
    </comment>
    <comment ref="D475" authorId="0" shapeId="0" xr:uid="{CB3FBCF4-7EB7-4EA8-904D-9ADF11628C94}">
      <text>
        <r>
          <rPr>
            <sz val="9"/>
            <color indexed="81"/>
            <rFont val="Tahoma"/>
            <family val="2"/>
          </rPr>
          <t>based on IPCC AR6 WG1 
table 7.SM.8-13
Burkholder and Hodnebrog , NOAA, 2022, ANNEX Summary of Abundances, Lifetimes, ODPs, REs, GWPs, and GTP
report a GWP100 of 5520</t>
        </r>
      </text>
    </comment>
    <comment ref="E475" authorId="0" shapeId="0" xr:uid="{581BCB9A-A4BF-4B0E-8A24-384E3F6F2470}">
      <text>
        <r>
          <rPr>
            <sz val="9"/>
            <color indexed="81"/>
            <rFont val="Tahoma"/>
            <family val="2"/>
          </rPr>
          <t xml:space="preserve">Burkholder and Hodnebrog , NOAA, 2022, ANNEX Summary of Abundances, Lifetimes, ODPs, REs, GWPs, and GTP
</t>
        </r>
      </text>
    </comment>
    <comment ref="G475" authorId="0" shapeId="0" xr:uid="{D34A7431-7A7F-44E2-AFEE-565407609889}">
      <text>
        <r>
          <rPr>
            <sz val="9"/>
            <color indexed="81"/>
            <rFont val="Tahoma"/>
            <family val="2"/>
          </rPr>
          <t xml:space="preserve">See note on CFC-11
</t>
        </r>
      </text>
    </comment>
    <comment ref="I475" authorId="0" shapeId="0" xr:uid="{3041D907-506B-40D1-AC92-D4825B043DF8}">
      <text>
        <r>
          <rPr>
            <sz val="9"/>
            <color indexed="81"/>
            <rFont val="Tahoma"/>
            <family val="2"/>
          </rPr>
          <t xml:space="preserve">See note on CFC-11
</t>
        </r>
      </text>
    </comment>
    <comment ref="J475" authorId="0" shapeId="0" xr:uid="{E396E138-F65A-4712-A87A-7BF5B392DA56}">
      <text>
        <r>
          <rPr>
            <sz val="9"/>
            <color indexed="81"/>
            <rFont val="Tahoma"/>
            <family val="2"/>
          </rPr>
          <t xml:space="preserve">See note on CFC-11
</t>
        </r>
      </text>
    </comment>
    <comment ref="A476" authorId="0" shapeId="0" xr:uid="{539EDAA0-23C2-4914-B663-107780991906}">
      <text>
        <r>
          <rPr>
            <sz val="9"/>
            <color indexed="81"/>
            <rFont val="Tahoma"/>
            <family val="2"/>
          </rPr>
          <t xml:space="preserve">CHF2(OCF2CF2)3OCHF2
</t>
        </r>
      </text>
    </comment>
    <comment ref="C476" authorId="0" shapeId="0" xr:uid="{194E84A0-D3BF-4FD8-912B-2B657EC136D3}">
      <text>
        <r>
          <rPr>
            <sz val="9"/>
            <color indexed="81"/>
            <rFont val="Tahoma"/>
            <family val="2"/>
          </rPr>
          <t xml:space="preserve">IPCC, AR6, Table 7, SM7
</t>
        </r>
      </text>
    </comment>
    <comment ref="D476" authorId="0" shapeId="0" xr:uid="{F6C8EFAC-0864-4C23-877E-C24ABED4A743}">
      <text>
        <r>
          <rPr>
            <sz val="9"/>
            <color indexed="81"/>
            <rFont val="Tahoma"/>
            <family val="2"/>
          </rPr>
          <t>based on IPCC AR6 WG1 
table 7.SM.8-13
Burkholder and Hodnebrog , NOAA, 2022, ANNEX Summary of Abundances, Lifetimes, ODPs, REs, GWPs, and GTP
report a GWP100 of 5160</t>
        </r>
      </text>
    </comment>
    <comment ref="E476" authorId="0" shapeId="0" xr:uid="{564ADB76-71CA-4E20-911E-694AA09173EA}">
      <text>
        <r>
          <rPr>
            <sz val="9"/>
            <color indexed="81"/>
            <rFont val="Tahoma"/>
            <family val="2"/>
          </rPr>
          <t xml:space="preserve">Burkholder and Hodnebrog , NOAA, 2022, ANNEX Summary of Abundances, Lifetimes, ODPs, REs, GWPs, and GTP
</t>
        </r>
      </text>
    </comment>
    <comment ref="G476" authorId="0" shapeId="0" xr:uid="{22B78EDF-664D-4B9F-87C6-F8CADD8AC371}">
      <text>
        <r>
          <rPr>
            <sz val="9"/>
            <color indexed="81"/>
            <rFont val="Tahoma"/>
            <family val="2"/>
          </rPr>
          <t xml:space="preserve">See note on CFC-11
</t>
        </r>
      </text>
    </comment>
    <comment ref="I476" authorId="0" shapeId="0" xr:uid="{7602891A-726A-4F5D-B986-55EAFCF0DA6B}">
      <text>
        <r>
          <rPr>
            <sz val="9"/>
            <color indexed="81"/>
            <rFont val="Tahoma"/>
            <family val="2"/>
          </rPr>
          <t xml:space="preserve">See note on CFC-11
</t>
        </r>
      </text>
    </comment>
    <comment ref="J476" authorId="0" shapeId="0" xr:uid="{6018E991-E280-4432-8C47-8E30DCBD0C11}">
      <text>
        <r>
          <rPr>
            <sz val="9"/>
            <color indexed="81"/>
            <rFont val="Tahoma"/>
            <family val="2"/>
          </rPr>
          <t xml:space="preserve">See note on CFC-11
</t>
        </r>
      </text>
    </comment>
    <comment ref="A477" authorId="0" shapeId="0" xr:uid="{2D6933FF-D188-41DA-B23D-4CD0E03B2681}">
      <text>
        <r>
          <rPr>
            <sz val="9"/>
            <color indexed="81"/>
            <rFont val="Tahoma"/>
            <family val="2"/>
          </rPr>
          <t xml:space="preserve">CF3CH2OCH=CH2
</t>
        </r>
      </text>
    </comment>
    <comment ref="C477" authorId="0" shapeId="0" xr:uid="{A4EB4FA2-5715-4A3E-AA17-46DA7F4328CF}">
      <text>
        <r>
          <rPr>
            <sz val="9"/>
            <color indexed="81"/>
            <rFont val="Tahoma"/>
            <family val="2"/>
          </rPr>
          <t xml:space="preserve">IPCC, AR6, Table 7, SM7
</t>
        </r>
      </text>
    </comment>
    <comment ref="D477" authorId="0" shapeId="0" xr:uid="{65889263-86F0-4C8F-8935-F19FCBDBFDE2}">
      <text>
        <r>
          <rPr>
            <sz val="9"/>
            <color indexed="81"/>
            <rFont val="Tahoma"/>
            <family val="2"/>
          </rPr>
          <t>based on IPCC AR6 WG1 
table 7.SM.8-13</t>
        </r>
      </text>
    </comment>
    <comment ref="E477" authorId="0" shapeId="0" xr:uid="{13A8F576-2178-41B6-A172-5300B47F61E7}">
      <text>
        <r>
          <rPr>
            <sz val="9"/>
            <color indexed="81"/>
            <rFont val="Tahoma"/>
            <family val="2"/>
          </rPr>
          <t xml:space="preserve">Burkholder and Hodnebrog , NOAA, 2022, ANNEX Summary of Abundances, Lifetimes, ODPs, REs, GWPs, and GTP
</t>
        </r>
      </text>
    </comment>
    <comment ref="G477" authorId="0" shapeId="0" xr:uid="{6123CD77-94F4-4B83-8FD0-328926E2930C}">
      <text>
        <r>
          <rPr>
            <sz val="9"/>
            <color indexed="81"/>
            <rFont val="Tahoma"/>
            <family val="2"/>
          </rPr>
          <t xml:space="preserve">See note on CFC-11
</t>
        </r>
      </text>
    </comment>
    <comment ref="I477" authorId="0" shapeId="0" xr:uid="{E7297213-8CF1-4A3E-BBE0-531F400A5668}">
      <text>
        <r>
          <rPr>
            <sz val="9"/>
            <color indexed="81"/>
            <rFont val="Tahoma"/>
            <family val="2"/>
          </rPr>
          <t xml:space="preserve">See note on CFC-11
</t>
        </r>
      </text>
    </comment>
    <comment ref="J477" authorId="0" shapeId="0" xr:uid="{A8E1606E-9DA7-4663-9B55-B843966C8453}">
      <text>
        <r>
          <rPr>
            <sz val="9"/>
            <color indexed="81"/>
            <rFont val="Tahoma"/>
            <family val="2"/>
          </rPr>
          <t xml:space="preserve">See note on CFC-11
</t>
        </r>
      </text>
    </comment>
    <comment ref="A478" authorId="0" shapeId="0" xr:uid="{620BF082-3AC4-4548-B3DC-3154DD0F1AC7}">
      <text>
        <r>
          <rPr>
            <sz val="9"/>
            <color indexed="81"/>
            <rFont val="Tahoma"/>
            <family val="2"/>
          </rPr>
          <t>C12H5F19O2</t>
        </r>
      </text>
    </comment>
    <comment ref="C478" authorId="0" shapeId="0" xr:uid="{F5988A1E-8CAF-414C-A593-9321638CF8FA}">
      <text>
        <r>
          <rPr>
            <sz val="9"/>
            <color indexed="81"/>
            <rFont val="Tahoma"/>
            <family val="2"/>
          </rPr>
          <t xml:space="preserve">IPCC, AR6, Table 7, SM7
</t>
        </r>
      </text>
    </comment>
    <comment ref="D478" authorId="0" shapeId="0" xr:uid="{75C3FEA8-8275-4F6A-A4E7-4E8D511C0B0F}">
      <text>
        <r>
          <rPr>
            <sz val="9"/>
            <color indexed="81"/>
            <rFont val="Tahoma"/>
            <family val="2"/>
          </rPr>
          <t>based on IPCC AR6 WG1 
table 7.SM.8-13
Burkholder and Hodnebrog , NOAA, 2022, ANNEX Summary of Abundances, Lifetimes, ODPs, REs, GWPs, and GTP
report a GWP100 of 46</t>
        </r>
      </text>
    </comment>
    <comment ref="E478" authorId="0" shapeId="0" xr:uid="{101543BA-3187-47BF-A4C3-4F113B095982}">
      <text>
        <r>
          <rPr>
            <sz val="9"/>
            <color indexed="81"/>
            <rFont val="Tahoma"/>
            <family val="2"/>
          </rPr>
          <t xml:space="preserve">Burkholder and Hodnebrog , NOAA, 2022, ANNEX Summary of Abundances, Lifetimes, ODPs, REs, GWPs, and GTP
</t>
        </r>
      </text>
    </comment>
    <comment ref="G478" authorId="0" shapeId="0" xr:uid="{385DE15D-AFF0-4BEE-94A9-CF799305320C}">
      <text>
        <r>
          <rPr>
            <sz val="9"/>
            <color indexed="81"/>
            <rFont val="Tahoma"/>
            <family val="2"/>
          </rPr>
          <t xml:space="preserve">See note on CFC-11
</t>
        </r>
      </text>
    </comment>
    <comment ref="I478" authorId="0" shapeId="0" xr:uid="{C2E57013-B2F0-4CE7-AFE3-55810272DFA8}">
      <text>
        <r>
          <rPr>
            <sz val="9"/>
            <color indexed="81"/>
            <rFont val="Tahoma"/>
            <family val="2"/>
          </rPr>
          <t xml:space="preserve">See note on CFC-11
</t>
        </r>
      </text>
    </comment>
    <comment ref="J478" authorId="0" shapeId="0" xr:uid="{6279982A-1678-472E-96BC-622F58E90629}">
      <text>
        <r>
          <rPr>
            <sz val="9"/>
            <color indexed="81"/>
            <rFont val="Tahoma"/>
            <family val="2"/>
          </rPr>
          <t xml:space="preserve">See note on CFC-11
</t>
        </r>
      </text>
    </comment>
    <comment ref="A479" authorId="0" shapeId="0" xr:uid="{2595344B-1CCA-446B-BC5B-0D8FE51629A6}">
      <text>
        <r>
          <rPr>
            <sz val="9"/>
            <color indexed="81"/>
            <rFont val="Tahoma"/>
            <family val="2"/>
          </rPr>
          <t>CH3OCHF2</t>
        </r>
      </text>
    </comment>
    <comment ref="C479" authorId="0" shapeId="0" xr:uid="{918740F9-2564-4C8D-8E3E-C9CE1EF2F37C}">
      <text>
        <r>
          <rPr>
            <sz val="9"/>
            <color indexed="81"/>
            <rFont val="Tahoma"/>
            <family val="2"/>
          </rPr>
          <t xml:space="preserve">IPCC, AR6, Table 7, SM7
</t>
        </r>
      </text>
    </comment>
    <comment ref="D479" authorId="0" shapeId="0" xr:uid="{5BAD7431-C624-4D2D-8895-C02BF292C762}">
      <text>
        <r>
          <rPr>
            <sz val="9"/>
            <color indexed="81"/>
            <rFont val="Tahoma"/>
            <family val="2"/>
          </rPr>
          <t>based on IPCC AR6 WG1 
table 7.SM.8-13</t>
        </r>
      </text>
    </comment>
    <comment ref="E479" authorId="0" shapeId="0" xr:uid="{2AEA249C-45A6-47A6-A50B-8620DCE8309F}">
      <text>
        <r>
          <rPr>
            <sz val="9"/>
            <color indexed="81"/>
            <rFont val="Tahoma"/>
            <family val="2"/>
          </rPr>
          <t>No solely florinated species is known to have an ODP in 
 Burkholder and Hodnebrog , NOAA, 2022, ANNEX Summary of Abundances, Lifetimes, ODPs, REs, GWPs, and GTP</t>
        </r>
      </text>
    </comment>
    <comment ref="G479" authorId="0" shapeId="0" xr:uid="{50FF4438-9E40-4920-A69E-1CDF125F08AC}">
      <text>
        <r>
          <rPr>
            <sz val="9"/>
            <color indexed="81"/>
            <rFont val="Tahoma"/>
            <family val="2"/>
          </rPr>
          <t xml:space="preserve">See note on CFC-11
</t>
        </r>
      </text>
    </comment>
    <comment ref="I479" authorId="0" shapeId="0" xr:uid="{847A09C2-E4D4-4D26-8B95-7BDDD0DF112B}">
      <text>
        <r>
          <rPr>
            <sz val="9"/>
            <color indexed="81"/>
            <rFont val="Tahoma"/>
            <family val="2"/>
          </rPr>
          <t xml:space="preserve">See note on CFC-11
</t>
        </r>
      </text>
    </comment>
    <comment ref="J479" authorId="0" shapeId="0" xr:uid="{557FE8CD-744E-4D95-839A-B0E121759CF2}">
      <text>
        <r>
          <rPr>
            <sz val="9"/>
            <color indexed="81"/>
            <rFont val="Tahoma"/>
            <family val="2"/>
          </rPr>
          <t xml:space="preserve">See note on CFC-11
</t>
        </r>
      </text>
    </comment>
    <comment ref="A480" authorId="0" shapeId="0" xr:uid="{F4AD78EB-C898-4572-9F2A-CA20F1E463C2}">
      <text>
        <r>
          <rPr>
            <sz val="9"/>
            <color indexed="81"/>
            <rFont val="Tahoma"/>
            <family val="2"/>
          </rPr>
          <t xml:space="preserve">CH3OCF2CF2OCH3
</t>
        </r>
      </text>
    </comment>
    <comment ref="C480" authorId="0" shapeId="0" xr:uid="{3E3E8C19-003C-4F91-B6A9-091E0A917C11}">
      <text>
        <r>
          <rPr>
            <sz val="9"/>
            <color indexed="81"/>
            <rFont val="Tahoma"/>
            <family val="2"/>
          </rPr>
          <t xml:space="preserve">IPCC, AR6, Table 7, SM7
</t>
        </r>
      </text>
    </comment>
    <comment ref="D480" authorId="0" shapeId="0" xr:uid="{4B4EC79C-8906-4BAE-833D-8EDAC9433061}">
      <text>
        <r>
          <rPr>
            <sz val="9"/>
            <color indexed="81"/>
            <rFont val="Tahoma"/>
            <family val="2"/>
          </rPr>
          <t>based on IPCC AR6 WG1 
table 7.SM.8-13
Burkholder and Hodnebrog , NOAA, 2022, ANNEX Summary of Abundances, Lifetimes, ODPs, REs, GWPs, and GTP
report a GWP100 of 219</t>
        </r>
      </text>
    </comment>
    <comment ref="E480" authorId="0" shapeId="0" xr:uid="{E2EDC525-1D54-4932-AEA2-AEBC32D73BCD}">
      <text>
        <r>
          <rPr>
            <sz val="9"/>
            <color indexed="81"/>
            <rFont val="Tahoma"/>
            <family val="2"/>
          </rPr>
          <t xml:space="preserve">Burkholder and Hodnebrog , NOAA, 2022, ANNEX Summary of Abundances, Lifetimes, ODPs, REs, GWPs, and GTP
</t>
        </r>
      </text>
    </comment>
    <comment ref="G480" authorId="0" shapeId="0" xr:uid="{E9B43A1A-234A-4EEF-B9BD-A3F6E7289CA5}">
      <text>
        <r>
          <rPr>
            <sz val="9"/>
            <color indexed="81"/>
            <rFont val="Tahoma"/>
            <family val="2"/>
          </rPr>
          <t xml:space="preserve">See note on CFC-11
</t>
        </r>
      </text>
    </comment>
    <comment ref="I480" authorId="0" shapeId="0" xr:uid="{2DA2EFDA-56A1-4667-92E0-AA43CCB4CAAF}">
      <text>
        <r>
          <rPr>
            <sz val="9"/>
            <color indexed="81"/>
            <rFont val="Tahoma"/>
            <family val="2"/>
          </rPr>
          <t xml:space="preserve">See note on CFC-11
</t>
        </r>
      </text>
    </comment>
    <comment ref="J480" authorId="0" shapeId="0" xr:uid="{08DCCAF0-7108-4877-8C00-A89B26A2C40D}">
      <text>
        <r>
          <rPr>
            <sz val="9"/>
            <color indexed="81"/>
            <rFont val="Tahoma"/>
            <family val="2"/>
          </rPr>
          <t xml:space="preserve">See note on CFC-11
</t>
        </r>
      </text>
    </comment>
    <comment ref="A481" authorId="0" shapeId="0" xr:uid="{40A53AA0-DC73-4585-B1C9-170B5B5A005F}">
      <text>
        <r>
          <rPr>
            <sz val="9"/>
            <color indexed="81"/>
            <rFont val="Tahoma"/>
            <family val="2"/>
          </rPr>
          <t xml:space="preserve">CH3O(CF2CF2O)2CH3
</t>
        </r>
      </text>
    </comment>
    <comment ref="C481" authorId="0" shapeId="0" xr:uid="{F4A9F774-7922-405B-B0E4-7E20F99FAA3F}">
      <text>
        <r>
          <rPr>
            <sz val="9"/>
            <color indexed="81"/>
            <rFont val="Tahoma"/>
            <family val="2"/>
          </rPr>
          <t xml:space="preserve">IPCC, AR6, Table 7, SM7
</t>
        </r>
      </text>
    </comment>
    <comment ref="D481" authorId="0" shapeId="0" xr:uid="{FDC60BBF-C3B5-42CA-BA5A-7767EA19D404}">
      <text>
        <r>
          <rPr>
            <sz val="9"/>
            <color indexed="81"/>
            <rFont val="Tahoma"/>
            <family val="2"/>
          </rPr>
          <t>based on IPCC AR6 WG1 
table 7.SM.8-13
Burkholder and Hodnebrog , NOAA, 2022, ANNEX Summary of Abundances, Lifetimes, ODPs, REs, GWPs, and GTP
report a GWP100 of 227</t>
        </r>
      </text>
    </comment>
    <comment ref="E481" authorId="0" shapeId="0" xr:uid="{8592BB11-A5DA-48BC-A571-5ACC4A9CC2AB}">
      <text>
        <r>
          <rPr>
            <sz val="9"/>
            <color indexed="81"/>
            <rFont val="Tahoma"/>
            <family val="2"/>
          </rPr>
          <t xml:space="preserve">Burkholder and Hodnebrog , NOAA, 2022, ANNEX Summary of Abundances, Lifetimes, ODPs, REs, GWPs, and GTP
</t>
        </r>
      </text>
    </comment>
    <comment ref="G481" authorId="0" shapeId="0" xr:uid="{324BF141-1336-48AC-94A5-8CCBBE1F8C67}">
      <text>
        <r>
          <rPr>
            <sz val="9"/>
            <color indexed="81"/>
            <rFont val="Tahoma"/>
            <family val="2"/>
          </rPr>
          <t xml:space="preserve">See note on CFC-11
</t>
        </r>
      </text>
    </comment>
    <comment ref="I481" authorId="0" shapeId="0" xr:uid="{910D7EB9-EBF3-493C-8262-1F1632EEBC72}">
      <text>
        <r>
          <rPr>
            <sz val="9"/>
            <color indexed="81"/>
            <rFont val="Tahoma"/>
            <family val="2"/>
          </rPr>
          <t xml:space="preserve">See note on CFC-11
</t>
        </r>
      </text>
    </comment>
    <comment ref="J481" authorId="0" shapeId="0" xr:uid="{7F3A6E4C-69E9-4DF3-B512-841C429D4630}">
      <text>
        <r>
          <rPr>
            <sz val="9"/>
            <color indexed="81"/>
            <rFont val="Tahoma"/>
            <family val="2"/>
          </rPr>
          <t xml:space="preserve">See note on CFC-11
</t>
        </r>
      </text>
    </comment>
    <comment ref="A482" authorId="0" shapeId="0" xr:uid="{947B1ED7-B2F8-4D93-A029-0CB0CACC6CF3}">
      <text>
        <r>
          <rPr>
            <sz val="9"/>
            <color indexed="81"/>
            <rFont val="Tahoma"/>
            <family val="2"/>
          </rPr>
          <t>CH3O(CF2CF2O)3CH3</t>
        </r>
      </text>
    </comment>
    <comment ref="C482" authorId="0" shapeId="0" xr:uid="{A6C76CB0-343D-4288-8199-8AE213F0ED54}">
      <text>
        <r>
          <rPr>
            <sz val="9"/>
            <color indexed="81"/>
            <rFont val="Tahoma"/>
            <family val="2"/>
          </rPr>
          <t xml:space="preserve">IPCC, AR6, Table 7, SM7
</t>
        </r>
      </text>
    </comment>
    <comment ref="D482" authorId="0" shapeId="0" xr:uid="{5BDF1D2C-4954-47D3-AF42-9FB5B3607D2A}">
      <text>
        <r>
          <rPr>
            <sz val="9"/>
            <color indexed="81"/>
            <rFont val="Tahoma"/>
            <family val="2"/>
          </rPr>
          <t>based on IPCC AR6 WG1 
table 7.SM.8-13
Burkholder and Hodnebrog , NOAA, 2022, ANNEX Summary of Abundances, Lifetimes, ODPs, REs, GWPs, and GTP
report a GWP100 of 217</t>
        </r>
      </text>
    </comment>
    <comment ref="E482" authorId="0" shapeId="0" xr:uid="{D30C981D-9242-4781-AE38-EDBB8B6A35B2}">
      <text>
        <r>
          <rPr>
            <sz val="9"/>
            <color indexed="81"/>
            <rFont val="Tahoma"/>
            <family val="2"/>
          </rPr>
          <t xml:space="preserve">Burkholder and Hodnebrog , NOAA, 2022, ANNEX Summary of Abundances, Lifetimes, ODPs, REs, GWPs, and GTP
</t>
        </r>
      </text>
    </comment>
    <comment ref="G482" authorId="0" shapeId="0" xr:uid="{F80643FE-3D3E-4478-B898-A90CB15A1237}">
      <text>
        <r>
          <rPr>
            <sz val="9"/>
            <color indexed="81"/>
            <rFont val="Tahoma"/>
            <family val="2"/>
          </rPr>
          <t xml:space="preserve">See note on CFC-11
</t>
        </r>
      </text>
    </comment>
    <comment ref="I482" authorId="0" shapeId="0" xr:uid="{BA716000-80D2-48F7-9820-42D0F2B7452A}">
      <text>
        <r>
          <rPr>
            <sz val="9"/>
            <color indexed="81"/>
            <rFont val="Tahoma"/>
            <family val="2"/>
          </rPr>
          <t xml:space="preserve">See note on CFC-11
</t>
        </r>
      </text>
    </comment>
    <comment ref="J482" authorId="0" shapeId="0" xr:uid="{90EBCE08-A7E3-4F76-AF53-E6D107728574}">
      <text>
        <r>
          <rPr>
            <sz val="9"/>
            <color indexed="81"/>
            <rFont val="Tahoma"/>
            <family val="2"/>
          </rPr>
          <t xml:space="preserve">See note on CFC-11
</t>
        </r>
      </text>
    </comment>
    <comment ref="A483" authorId="0" shapeId="0" xr:uid="{9DBCB897-F971-4C10-A8F8-44C26E173B6F}">
      <text>
        <r>
          <rPr>
            <sz val="9"/>
            <color indexed="81"/>
            <rFont val="Tahoma"/>
            <family val="2"/>
          </rPr>
          <t xml:space="preserve">CF3CFHCF2OCF3
</t>
        </r>
      </text>
    </comment>
    <comment ref="C483" authorId="0" shapeId="0" xr:uid="{87948520-51EF-4715-A161-7F5BF348F305}">
      <text>
        <r>
          <rPr>
            <sz val="9"/>
            <color indexed="81"/>
            <rFont val="Tahoma"/>
            <family val="2"/>
          </rPr>
          <t xml:space="preserve">IPCC, AR6, Table 7, SM7
</t>
        </r>
      </text>
    </comment>
    <comment ref="D483" authorId="0" shapeId="0" xr:uid="{4870131C-BB3F-47D6-9C82-F7787B3CB252}">
      <text>
        <r>
          <rPr>
            <sz val="9"/>
            <color indexed="81"/>
            <rFont val="Tahoma"/>
            <family val="2"/>
          </rPr>
          <t>based on IPCC AR6 WG1 
table 7.SM.8-13
Burkholder and Hodnebrog , NOAA, 2022, ANNEX Summary of Abundances, Lifetimes, ODPs, REs, GWPs, and GTP
report a GWP100 of 4190</t>
        </r>
      </text>
    </comment>
    <comment ref="E483" authorId="0" shapeId="0" xr:uid="{5D919770-A79C-4716-AF1E-674A60647988}">
      <text>
        <r>
          <rPr>
            <sz val="9"/>
            <color indexed="81"/>
            <rFont val="Tahoma"/>
            <family val="2"/>
          </rPr>
          <t xml:space="preserve">Burkholder and Hodnebrog , NOAA, 2022, ANNEX Summary of Abundances, Lifetimes, ODPs, REs, GWPs, and GTP
</t>
        </r>
      </text>
    </comment>
    <comment ref="G483" authorId="0" shapeId="0" xr:uid="{B5EF4E3B-3436-43E8-845C-CC019B2D435B}">
      <text>
        <r>
          <rPr>
            <sz val="9"/>
            <color indexed="81"/>
            <rFont val="Tahoma"/>
            <family val="2"/>
          </rPr>
          <t xml:space="preserve">See note on CFC-11
</t>
        </r>
      </text>
    </comment>
    <comment ref="I483" authorId="0" shapeId="0" xr:uid="{EA245751-E8F1-47D2-B26C-C6F7B38449FB}">
      <text>
        <r>
          <rPr>
            <sz val="9"/>
            <color indexed="81"/>
            <rFont val="Tahoma"/>
            <family val="2"/>
          </rPr>
          <t xml:space="preserve">See note on CFC-11
</t>
        </r>
      </text>
    </comment>
    <comment ref="J483" authorId="0" shapeId="0" xr:uid="{FF787E6F-18AB-4D63-BDE9-E1760BD8A15B}">
      <text>
        <r>
          <rPr>
            <sz val="9"/>
            <color indexed="81"/>
            <rFont val="Tahoma"/>
            <family val="2"/>
          </rPr>
          <t xml:space="preserve">See note on CFC-11
</t>
        </r>
      </text>
    </comment>
    <comment ref="A484" authorId="0" shapeId="0" xr:uid="{A0206174-865B-4F15-9622-158F1C144FA0}">
      <text>
        <r>
          <rPr>
            <sz val="9"/>
            <color indexed="81"/>
            <rFont val="Tahoma"/>
            <family val="2"/>
          </rPr>
          <t xml:space="preserve">CF3(CF2)4CH2CH2OH
</t>
        </r>
      </text>
    </comment>
    <comment ref="C484" authorId="0" shapeId="0" xr:uid="{E4714C6B-DC48-4496-8637-13748CD8D2B5}">
      <text>
        <r>
          <rPr>
            <sz val="9"/>
            <color indexed="81"/>
            <rFont val="Tahoma"/>
            <family val="2"/>
          </rPr>
          <t xml:space="preserve">IPCC, AR6, Table 7, SM7
</t>
        </r>
      </text>
    </comment>
    <comment ref="D484" authorId="0" shapeId="0" xr:uid="{97AEBFF4-0392-4B5A-A112-3056C10F0DED}">
      <text>
        <r>
          <rPr>
            <sz val="9"/>
            <color indexed="81"/>
            <rFont val="Tahoma"/>
            <family val="2"/>
          </rPr>
          <t>based on IPCC AR6 WG1 
table 7.SM.8-13</t>
        </r>
      </text>
    </comment>
    <comment ref="E484" authorId="0" shapeId="0" xr:uid="{07085164-24C8-488F-911A-32E6179A4C1C}">
      <text>
        <r>
          <rPr>
            <sz val="9"/>
            <color indexed="81"/>
            <rFont val="Tahoma"/>
            <family val="2"/>
          </rPr>
          <t xml:space="preserve">Burkholder and Hodnebrog , NOAA, 2022, ANNEX Summary of Abundances, Lifetimes, ODPs, REs, GWPs, and GTP
</t>
        </r>
      </text>
    </comment>
    <comment ref="G484" authorId="0" shapeId="0" xr:uid="{24817C33-FA9A-4E7E-A153-04C86AA0046D}">
      <text>
        <r>
          <rPr>
            <sz val="9"/>
            <color indexed="81"/>
            <rFont val="Tahoma"/>
            <family val="2"/>
          </rPr>
          <t xml:space="preserve">See note on CFC-11
</t>
        </r>
      </text>
    </comment>
    <comment ref="I484" authorId="0" shapeId="0" xr:uid="{CCB0CF37-2F00-4CF7-925C-003AF85930CE}">
      <text>
        <r>
          <rPr>
            <sz val="9"/>
            <color indexed="81"/>
            <rFont val="Tahoma"/>
            <family val="2"/>
          </rPr>
          <t xml:space="preserve">See note on CFC-11
</t>
        </r>
      </text>
    </comment>
    <comment ref="J484" authorId="0" shapeId="0" xr:uid="{2E3563A2-F32D-46C8-8F7C-434CFE8329FB}">
      <text>
        <r>
          <rPr>
            <sz val="9"/>
            <color indexed="81"/>
            <rFont val="Tahoma"/>
            <family val="2"/>
          </rPr>
          <t xml:space="preserve">See note on CFC-11
</t>
        </r>
      </text>
    </comment>
    <comment ref="A485" authorId="0" shapeId="0" xr:uid="{F8D3E1F4-6D8A-4B1C-9963-B78C6EB2DB05}">
      <text>
        <r>
          <rPr>
            <sz val="9"/>
            <color indexed="81"/>
            <rFont val="Tahoma"/>
            <family val="2"/>
          </rPr>
          <t xml:space="preserve">CF3(CF2)6CH2CH2OH
</t>
        </r>
      </text>
    </comment>
    <comment ref="C485" authorId="0" shapeId="0" xr:uid="{F73F95F5-F94A-4CF2-89AC-771D723ED2AA}">
      <text>
        <r>
          <rPr>
            <sz val="9"/>
            <color indexed="81"/>
            <rFont val="Tahoma"/>
            <family val="2"/>
          </rPr>
          <t xml:space="preserve">IPCC, AR6, Table 7, SM7
</t>
        </r>
      </text>
    </comment>
    <comment ref="D485" authorId="0" shapeId="0" xr:uid="{8F1A1672-8467-48D9-B891-34002E019822}">
      <text>
        <r>
          <rPr>
            <sz val="9"/>
            <color indexed="81"/>
            <rFont val="Tahoma"/>
            <family val="2"/>
          </rPr>
          <t>based on IPCC AR6 WG1 
table 7.SM.8-13</t>
        </r>
      </text>
    </comment>
    <comment ref="E485" authorId="0" shapeId="0" xr:uid="{4200C8E7-82D5-4489-B1D0-CEC180CE9DFB}">
      <text>
        <r>
          <rPr>
            <sz val="9"/>
            <color indexed="81"/>
            <rFont val="Tahoma"/>
            <family val="2"/>
          </rPr>
          <t xml:space="preserve">Burkholder and Hodnebrog , NOAA, 2022, ANNEX Summary of Abundances, Lifetimes, ODPs, REs, GWPs, and GTP
</t>
        </r>
      </text>
    </comment>
    <comment ref="G485" authorId="0" shapeId="0" xr:uid="{CF1DDFA4-5460-4EF5-82D4-725766D375BB}">
      <text>
        <r>
          <rPr>
            <sz val="9"/>
            <color indexed="81"/>
            <rFont val="Tahoma"/>
            <family val="2"/>
          </rPr>
          <t xml:space="preserve">See note on CFC-11
</t>
        </r>
      </text>
    </comment>
    <comment ref="I485" authorId="0" shapeId="0" xr:uid="{2C381E73-179E-46A6-A70D-29BA4150ED04}">
      <text>
        <r>
          <rPr>
            <sz val="9"/>
            <color indexed="81"/>
            <rFont val="Tahoma"/>
            <family val="2"/>
          </rPr>
          <t xml:space="preserve">See note on CFC-11
</t>
        </r>
      </text>
    </comment>
    <comment ref="J485" authorId="0" shapeId="0" xr:uid="{7AE9CE80-F1D2-414C-86DC-EA969ACEE1D5}">
      <text>
        <r>
          <rPr>
            <sz val="9"/>
            <color indexed="81"/>
            <rFont val="Tahoma"/>
            <family val="2"/>
          </rPr>
          <t xml:space="preserve">See note on CFC-11
</t>
        </r>
      </text>
    </comment>
    <comment ref="A486" authorId="0" shapeId="0" xr:uid="{2838B90E-706A-450A-A749-AEC302C67015}">
      <text>
        <r>
          <rPr>
            <sz val="9"/>
            <color indexed="81"/>
            <rFont val="Tahoma"/>
            <family val="2"/>
          </rPr>
          <t xml:space="preserve">CF3(CF2)8CH2CH2OH
</t>
        </r>
      </text>
    </comment>
    <comment ref="C486" authorId="0" shapeId="0" xr:uid="{BF5ECBB0-E87B-43BC-B61D-21CE18D86A74}">
      <text>
        <r>
          <rPr>
            <sz val="9"/>
            <color indexed="81"/>
            <rFont val="Tahoma"/>
            <family val="2"/>
          </rPr>
          <t xml:space="preserve">IPCC, AR6, Table 7, SM7
</t>
        </r>
      </text>
    </comment>
    <comment ref="D486" authorId="0" shapeId="0" xr:uid="{A59D335B-EA54-4CD7-B601-A8EB91485CE0}">
      <text>
        <r>
          <rPr>
            <sz val="9"/>
            <color indexed="81"/>
            <rFont val="Tahoma"/>
            <family val="2"/>
          </rPr>
          <t>based on IPCC AR6 WG1 
table 7.SM.8-13</t>
        </r>
      </text>
    </comment>
    <comment ref="E486" authorId="0" shapeId="0" xr:uid="{95722693-1E90-415E-A09E-242F90C49805}">
      <text>
        <r>
          <rPr>
            <sz val="9"/>
            <color indexed="81"/>
            <rFont val="Tahoma"/>
            <family val="2"/>
          </rPr>
          <t xml:space="preserve">Burkholder and Hodnebrog , NOAA, 2022, ANNEX Summary of Abundances, Lifetimes, ODPs, REs, GWPs, and GTP
</t>
        </r>
      </text>
    </comment>
    <comment ref="G486" authorId="0" shapeId="0" xr:uid="{9B7A3989-148E-4719-9943-700A7AA440DE}">
      <text>
        <r>
          <rPr>
            <sz val="9"/>
            <color indexed="81"/>
            <rFont val="Tahoma"/>
            <family val="2"/>
          </rPr>
          <t xml:space="preserve">See note on CFC-11
</t>
        </r>
      </text>
    </comment>
    <comment ref="I486" authorId="0" shapeId="0" xr:uid="{22ED1C78-E237-4F3B-A86F-8A684B041B08}">
      <text>
        <r>
          <rPr>
            <sz val="9"/>
            <color indexed="81"/>
            <rFont val="Tahoma"/>
            <family val="2"/>
          </rPr>
          <t xml:space="preserve">See note on CFC-11
</t>
        </r>
      </text>
    </comment>
    <comment ref="J486" authorId="0" shapeId="0" xr:uid="{EAEB913B-71CA-446E-8E57-A1A441346C85}">
      <text>
        <r>
          <rPr>
            <sz val="9"/>
            <color indexed="81"/>
            <rFont val="Tahoma"/>
            <family val="2"/>
          </rPr>
          <t xml:space="preserve">See note on CFC-11
</t>
        </r>
      </text>
    </comment>
    <comment ref="A487" authorId="0" shapeId="0" xr:uid="{33EF51D9-F480-4411-A00F-1E52A3A2384E}">
      <text>
        <r>
          <rPr>
            <sz val="9"/>
            <color indexed="81"/>
            <rFont val="Tahoma"/>
            <family val="2"/>
          </rPr>
          <t xml:space="preserve">CH3OCF2CHClF
</t>
        </r>
      </text>
    </comment>
    <comment ref="C487" authorId="0" shapeId="0" xr:uid="{7A3F937B-AF86-4D6A-8F55-3FC8E90DC35F}">
      <text>
        <r>
          <rPr>
            <sz val="9"/>
            <color indexed="81"/>
            <rFont val="Tahoma"/>
            <family val="2"/>
          </rPr>
          <t xml:space="preserve">IPCC, AR6, Table 7, SM7
</t>
        </r>
      </text>
    </comment>
    <comment ref="D487" authorId="0" shapeId="0" xr:uid="{8817A91B-B285-464E-9B90-ABA37B17B2B0}">
      <text>
        <r>
          <rPr>
            <sz val="9"/>
            <color indexed="81"/>
            <rFont val="Tahoma"/>
            <family val="2"/>
          </rPr>
          <t>based on IPCC AR6 WG1 
table 7.SM.8-13
Burkholder and Hodnebrog , NOAA, 2022, ANNEX Summary of Abundances, Lifetimes, ODPs, REs, GWPs, and GTP
report a GWP100 of 142</t>
        </r>
      </text>
    </comment>
    <comment ref="E487" authorId="0" shapeId="0" xr:uid="{D823F499-C6C0-419A-98AA-841545BFD439}">
      <text>
        <r>
          <rPr>
            <sz val="9"/>
            <color indexed="81"/>
            <rFont val="Tahoma"/>
            <family val="2"/>
          </rPr>
          <t xml:space="preserve">Burkholder and Hodnebrog , NOAA, 2022, ANNEX Summary of Abundances, Lifetimes, ODPs, REs, GWPs, and GTP
</t>
        </r>
      </text>
    </comment>
    <comment ref="G487" authorId="0" shapeId="0" xr:uid="{EE889378-352C-47DD-805D-4C70E4DB6141}">
      <text>
        <r>
          <rPr>
            <sz val="9"/>
            <color indexed="81"/>
            <rFont val="Tahoma"/>
            <family val="2"/>
          </rPr>
          <t xml:space="preserve">See note on CFC-11
</t>
        </r>
      </text>
    </comment>
    <comment ref="I487" authorId="0" shapeId="0" xr:uid="{A5C44CA9-35E5-4BA9-B213-DAE446758EC1}">
      <text>
        <r>
          <rPr>
            <sz val="9"/>
            <color indexed="81"/>
            <rFont val="Tahoma"/>
            <family val="2"/>
          </rPr>
          <t xml:space="preserve">See note on CFC-11
</t>
        </r>
      </text>
    </comment>
    <comment ref="J487" authorId="0" shapeId="0" xr:uid="{1E1F224D-C28E-44D1-8956-A170EECDD174}">
      <text>
        <r>
          <rPr>
            <sz val="9"/>
            <color indexed="81"/>
            <rFont val="Tahoma"/>
            <family val="2"/>
          </rPr>
          <t xml:space="preserve">See note on CFC-11
</t>
        </r>
      </text>
    </comment>
    <comment ref="A488" authorId="0" shapeId="0" xr:uid="{0E00C979-7957-431B-94F7-C19A95B9945F}">
      <text>
        <r>
          <rPr>
            <sz val="9"/>
            <color indexed="81"/>
            <rFont val="Tahoma"/>
            <family val="2"/>
          </rPr>
          <t xml:space="preserve">CF3OCFCF3CF2OCF2OCF3
</t>
        </r>
      </text>
    </comment>
    <comment ref="C488" authorId="0" shapeId="0" xr:uid="{F7B32ED5-5990-424C-A04A-913A46DB523D}">
      <text>
        <r>
          <rPr>
            <sz val="9"/>
            <color indexed="81"/>
            <rFont val="Tahoma"/>
            <family val="2"/>
          </rPr>
          <t xml:space="preserve">IPCC, AR6, Table 7, SM7
</t>
        </r>
      </text>
    </comment>
    <comment ref="D488" authorId="0" shapeId="0" xr:uid="{1FAB676B-B2B3-4366-8C88-5AE2E93B1423}">
      <text>
        <r>
          <rPr>
            <sz val="9"/>
            <color indexed="81"/>
            <rFont val="Tahoma"/>
            <family val="2"/>
          </rPr>
          <t>based on IPCC AR6 WG1 
table 7.SM.8-13
Burkholder and Hodnebrog , NOAA, 2022, ANNEX Summary of Abundances, Lifetimes, ODPs, REs, GWPs, and GTP
report a GWP100 of 9830</t>
        </r>
      </text>
    </comment>
    <comment ref="E488" authorId="0" shapeId="0" xr:uid="{8878F7EE-0645-42B1-A163-14019BDD92ED}">
      <text>
        <r>
          <rPr>
            <sz val="9"/>
            <color indexed="81"/>
            <rFont val="Tahoma"/>
            <family val="2"/>
          </rPr>
          <t xml:space="preserve">Burkholder and Hodnebrog , NOAA, 2022, ANNEX Summary of Abundances, Lifetimes, ODPs, REs, GWPs, and GTP
</t>
        </r>
      </text>
    </comment>
    <comment ref="G488" authorId="0" shapeId="0" xr:uid="{09BC9FCD-4F0C-4D75-A400-A18D7085EF1A}">
      <text>
        <r>
          <rPr>
            <sz val="9"/>
            <color indexed="81"/>
            <rFont val="Tahoma"/>
            <family val="2"/>
          </rPr>
          <t xml:space="preserve">See note on CFC-11
</t>
        </r>
      </text>
    </comment>
    <comment ref="I488" authorId="0" shapeId="0" xr:uid="{28CF6D94-07FF-4A0B-87A3-1133F9879D45}">
      <text>
        <r>
          <rPr>
            <sz val="9"/>
            <color indexed="81"/>
            <rFont val="Tahoma"/>
            <family val="2"/>
          </rPr>
          <t xml:space="preserve">See note on CFC-11
</t>
        </r>
      </text>
    </comment>
    <comment ref="J488" authorId="0" shapeId="0" xr:uid="{32A38FF0-6254-405D-BC0C-8FF08F00B60D}">
      <text>
        <r>
          <rPr>
            <sz val="9"/>
            <color indexed="81"/>
            <rFont val="Tahoma"/>
            <family val="2"/>
          </rPr>
          <t xml:space="preserve">See note on CFC-11
</t>
        </r>
      </text>
    </comment>
    <comment ref="A489" authorId="0" shapeId="0" xr:uid="{0F7F9AEF-DDDC-44B9-B524-2821AB253787}">
      <text>
        <r>
          <rPr>
            <sz val="9"/>
            <color indexed="81"/>
            <rFont val="Tahoma"/>
            <family val="2"/>
          </rPr>
          <t xml:space="preserve">CF3OCF=CF2
</t>
        </r>
      </text>
    </comment>
    <comment ref="C489" authorId="0" shapeId="0" xr:uid="{2F02272E-EE1A-444C-9B78-AF6267BE5487}">
      <text>
        <r>
          <rPr>
            <sz val="9"/>
            <color indexed="81"/>
            <rFont val="Tahoma"/>
            <family val="2"/>
          </rPr>
          <t xml:space="preserve">IPCC, AR6, Table 7, SM7
</t>
        </r>
      </text>
    </comment>
    <comment ref="D489" authorId="0" shapeId="0" xr:uid="{5D97FFA8-1FCE-4834-9798-F20C27AB6891}">
      <text>
        <r>
          <rPr>
            <sz val="9"/>
            <color indexed="81"/>
            <rFont val="Tahoma"/>
            <family val="2"/>
          </rPr>
          <t>based on IPCC AR6 WG1 
table 7.SM.8-13</t>
        </r>
      </text>
    </comment>
    <comment ref="E489" authorId="0" shapeId="0" xr:uid="{93F314E3-3455-478D-87FB-4111B4055C83}">
      <text>
        <r>
          <rPr>
            <sz val="9"/>
            <color indexed="81"/>
            <rFont val="Tahoma"/>
            <family val="2"/>
          </rPr>
          <t xml:space="preserve">Burkholder and Hodnebrog , NOAA, 2022, ANNEX Summary of Abundances, Lifetimes, ODPs, REs, GWPs, and GTP
</t>
        </r>
      </text>
    </comment>
    <comment ref="G489" authorId="0" shapeId="0" xr:uid="{BB9E0644-9BF8-468A-9F4E-12308B57EB8F}">
      <text>
        <r>
          <rPr>
            <sz val="9"/>
            <color indexed="81"/>
            <rFont val="Tahoma"/>
            <family val="2"/>
          </rPr>
          <t xml:space="preserve">See note on CFC-11
</t>
        </r>
      </text>
    </comment>
    <comment ref="I489" authorId="0" shapeId="0" xr:uid="{9334246D-33E3-4078-9E11-49E1C24BE4D8}">
      <text>
        <r>
          <rPr>
            <sz val="9"/>
            <color indexed="81"/>
            <rFont val="Tahoma"/>
            <family val="2"/>
          </rPr>
          <t xml:space="preserve">See note on CFC-11
</t>
        </r>
      </text>
    </comment>
    <comment ref="J489" authorId="0" shapeId="0" xr:uid="{50B7946D-F406-4A9C-A80A-4EE00E3B7562}">
      <text>
        <r>
          <rPr>
            <sz val="9"/>
            <color indexed="81"/>
            <rFont val="Tahoma"/>
            <family val="2"/>
          </rPr>
          <t xml:space="preserve">See note on CFC-11
</t>
        </r>
      </text>
    </comment>
    <comment ref="A490" authorId="0" shapeId="0" xr:uid="{D308C261-0E80-48F6-A65A-C830E743D96F}">
      <text>
        <r>
          <rPr>
            <sz val="9"/>
            <color indexed="81"/>
            <rFont val="Tahoma"/>
            <family val="2"/>
          </rPr>
          <t>CF3CF2OCHO</t>
        </r>
      </text>
    </comment>
    <comment ref="C490" authorId="0" shapeId="0" xr:uid="{94E4F1EB-E0FD-4083-9674-348531BF06DC}">
      <text>
        <r>
          <rPr>
            <sz val="9"/>
            <color indexed="81"/>
            <rFont val="Tahoma"/>
            <family val="2"/>
          </rPr>
          <t xml:space="preserve">IPCC, AR6, Table 7, SM7
</t>
        </r>
      </text>
    </comment>
    <comment ref="D490" authorId="0" shapeId="0" xr:uid="{3EB5610B-7438-4884-9BBB-7A2300642D9E}">
      <text>
        <r>
          <rPr>
            <sz val="9"/>
            <color indexed="81"/>
            <rFont val="Tahoma"/>
            <family val="2"/>
          </rPr>
          <t>based on IPCC AR6 WG1 
table 7.SM.8-13
Burkholder and Hodnebrog , NOAA, 2022, ANNEX Summary of Abundances, Lifetimes, ODPs, REs, GWPs, and GTP
report a GWP100 of 662</t>
        </r>
      </text>
    </comment>
    <comment ref="E490" authorId="0" shapeId="0" xr:uid="{6B09CA30-00CA-4DA0-8C1E-99FD3F3C84BF}">
      <text>
        <r>
          <rPr>
            <sz val="9"/>
            <color indexed="81"/>
            <rFont val="Tahoma"/>
            <family val="2"/>
          </rPr>
          <t xml:space="preserve">Burkholder and Hodnebrog , NOAA, 2022, ANNEX Summary of Abundances, Lifetimes, ODPs, REs, GWPs, and GTP
</t>
        </r>
      </text>
    </comment>
    <comment ref="G490" authorId="0" shapeId="0" xr:uid="{2A3EA139-2540-43B2-A9CF-EF879EC919A2}">
      <text>
        <r>
          <rPr>
            <sz val="9"/>
            <color indexed="81"/>
            <rFont val="Tahoma"/>
            <family val="2"/>
          </rPr>
          <t xml:space="preserve">See note on CFC-11
</t>
        </r>
      </text>
    </comment>
    <comment ref="I490" authorId="0" shapeId="0" xr:uid="{FB131CA6-4F34-45A3-B652-09F10AA8A8F4}">
      <text>
        <r>
          <rPr>
            <sz val="9"/>
            <color indexed="81"/>
            <rFont val="Tahoma"/>
            <family val="2"/>
          </rPr>
          <t xml:space="preserve">See note on CFC-11
</t>
        </r>
      </text>
    </comment>
    <comment ref="J490" authorId="0" shapeId="0" xr:uid="{45CEA0E5-C423-4976-BD50-85B0732A0394}">
      <text>
        <r>
          <rPr>
            <sz val="9"/>
            <color indexed="81"/>
            <rFont val="Tahoma"/>
            <family val="2"/>
          </rPr>
          <t xml:space="preserve">See note on CFC-11
</t>
        </r>
      </text>
    </comment>
    <comment ref="A491" authorId="0" shapeId="0" xr:uid="{7CD52586-A223-450D-B980-98C2E2945429}">
      <text>
        <r>
          <rPr>
            <sz val="9"/>
            <color indexed="81"/>
            <rFont val="Tahoma"/>
            <family val="2"/>
          </rPr>
          <t xml:space="preserve">CF3CH2OCHO
</t>
        </r>
      </text>
    </comment>
    <comment ref="C491" authorId="0" shapeId="0" xr:uid="{9AE17995-A788-4459-A79B-B2D785CAAE43}">
      <text>
        <r>
          <rPr>
            <sz val="9"/>
            <color indexed="81"/>
            <rFont val="Tahoma"/>
            <family val="2"/>
          </rPr>
          <t xml:space="preserve">IPCC, AR6, Table 7, SM7
</t>
        </r>
      </text>
    </comment>
    <comment ref="D491" authorId="0" shapeId="0" xr:uid="{A13040B4-5881-4413-8634-C906F148FBAE}">
      <text>
        <r>
          <rPr>
            <sz val="9"/>
            <color indexed="81"/>
            <rFont val="Tahoma"/>
            <family val="2"/>
          </rPr>
          <t>based on IPCC AR6 WG1 
table 7.SM.8-13
Burkholder and Hodnebrog , NOAA, 2022, ANNEX Summary of Abundances, Lifetimes, ODPs, REs, GWPs, and GTP
report a GWP100 of 49</t>
        </r>
      </text>
    </comment>
    <comment ref="E491" authorId="0" shapeId="0" xr:uid="{C5D168EC-0FA4-4E5A-8D0A-B708AA785E09}">
      <text>
        <r>
          <rPr>
            <sz val="9"/>
            <color indexed="81"/>
            <rFont val="Tahoma"/>
            <family val="2"/>
          </rPr>
          <t xml:space="preserve">Burkholder and Hodnebrog , NOAA, 2022, ANNEX Summary of Abundances, Lifetimes, ODPs, REs, GWPs, and GTP
</t>
        </r>
      </text>
    </comment>
    <comment ref="G491" authorId="0" shapeId="0" xr:uid="{0503CB6C-FBE9-4B08-BCF5-5B65631D69C2}">
      <text>
        <r>
          <rPr>
            <sz val="9"/>
            <color indexed="81"/>
            <rFont val="Tahoma"/>
            <family val="2"/>
          </rPr>
          <t xml:space="preserve">See note on CFC-11
</t>
        </r>
      </text>
    </comment>
    <comment ref="I491" authorId="0" shapeId="0" xr:uid="{394F9B77-E668-4588-8E58-D37A61E234FB}">
      <text>
        <r>
          <rPr>
            <sz val="9"/>
            <color indexed="81"/>
            <rFont val="Tahoma"/>
            <family val="2"/>
          </rPr>
          <t xml:space="preserve">See note on CFC-11
</t>
        </r>
      </text>
    </comment>
    <comment ref="J491" authorId="0" shapeId="0" xr:uid="{F65E9A0D-9800-42A3-A094-351167539677}">
      <text>
        <r>
          <rPr>
            <sz val="9"/>
            <color indexed="81"/>
            <rFont val="Tahoma"/>
            <family val="2"/>
          </rPr>
          <t xml:space="preserve">See note on CFC-11
</t>
        </r>
      </text>
    </comment>
    <comment ref="A492" authorId="0" shapeId="0" xr:uid="{9D3C59AD-BC27-4C8A-9C26-32948CF94424}">
      <text>
        <r>
          <rPr>
            <sz val="9"/>
            <color indexed="81"/>
            <rFont val="Tahoma"/>
            <family val="2"/>
          </rPr>
          <t xml:space="preserve">(CF3)2CHOCHO
</t>
        </r>
      </text>
    </comment>
    <comment ref="C492" authorId="0" shapeId="0" xr:uid="{E133D662-A78F-4710-B9B5-0C63261828ED}">
      <text>
        <r>
          <rPr>
            <sz val="9"/>
            <color indexed="81"/>
            <rFont val="Tahoma"/>
            <family val="2"/>
          </rPr>
          <t xml:space="preserve">IPCC, AR6, Table 7, SM7
</t>
        </r>
      </text>
    </comment>
    <comment ref="D492" authorId="0" shapeId="0" xr:uid="{605EBE0C-73F2-40DC-86D7-FEB1615E2E08}">
      <text>
        <r>
          <rPr>
            <sz val="9"/>
            <color indexed="81"/>
            <rFont val="Tahoma"/>
            <family val="2"/>
          </rPr>
          <t>based on IPCC AR6 WG1 
table 7.SM.8-13
Burkholder and Hodnebrog , NOAA, 2022, ANNEX Summary of Abundances, Lifetimes, ODPs, REs, GWPs, and GTP
report a GWP100 of 219</t>
        </r>
      </text>
    </comment>
    <comment ref="E492" authorId="0" shapeId="0" xr:uid="{509C588D-93B6-447D-BE20-23C3953E8033}">
      <text>
        <r>
          <rPr>
            <sz val="9"/>
            <color indexed="81"/>
            <rFont val="Tahoma"/>
            <family val="2"/>
          </rPr>
          <t xml:space="preserve">Burkholder and Hodnebrog , NOAA, 2022, ANNEX Summary of Abundances, Lifetimes, ODPs, REs, GWPs, and GTP
</t>
        </r>
      </text>
    </comment>
    <comment ref="G492" authorId="0" shapeId="0" xr:uid="{844B0265-969A-49BC-A538-E33D165E0DFC}">
      <text>
        <r>
          <rPr>
            <sz val="9"/>
            <color indexed="81"/>
            <rFont val="Tahoma"/>
            <family val="2"/>
          </rPr>
          <t xml:space="preserve">See note on CFC-11
</t>
        </r>
      </text>
    </comment>
    <comment ref="I492" authorId="0" shapeId="0" xr:uid="{054EF280-0D33-4D63-8593-A5EDC8134D38}">
      <text>
        <r>
          <rPr>
            <sz val="9"/>
            <color indexed="81"/>
            <rFont val="Tahoma"/>
            <family val="2"/>
          </rPr>
          <t xml:space="preserve">See note on CFC-11
</t>
        </r>
      </text>
    </comment>
    <comment ref="J492" authorId="0" shapeId="0" xr:uid="{59D32DE3-9ACF-4D36-94D7-000191A24202}">
      <text>
        <r>
          <rPr>
            <sz val="9"/>
            <color indexed="81"/>
            <rFont val="Tahoma"/>
            <family val="2"/>
          </rPr>
          <t xml:space="preserve">See note on CFC-11
</t>
        </r>
      </text>
    </comment>
    <comment ref="A493" authorId="0" shapeId="0" xr:uid="{04FB5751-EDBB-47B8-BA6A-3DDEA149284A}">
      <text>
        <r>
          <rPr>
            <sz val="9"/>
            <color indexed="81"/>
            <rFont val="Tahoma"/>
            <family val="2"/>
          </rPr>
          <t>CF3COOCH=CH2</t>
        </r>
      </text>
    </comment>
    <comment ref="C493" authorId="0" shapeId="0" xr:uid="{7235EA31-DF1D-42B5-9750-F11107B90602}">
      <text>
        <r>
          <rPr>
            <sz val="9"/>
            <color indexed="81"/>
            <rFont val="Tahoma"/>
            <family val="2"/>
          </rPr>
          <t xml:space="preserve">IPCC, AR6, Table 7, SM7
</t>
        </r>
      </text>
    </comment>
    <comment ref="D493" authorId="0" shapeId="0" xr:uid="{9E1149C6-BBC8-4BE3-80CB-C490700C3235}">
      <text>
        <r>
          <rPr>
            <sz val="9"/>
            <color indexed="81"/>
            <rFont val="Tahoma"/>
            <family val="2"/>
          </rPr>
          <t>based on IPCC AR6 WG1 
table 7.SM.8-13</t>
        </r>
      </text>
    </comment>
    <comment ref="E493" authorId="0" shapeId="0" xr:uid="{D1356531-B113-4BAC-984D-4FA7C51B6E09}">
      <text>
        <r>
          <rPr>
            <sz val="9"/>
            <color indexed="81"/>
            <rFont val="Tahoma"/>
            <family val="2"/>
          </rPr>
          <t>No solely florinated species is known to have an ODP in 
 Burkholder and Hodnebrog , NOAA, 2022, ANNEX Summary of Abundances, Lifetimes, ODPs, REs, GWPs, and GTP</t>
        </r>
      </text>
    </comment>
    <comment ref="G493" authorId="0" shapeId="0" xr:uid="{04574447-CDDA-470D-B11F-21B7FE13C9B5}">
      <text>
        <r>
          <rPr>
            <sz val="9"/>
            <color indexed="81"/>
            <rFont val="Tahoma"/>
            <family val="2"/>
          </rPr>
          <t xml:space="preserve">See note on CFC-11
</t>
        </r>
      </text>
    </comment>
    <comment ref="I493" authorId="0" shapeId="0" xr:uid="{A5343AFE-F02B-42D7-8F04-BE4388FBB5B5}">
      <text>
        <r>
          <rPr>
            <sz val="9"/>
            <color indexed="81"/>
            <rFont val="Tahoma"/>
            <family val="2"/>
          </rPr>
          <t xml:space="preserve">See note on CFC-11
</t>
        </r>
      </text>
    </comment>
    <comment ref="J493" authorId="0" shapeId="0" xr:uid="{2D2109A3-31E2-494B-9EA1-F2C618B5041D}">
      <text>
        <r>
          <rPr>
            <sz val="9"/>
            <color indexed="81"/>
            <rFont val="Tahoma"/>
            <family val="2"/>
          </rPr>
          <t xml:space="preserve">See note on CFC-11
</t>
        </r>
      </text>
    </comment>
    <comment ref="A494" authorId="0" shapeId="0" xr:uid="{CA8E1BDE-E428-4632-8E06-25494D6DB567}">
      <text>
        <r>
          <rPr>
            <sz val="9"/>
            <color indexed="81"/>
            <rFont val="Tahoma"/>
            <family val="2"/>
          </rPr>
          <t>CF3COOCH2CH3</t>
        </r>
      </text>
    </comment>
    <comment ref="C494" authorId="0" shapeId="0" xr:uid="{3A4195FD-5AAB-49D7-8925-05C106B81BF9}">
      <text>
        <r>
          <rPr>
            <sz val="9"/>
            <color indexed="81"/>
            <rFont val="Tahoma"/>
            <family val="2"/>
          </rPr>
          <t xml:space="preserve">IPCC, AR6, Table 7, SM7
</t>
        </r>
      </text>
    </comment>
    <comment ref="D494" authorId="0" shapeId="0" xr:uid="{D13E5BDC-9779-42B2-8AD9-5481AE0F1EB5}">
      <text>
        <r>
          <rPr>
            <sz val="9"/>
            <color indexed="81"/>
            <rFont val="Tahoma"/>
            <family val="2"/>
          </rPr>
          <t>based on IPCC AR6 WG1 
table 7.SM.8-13
Burkholder and Hodnebrog , NOAA, 2022, ANNEX Summary of Abundances, Lifetimes, ODPs, REs, GWPs, and GTP
report a GWP100 of 11</t>
        </r>
      </text>
    </comment>
    <comment ref="E494" authorId="0" shapeId="0" xr:uid="{0BF74121-E96E-4529-AB2B-CBB5F174B91F}">
      <text>
        <r>
          <rPr>
            <sz val="9"/>
            <color indexed="81"/>
            <rFont val="Tahoma"/>
            <family val="2"/>
          </rPr>
          <t xml:space="preserve">Burkholder and Hodnebrog , NOAA, 2022, ANNEX Summary of Abundances, Lifetimes, ODPs, REs, GWPs, and GTP
</t>
        </r>
      </text>
    </comment>
    <comment ref="G494" authorId="0" shapeId="0" xr:uid="{450F8F18-2A2E-4A0E-A617-27BCB25512CF}">
      <text>
        <r>
          <rPr>
            <sz val="9"/>
            <color indexed="81"/>
            <rFont val="Tahoma"/>
            <family val="2"/>
          </rPr>
          <t xml:space="preserve">See note on CFC-11
</t>
        </r>
      </text>
    </comment>
    <comment ref="I494" authorId="0" shapeId="0" xr:uid="{A59847F7-6E14-4B01-9297-70745E650F29}">
      <text>
        <r>
          <rPr>
            <sz val="9"/>
            <color indexed="81"/>
            <rFont val="Tahoma"/>
            <family val="2"/>
          </rPr>
          <t xml:space="preserve">See note on CFC-11
</t>
        </r>
      </text>
    </comment>
    <comment ref="J494" authorId="0" shapeId="0" xr:uid="{50D615EB-8D45-432E-B106-1C2E5CCABBAD}">
      <text>
        <r>
          <rPr>
            <sz val="9"/>
            <color indexed="81"/>
            <rFont val="Tahoma"/>
            <family val="2"/>
          </rPr>
          <t xml:space="preserve">See note on CFC-11
</t>
        </r>
      </text>
    </comment>
    <comment ref="A495" authorId="0" shapeId="0" xr:uid="{171745CA-8CC5-401D-B54B-47C894F20F89}">
      <text>
        <r>
          <rPr>
            <sz val="9"/>
            <color indexed="81"/>
            <rFont val="Tahoma"/>
            <family val="2"/>
          </rPr>
          <t xml:space="preserve">CF3COOCH2CH=CH2
</t>
        </r>
      </text>
    </comment>
    <comment ref="C495" authorId="0" shapeId="0" xr:uid="{0E8777B9-F5A2-4D2B-80F2-7EE3E86064A4}">
      <text>
        <r>
          <rPr>
            <sz val="9"/>
            <color indexed="81"/>
            <rFont val="Tahoma"/>
            <family val="2"/>
          </rPr>
          <t xml:space="preserve">IPCC, AR6, Table 7, SM7
</t>
        </r>
      </text>
    </comment>
    <comment ref="D495" authorId="0" shapeId="0" xr:uid="{F542767C-84AC-4706-8C9B-DD810C3C9919}">
      <text>
        <r>
          <rPr>
            <sz val="9"/>
            <color indexed="81"/>
            <rFont val="Tahoma"/>
            <family val="2"/>
          </rPr>
          <t>based on IPCC AR6 WG1 
table 7.SM.8-13</t>
        </r>
      </text>
    </comment>
    <comment ref="E495" authorId="0" shapeId="0" xr:uid="{6177536D-0430-45EF-A44A-8FC33DD25BA6}">
      <text>
        <r>
          <rPr>
            <sz val="9"/>
            <color indexed="81"/>
            <rFont val="Tahoma"/>
            <family val="2"/>
          </rPr>
          <t>No solely florinated species is known to have an ODP in 
 Burkholder and Hodnebrog , NOAA, 2022, ANNEX Summary of Abundances, Lifetimes, ODPs, REs, GWPs, and GTP</t>
        </r>
      </text>
    </comment>
    <comment ref="G495" authorId="0" shapeId="0" xr:uid="{488DABB7-1880-4A0A-842A-A46686A467FE}">
      <text>
        <r>
          <rPr>
            <sz val="9"/>
            <color indexed="81"/>
            <rFont val="Tahoma"/>
            <family val="2"/>
          </rPr>
          <t xml:space="preserve">See note on CFC-11
</t>
        </r>
      </text>
    </comment>
    <comment ref="I495" authorId="0" shapeId="0" xr:uid="{450FD4C0-D73E-40E0-B359-8034AF22E47A}">
      <text>
        <r>
          <rPr>
            <sz val="9"/>
            <color indexed="81"/>
            <rFont val="Tahoma"/>
            <family val="2"/>
          </rPr>
          <t xml:space="preserve">See note on CFC-11
</t>
        </r>
      </text>
    </comment>
    <comment ref="J495" authorId="0" shapeId="0" xr:uid="{847457D2-D269-4F66-ABB4-430A8DEA35F0}">
      <text>
        <r>
          <rPr>
            <sz val="9"/>
            <color indexed="81"/>
            <rFont val="Tahoma"/>
            <family val="2"/>
          </rPr>
          <t xml:space="preserve">See note on CFC-11
</t>
        </r>
      </text>
    </comment>
    <comment ref="A496" authorId="0" shapeId="0" xr:uid="{E68A0507-5A79-453C-B3E1-53ACF03CAA15}">
      <text>
        <r>
          <rPr>
            <sz val="9"/>
            <color indexed="81"/>
            <rFont val="Tahoma"/>
            <family val="2"/>
          </rPr>
          <t>CF3COOCH3</t>
        </r>
      </text>
    </comment>
    <comment ref="C496" authorId="0" shapeId="0" xr:uid="{271A5FFE-8641-4BEC-A93A-AD825B7DAF0A}">
      <text>
        <r>
          <rPr>
            <sz val="9"/>
            <color indexed="81"/>
            <rFont val="Tahoma"/>
            <family val="2"/>
          </rPr>
          <t xml:space="preserve">IPCC, AR6, Table 7, SM7
</t>
        </r>
      </text>
    </comment>
    <comment ref="D496" authorId="0" shapeId="0" xr:uid="{5F6FE9D0-C898-4F58-BE97-E0234097452E}">
      <text>
        <r>
          <rPr>
            <sz val="9"/>
            <color indexed="81"/>
            <rFont val="Tahoma"/>
            <family val="2"/>
          </rPr>
          <t>based on IPCC AR6 WG1 
table 7.SM.8-13
Burkholder and Hodnebrog , NOAA, 2022, ANNEX Summary of Abundances, Lifetimes, ODPs, REs, GWPs, and GTP
report a GWP100 of 42</t>
        </r>
      </text>
    </comment>
    <comment ref="E496" authorId="0" shapeId="0" xr:uid="{6A992278-DFBE-40F8-9B50-3F64BB8986E6}">
      <text>
        <r>
          <rPr>
            <sz val="9"/>
            <color indexed="81"/>
            <rFont val="Tahoma"/>
            <family val="2"/>
          </rPr>
          <t xml:space="preserve">Burkholder and Hodnebrog , NOAA, 2022, ANNEX Summary of Abundances, Lifetimes, ODPs, REs, GWPs, and GTP
</t>
        </r>
      </text>
    </comment>
    <comment ref="G496" authorId="0" shapeId="0" xr:uid="{B1192BCB-E586-485C-AD81-036402E1A6BC}">
      <text>
        <r>
          <rPr>
            <sz val="9"/>
            <color indexed="81"/>
            <rFont val="Tahoma"/>
            <family val="2"/>
          </rPr>
          <t xml:space="preserve">See note on CFC-11
</t>
        </r>
      </text>
    </comment>
    <comment ref="I496" authorId="0" shapeId="0" xr:uid="{10394408-D75A-46D4-BC82-83CFFEEEFEAE}">
      <text>
        <r>
          <rPr>
            <sz val="9"/>
            <color indexed="81"/>
            <rFont val="Tahoma"/>
            <family val="2"/>
          </rPr>
          <t xml:space="preserve">See note on CFC-11
</t>
        </r>
      </text>
    </comment>
    <comment ref="J496" authorId="0" shapeId="0" xr:uid="{F3B7438C-9FFB-416D-924B-9956DFDACE05}">
      <text>
        <r>
          <rPr>
            <sz val="9"/>
            <color indexed="81"/>
            <rFont val="Tahoma"/>
            <family val="2"/>
          </rPr>
          <t xml:space="preserve">See note on CFC-11
</t>
        </r>
      </text>
    </comment>
    <comment ref="A497" authorId="0" shapeId="0" xr:uid="{F63C5D94-F0EE-4577-BCBD-2DC7D1207F69}">
      <text>
        <r>
          <rPr>
            <sz val="9"/>
            <color indexed="81"/>
            <rFont val="Tahoma"/>
            <family val="2"/>
          </rPr>
          <t xml:space="preserve">CF3CF2CF2CH2OH
</t>
        </r>
      </text>
    </comment>
    <comment ref="C497" authorId="0" shapeId="0" xr:uid="{F5507196-5359-4AF0-B299-C906E2D2CE97}">
      <text>
        <r>
          <rPr>
            <sz val="9"/>
            <color indexed="81"/>
            <rFont val="Tahoma"/>
            <family val="2"/>
          </rPr>
          <t xml:space="preserve">IPCC, AR6, Table 7, SM7
</t>
        </r>
      </text>
    </comment>
    <comment ref="D497" authorId="0" shapeId="0" xr:uid="{709629F1-FE45-4481-8A5E-B6E9DD0C0283}">
      <text>
        <r>
          <rPr>
            <sz val="9"/>
            <color indexed="81"/>
            <rFont val="Tahoma"/>
            <family val="2"/>
          </rPr>
          <t>based on IPCC AR6 WG1 
table 7.SM.8-13
Burkholder and Hodnebrog , NOAA, 2022, ANNEX Summary of Abundances, Lifetimes, ODPs, REs, GWPs, and GTP
report a GWP100 of 30</t>
        </r>
      </text>
    </comment>
    <comment ref="E497" authorId="0" shapeId="0" xr:uid="{7B1E16FE-9658-4EDF-B656-24B5EBF4CD80}">
      <text>
        <r>
          <rPr>
            <sz val="9"/>
            <color indexed="81"/>
            <rFont val="Tahoma"/>
            <family val="2"/>
          </rPr>
          <t xml:space="preserve">Burkholder and Hodnebrog , NOAA, 2022, ANNEX Summary of Abundances, Lifetimes, ODPs, REs, GWPs, and GTP
</t>
        </r>
      </text>
    </comment>
    <comment ref="G497" authorId="0" shapeId="0" xr:uid="{461C7215-A1A0-4FA0-B73B-08D1FB243E39}">
      <text>
        <r>
          <rPr>
            <sz val="9"/>
            <color indexed="81"/>
            <rFont val="Tahoma"/>
            <family val="2"/>
          </rPr>
          <t xml:space="preserve">See note on CFC-11
</t>
        </r>
      </text>
    </comment>
    <comment ref="I497" authorId="0" shapeId="0" xr:uid="{3BD9A5D3-DB1D-4977-BAF6-1BC9781E14B1}">
      <text>
        <r>
          <rPr>
            <sz val="9"/>
            <color indexed="81"/>
            <rFont val="Tahoma"/>
            <family val="2"/>
          </rPr>
          <t xml:space="preserve">See note on CFC-11
</t>
        </r>
      </text>
    </comment>
    <comment ref="J497" authorId="0" shapeId="0" xr:uid="{61636C8F-832E-4AE8-8912-BD906FFB3EFC}">
      <text>
        <r>
          <rPr>
            <sz val="9"/>
            <color indexed="81"/>
            <rFont val="Tahoma"/>
            <family val="2"/>
          </rPr>
          <t xml:space="preserve">See note on CFC-11
</t>
        </r>
      </text>
    </comment>
    <comment ref="A498" authorId="0" shapeId="0" xr:uid="{8F9F60CC-21C6-4674-B0B4-51EBB1E91718}">
      <text>
        <r>
          <rPr>
            <sz val="9"/>
            <color indexed="81"/>
            <rFont val="Tahoma"/>
            <family val="2"/>
          </rPr>
          <t xml:space="preserve">CHF2CHFOCF3
</t>
        </r>
      </text>
    </comment>
    <comment ref="C498" authorId="0" shapeId="0" xr:uid="{2C48E30D-7851-4E34-A0D6-1B1F89851179}">
      <text>
        <r>
          <rPr>
            <sz val="9"/>
            <color indexed="81"/>
            <rFont val="Tahoma"/>
            <family val="2"/>
          </rPr>
          <t xml:space="preserve">IPCC, AR6, Table 7, SM7
</t>
        </r>
      </text>
    </comment>
    <comment ref="D498" authorId="0" shapeId="0" xr:uid="{1339BAA5-76F0-44E6-8391-650BEF62C112}">
      <text>
        <r>
          <rPr>
            <sz val="9"/>
            <color indexed="81"/>
            <rFont val="Tahoma"/>
            <family val="2"/>
          </rPr>
          <t>based on IPCC AR6 WG1 
table 7.SM.8-13
Burkholder and Hodnebrog , NOAA, 2022, ANNEX Summary of Abundances, Lifetimes, ODPs, REs, GWPs, and GTP
report a GWP100 of 1240</t>
        </r>
      </text>
    </comment>
    <comment ref="E498" authorId="0" shapeId="0" xr:uid="{AD1E5048-1E5C-4F9D-BA57-C01085476A79}">
      <text>
        <r>
          <rPr>
            <sz val="9"/>
            <color indexed="81"/>
            <rFont val="Tahoma"/>
            <family val="2"/>
          </rPr>
          <t xml:space="preserve">Burkholder and Hodnebrog , NOAA, 2022, ANNEX Summary of Abundances, Lifetimes, ODPs, REs, GWPs, and GTP
</t>
        </r>
      </text>
    </comment>
    <comment ref="G498" authorId="0" shapeId="0" xr:uid="{C193FDAD-88DF-401E-AA77-E734121C2EEB}">
      <text>
        <r>
          <rPr>
            <sz val="9"/>
            <color indexed="81"/>
            <rFont val="Tahoma"/>
            <family val="2"/>
          </rPr>
          <t xml:space="preserve">See note on CFC-11
</t>
        </r>
      </text>
    </comment>
    <comment ref="I498" authorId="0" shapeId="0" xr:uid="{B935F6A0-80F3-4CB9-819D-50EB8213A3B8}">
      <text>
        <r>
          <rPr>
            <sz val="9"/>
            <color indexed="81"/>
            <rFont val="Tahoma"/>
            <family val="2"/>
          </rPr>
          <t xml:space="preserve">See note on CFC-11
</t>
        </r>
      </text>
    </comment>
    <comment ref="J498" authorId="0" shapeId="0" xr:uid="{4035B609-635C-4F06-BA32-811177162CDD}">
      <text>
        <r>
          <rPr>
            <sz val="9"/>
            <color indexed="81"/>
            <rFont val="Tahoma"/>
            <family val="2"/>
          </rPr>
          <t xml:space="preserve">See note on CFC-11
</t>
        </r>
      </text>
    </comment>
    <comment ref="A499" authorId="0" shapeId="0" xr:uid="{D99BC815-1B25-4049-A878-D57C45ABA5A8}">
      <text>
        <r>
          <rPr>
            <sz val="9"/>
            <color indexed="81"/>
            <rFont val="Tahoma"/>
            <family val="2"/>
          </rPr>
          <t xml:space="preserve">CF3CHFCF2OCH2CH3
</t>
        </r>
      </text>
    </comment>
    <comment ref="C499" authorId="0" shapeId="0" xr:uid="{2F306BD4-3B77-4A7C-AAA2-CB0EB6C4D5F1}">
      <text>
        <r>
          <rPr>
            <sz val="9"/>
            <color indexed="81"/>
            <rFont val="Tahoma"/>
            <family val="2"/>
          </rPr>
          <t xml:space="preserve">IPCC, AR6, Table 7, SM7
</t>
        </r>
      </text>
    </comment>
    <comment ref="D499" authorId="0" shapeId="0" xr:uid="{BED281D2-7289-428B-8A24-CA4EBCDAE1AA}">
      <text>
        <r>
          <rPr>
            <sz val="9"/>
            <color indexed="81"/>
            <rFont val="Tahoma"/>
            <family val="2"/>
          </rPr>
          <t>based on IPCC AR6 WG1 
table 7.SM.8-13
Burkholder and Hodnebrog , NOAA, 2022, ANNEX Summary of Abundances, Lifetimes, ODPs, REs, GWPs, and GTP
report a GWP100 of 27</t>
        </r>
      </text>
    </comment>
    <comment ref="E499" authorId="0" shapeId="0" xr:uid="{13EA1145-FA81-4251-8101-38DA5F40AFF6}">
      <text>
        <r>
          <rPr>
            <sz val="9"/>
            <color indexed="81"/>
            <rFont val="Tahoma"/>
            <family val="2"/>
          </rPr>
          <t xml:space="preserve">Burkholder and Hodnebrog , NOAA, 2022, ANNEX Summary of Abundances, Lifetimes, ODPs, REs, GWPs, and GTP
</t>
        </r>
      </text>
    </comment>
    <comment ref="G499" authorId="0" shapeId="0" xr:uid="{7F5324FE-7402-4D9B-87C9-A6506C702D0E}">
      <text>
        <r>
          <rPr>
            <sz val="9"/>
            <color indexed="81"/>
            <rFont val="Tahoma"/>
            <family val="2"/>
          </rPr>
          <t xml:space="preserve">See note on CFC-11
</t>
        </r>
      </text>
    </comment>
    <comment ref="I499" authorId="0" shapeId="0" xr:uid="{ECB2FD03-8B6F-4D0D-9812-4C04D35FFB92}">
      <text>
        <r>
          <rPr>
            <sz val="9"/>
            <color indexed="81"/>
            <rFont val="Tahoma"/>
            <family val="2"/>
          </rPr>
          <t xml:space="preserve">See note on CFC-11
</t>
        </r>
      </text>
    </comment>
    <comment ref="J499" authorId="0" shapeId="0" xr:uid="{3A735ACC-45DC-45F2-A8DC-618D23B9EC82}">
      <text>
        <r>
          <rPr>
            <sz val="9"/>
            <color indexed="81"/>
            <rFont val="Tahoma"/>
            <family val="2"/>
          </rPr>
          <t xml:space="preserve">See note on CFC-11
</t>
        </r>
      </text>
    </comment>
    <comment ref="A500" authorId="0" shapeId="0" xr:uid="{F43E648F-EF1F-417C-ACDE-2A4EC8FA7CA8}">
      <text>
        <r>
          <rPr>
            <sz val="9"/>
            <color indexed="81"/>
            <rFont val="Tahoma"/>
            <family val="2"/>
          </rPr>
          <t xml:space="preserve">CF3CF2CF2OCHFCF3
</t>
        </r>
      </text>
    </comment>
    <comment ref="C500" authorId="0" shapeId="0" xr:uid="{DDC91997-8882-4107-A57F-C9644BE8C34A}">
      <text>
        <r>
          <rPr>
            <sz val="9"/>
            <color indexed="81"/>
            <rFont val="Tahoma"/>
            <family val="2"/>
          </rPr>
          <t xml:space="preserve">IPCC, AR6, Table 7, SM7
</t>
        </r>
      </text>
    </comment>
    <comment ref="D500" authorId="0" shapeId="0" xr:uid="{03DB51A3-F5BE-4B6E-A9BF-4DC3A75DA363}">
      <text>
        <r>
          <rPr>
            <sz val="9"/>
            <color indexed="81"/>
            <rFont val="Tahoma"/>
            <family val="2"/>
          </rPr>
          <t>based on IPCC AR6 WG1 
table 7.SM.8-13
Burkholder and Hodnebrog , NOAA, 2022, ANNEX Summary of Abundances, Lifetimes, ODPs, REs, GWPs, and GTP
report a GWP100 of 6040</t>
        </r>
      </text>
    </comment>
    <comment ref="E500" authorId="0" shapeId="0" xr:uid="{4380F040-93F8-471A-9141-AB293CD1B9DB}">
      <text>
        <r>
          <rPr>
            <sz val="9"/>
            <color indexed="81"/>
            <rFont val="Tahoma"/>
            <family val="2"/>
          </rPr>
          <t xml:space="preserve">Burkholder and Hodnebrog , NOAA, 2022, ANNEX Summary of Abundances, Lifetimes, ODPs, REs, GWPs, and GTP
</t>
        </r>
      </text>
    </comment>
    <comment ref="G500" authorId="0" shapeId="0" xr:uid="{59014C4A-D000-4F34-AB94-C78533E8C854}">
      <text>
        <r>
          <rPr>
            <sz val="9"/>
            <color indexed="81"/>
            <rFont val="Tahoma"/>
            <family val="2"/>
          </rPr>
          <t xml:space="preserve">See note on CFC-11
</t>
        </r>
      </text>
    </comment>
    <comment ref="I500" authorId="0" shapeId="0" xr:uid="{9BADABB1-0B02-434B-88FA-81F62B19ABF7}">
      <text>
        <r>
          <rPr>
            <sz val="9"/>
            <color indexed="81"/>
            <rFont val="Tahoma"/>
            <family val="2"/>
          </rPr>
          <t xml:space="preserve">See note on CFC-11
</t>
        </r>
      </text>
    </comment>
    <comment ref="J500" authorId="0" shapeId="0" xr:uid="{295B7298-F26F-4E50-9149-8831292CCF2E}">
      <text>
        <r>
          <rPr>
            <sz val="9"/>
            <color indexed="81"/>
            <rFont val="Tahoma"/>
            <family val="2"/>
          </rPr>
          <t xml:space="preserve">See note on CFC-11
</t>
        </r>
      </text>
    </comment>
    <comment ref="A501" authorId="0" shapeId="0" xr:uid="{7436CD6C-D311-4D80-AFF1-2E4ECCA460B6}">
      <text>
        <r>
          <rPr>
            <sz val="9"/>
            <color indexed="81"/>
            <rFont val="Tahoma"/>
            <family val="2"/>
          </rPr>
          <t xml:space="preserve">CHF2CF2CH2OH
</t>
        </r>
      </text>
    </comment>
    <comment ref="C501" authorId="0" shapeId="0" xr:uid="{36D7AF20-78BE-4E72-A826-EAC9B51B8BB4}">
      <text>
        <r>
          <rPr>
            <sz val="9"/>
            <color indexed="81"/>
            <rFont val="Tahoma"/>
            <family val="2"/>
          </rPr>
          <t xml:space="preserve">IPCC, AR6, Table 7, SM7
</t>
        </r>
      </text>
    </comment>
    <comment ref="D501" authorId="0" shapeId="0" xr:uid="{1FCEB0B9-6387-494C-B93F-EF6FA27ACF94}">
      <text>
        <r>
          <rPr>
            <sz val="9"/>
            <color indexed="81"/>
            <rFont val="Tahoma"/>
            <family val="2"/>
          </rPr>
          <t>based on IPCC AR6 WG1 
table 7.SM.8-13
Burkholder and Hodnebrog , NOAA, 2022, ANNEX Summary of Abundances, Lifetimes, ODPs, REs, GWPs, and GTP
report a GWP100 of 16</t>
        </r>
      </text>
    </comment>
    <comment ref="E501" authorId="0" shapeId="0" xr:uid="{107BF383-6639-4E54-8058-DA25CDCA9197}">
      <text>
        <r>
          <rPr>
            <sz val="9"/>
            <color indexed="81"/>
            <rFont val="Tahoma"/>
            <family val="2"/>
          </rPr>
          <t xml:space="preserve">Burkholder and Hodnebrog , NOAA, 2022, ANNEX Summary of Abundances, Lifetimes, ODPs, REs, GWPs, and GTP
</t>
        </r>
      </text>
    </comment>
    <comment ref="G501" authorId="0" shapeId="0" xr:uid="{56F0B1EC-13E3-4F58-B77C-B45E82187D56}">
      <text>
        <r>
          <rPr>
            <sz val="9"/>
            <color indexed="81"/>
            <rFont val="Tahoma"/>
            <family val="2"/>
          </rPr>
          <t xml:space="preserve">See note on CFC-11
</t>
        </r>
      </text>
    </comment>
    <comment ref="I501" authorId="0" shapeId="0" xr:uid="{FA1D5289-AB73-4CE6-959F-FACEA62A73B7}">
      <text>
        <r>
          <rPr>
            <sz val="9"/>
            <color indexed="81"/>
            <rFont val="Tahoma"/>
            <family val="2"/>
          </rPr>
          <t xml:space="preserve">See note on CFC-11
</t>
        </r>
      </text>
    </comment>
    <comment ref="J501" authorId="0" shapeId="0" xr:uid="{719D81FF-0054-49D7-ACA1-7C7AF6FF3E35}">
      <text>
        <r>
          <rPr>
            <sz val="9"/>
            <color indexed="81"/>
            <rFont val="Tahoma"/>
            <family val="2"/>
          </rPr>
          <t xml:space="preserve">See note on CFC-11
</t>
        </r>
      </text>
    </comment>
    <comment ref="A502" authorId="0" shapeId="0" xr:uid="{09A72172-7AA0-4263-917A-4788A3E7BCA5}">
      <text>
        <r>
          <rPr>
            <sz val="9"/>
            <color indexed="81"/>
            <rFont val="Tahoma"/>
            <family val="2"/>
          </rPr>
          <t>CF3CHFCF2CH2OH</t>
        </r>
      </text>
    </comment>
    <comment ref="C502" authorId="0" shapeId="0" xr:uid="{243B540C-B022-4185-9A09-C35B6EB78B1F}">
      <text>
        <r>
          <rPr>
            <sz val="9"/>
            <color indexed="81"/>
            <rFont val="Tahoma"/>
            <family val="2"/>
          </rPr>
          <t xml:space="preserve">IPCC, AR6, Table 7, SM7
</t>
        </r>
      </text>
    </comment>
    <comment ref="D502" authorId="0" shapeId="0" xr:uid="{29342E91-41A9-4217-B5A5-F55E2C1F6E1C}">
      <text>
        <r>
          <rPr>
            <sz val="9"/>
            <color indexed="81"/>
            <rFont val="Tahoma"/>
            <family val="2"/>
          </rPr>
          <t>based on IPCC AR6 WG1 
table 7.SM.8-13
Burkholder and Hodnebrog , NOAA, 2022, ANNEX Summary of Abundances, Lifetimes, ODPs, REs, GWPs, and GTP
report a GWP100 of 30</t>
        </r>
      </text>
    </comment>
    <comment ref="E502" authorId="0" shapeId="0" xr:uid="{3DF1F13D-F904-494F-8C72-F66F21A9C0B7}">
      <text>
        <r>
          <rPr>
            <sz val="9"/>
            <color indexed="81"/>
            <rFont val="Tahoma"/>
            <family val="2"/>
          </rPr>
          <t xml:space="preserve">Burkholder and Hodnebrog , NOAA, 2022, ANNEX Summary of Abundances, Lifetimes, ODPs, REs, GWPs, and GTP
</t>
        </r>
      </text>
    </comment>
    <comment ref="G502" authorId="0" shapeId="0" xr:uid="{19589413-35F2-4875-B2B2-EE3F8C29391C}">
      <text>
        <r>
          <rPr>
            <sz val="9"/>
            <color indexed="81"/>
            <rFont val="Tahoma"/>
            <family val="2"/>
          </rPr>
          <t xml:space="preserve">See note on CFC-11
</t>
        </r>
      </text>
    </comment>
    <comment ref="I502" authorId="0" shapeId="0" xr:uid="{2C20B5EF-C6ED-4EB7-9D2B-6B3D08897F38}">
      <text>
        <r>
          <rPr>
            <sz val="9"/>
            <color indexed="81"/>
            <rFont val="Tahoma"/>
            <family val="2"/>
          </rPr>
          <t xml:space="preserve">See note on CFC-11
</t>
        </r>
      </text>
    </comment>
    <comment ref="J502" authorId="0" shapeId="0" xr:uid="{750CE50D-DD39-4B24-A3A7-62C7340B0966}">
      <text>
        <r>
          <rPr>
            <sz val="9"/>
            <color indexed="81"/>
            <rFont val="Tahoma"/>
            <family val="2"/>
          </rPr>
          <t xml:space="preserve">See note on CFC-11
</t>
        </r>
      </text>
    </comment>
    <comment ref="A503" authorId="0" shapeId="0" xr:uid="{D3A3C18E-F03F-41CF-AEBF-ED264F7A1C1C}">
      <text>
        <r>
          <rPr>
            <sz val="9"/>
            <color indexed="81"/>
            <rFont val="Tahoma"/>
            <family val="2"/>
          </rPr>
          <t>CHF2CF2CH2OCH3</t>
        </r>
      </text>
    </comment>
    <comment ref="C503" authorId="0" shapeId="0" xr:uid="{032E859D-7540-4E79-9617-3D7F8C566624}">
      <text>
        <r>
          <rPr>
            <sz val="9"/>
            <color indexed="81"/>
            <rFont val="Tahoma"/>
            <family val="2"/>
          </rPr>
          <t xml:space="preserve">IPCC, AR6, Table 7, SM7
</t>
        </r>
      </text>
    </comment>
    <comment ref="D503" authorId="0" shapeId="0" xr:uid="{243547C0-6681-434C-9E44-10FEA2196BC5}">
      <text>
        <r>
          <rPr>
            <sz val="9"/>
            <color indexed="81"/>
            <rFont val="Tahoma"/>
            <family val="2"/>
          </rPr>
          <t>based on IPCC AR6 WG1 
table 7.SM.8-13</t>
        </r>
      </text>
    </comment>
    <comment ref="E503" authorId="0" shapeId="0" xr:uid="{11B71504-05C0-4720-8B60-DA250C057447}">
      <text>
        <r>
          <rPr>
            <sz val="9"/>
            <color indexed="81"/>
            <rFont val="Tahoma"/>
            <family val="2"/>
          </rPr>
          <t xml:space="preserve">Burkholder and Hodnebrog , NOAA, 2022, ANNEX Summary of Abundances, Lifetimes, ODPs, REs, GWPs, and GTP
</t>
        </r>
      </text>
    </comment>
    <comment ref="G503" authorId="0" shapeId="0" xr:uid="{9F3AD2EC-202F-4131-802E-C29452677F8F}">
      <text>
        <r>
          <rPr>
            <sz val="9"/>
            <color indexed="81"/>
            <rFont val="Tahoma"/>
            <family val="2"/>
          </rPr>
          <t xml:space="preserve">See note on CFC-11
</t>
        </r>
      </text>
    </comment>
    <comment ref="I503" authorId="0" shapeId="0" xr:uid="{645E2778-2FC5-455C-8895-641638AAD951}">
      <text>
        <r>
          <rPr>
            <sz val="9"/>
            <color indexed="81"/>
            <rFont val="Tahoma"/>
            <family val="2"/>
          </rPr>
          <t xml:space="preserve">See note on CFC-11
</t>
        </r>
      </text>
    </comment>
    <comment ref="J503" authorId="0" shapeId="0" xr:uid="{F4BCC7A5-2F8A-40C4-A14C-076DDD8DB9DD}">
      <text>
        <r>
          <rPr>
            <sz val="9"/>
            <color indexed="81"/>
            <rFont val="Tahoma"/>
            <family val="2"/>
          </rPr>
          <t xml:space="preserve">See note on CFC-11
</t>
        </r>
      </text>
    </comment>
    <comment ref="A504" authorId="0" shapeId="0" xr:uid="{A45E91BA-13DA-494B-A38C-22624A216DC5}">
      <text>
        <r>
          <rPr>
            <sz val="9"/>
            <color indexed="81"/>
            <rFont val="Tahoma"/>
            <family val="2"/>
          </rPr>
          <t>CF3CF2COCF(CF3)2</t>
        </r>
      </text>
    </comment>
    <comment ref="C504" authorId="0" shapeId="0" xr:uid="{1C6528D5-6069-42BF-862B-4803974B7559}">
      <text>
        <r>
          <rPr>
            <sz val="9"/>
            <color indexed="81"/>
            <rFont val="Tahoma"/>
            <family val="2"/>
          </rPr>
          <t xml:space="preserve">IPCC, AR6, Table 7, SM7
</t>
        </r>
      </text>
    </comment>
    <comment ref="D504" authorId="0" shapeId="0" xr:uid="{34E09316-2555-4390-A8DB-3D1051C582C1}">
      <text>
        <r>
          <rPr>
            <sz val="9"/>
            <color indexed="81"/>
            <rFont val="Tahoma"/>
            <family val="2"/>
          </rPr>
          <t>based on IPCC AR6 WG1 
table 7.SM.8-13</t>
        </r>
      </text>
    </comment>
    <comment ref="E504" authorId="0" shapeId="0" xr:uid="{59EBAC1A-B4E7-4926-BC1D-8F2D6252CB6D}">
      <text>
        <r>
          <rPr>
            <sz val="9"/>
            <color indexed="81"/>
            <rFont val="Tahoma"/>
            <family val="2"/>
          </rPr>
          <t>No solely florinated species is known to have an ODP in 
 Burkholder and Hodnebrog , NOAA, 2022, ANNEX Summary of Abundances, Lifetimes, ODPs, REs, GWPs, and GTP</t>
        </r>
      </text>
    </comment>
    <comment ref="G504" authorId="0" shapeId="0" xr:uid="{D308F86C-22B4-4E70-8A6B-7D55F68112EC}">
      <text>
        <r>
          <rPr>
            <sz val="9"/>
            <color indexed="81"/>
            <rFont val="Tahoma"/>
            <family val="2"/>
          </rPr>
          <t xml:space="preserve">See note on CFC-11
</t>
        </r>
      </text>
    </comment>
    <comment ref="I504" authorId="0" shapeId="0" xr:uid="{72D0C0AF-A5B7-4219-BAC3-1F3D754B1619}">
      <text>
        <r>
          <rPr>
            <sz val="9"/>
            <color indexed="81"/>
            <rFont val="Tahoma"/>
            <family val="2"/>
          </rPr>
          <t xml:space="preserve">See note on CFC-11
</t>
        </r>
      </text>
    </comment>
    <comment ref="J504" authorId="0" shapeId="0" xr:uid="{923B11F3-A628-48E0-86A5-484AC2B7B55B}">
      <text>
        <r>
          <rPr>
            <sz val="9"/>
            <color indexed="81"/>
            <rFont val="Tahoma"/>
            <family val="2"/>
          </rPr>
          <t xml:space="preserve">See note on CFC-11
</t>
        </r>
      </text>
    </comment>
    <comment ref="C505" authorId="0" shapeId="0" xr:uid="{CE064E9F-A729-49F0-837E-E524533C5ADB}">
      <text>
        <r>
          <rPr>
            <sz val="9"/>
            <color indexed="81"/>
            <rFont val="Tahoma"/>
            <family val="2"/>
          </rPr>
          <t xml:space="preserve">IPCC, AR6, Table 7, SM7
</t>
        </r>
      </text>
    </comment>
    <comment ref="D505" authorId="0" shapeId="0" xr:uid="{B7F954E0-9F5A-42B1-AFB1-3CC66779AEB3}">
      <text>
        <r>
          <rPr>
            <sz val="9"/>
            <color indexed="81"/>
            <rFont val="Tahoma"/>
            <family val="2"/>
          </rPr>
          <t>based on IPCC AR6 WG1 
table 7.SM.8-13</t>
        </r>
      </text>
    </comment>
    <comment ref="E505" authorId="0" shapeId="0" xr:uid="{31F11931-0A4F-4A35-AA54-3AEBDF0E8CEC}">
      <text>
        <r>
          <rPr>
            <sz val="9"/>
            <color indexed="81"/>
            <rFont val="Tahoma"/>
            <family val="2"/>
          </rPr>
          <t xml:space="preserve">Burkholder and Hodnebrog , NOAA, 2022, ANNEX Summary of Abundances, Lifetimes, ODPs, REs, GWPs, and GTP
</t>
        </r>
      </text>
    </comment>
    <comment ref="G505" authorId="0" shapeId="0" xr:uid="{9DE8B47F-5E4A-4A8A-9CBE-A6EEF7C4BC00}">
      <text>
        <r>
          <rPr>
            <sz val="9"/>
            <color indexed="81"/>
            <rFont val="Tahoma"/>
            <family val="2"/>
          </rPr>
          <t xml:space="preserve">See note on CFC-11
</t>
        </r>
      </text>
    </comment>
    <comment ref="I505" authorId="0" shapeId="0" xr:uid="{D104B948-E735-41EC-BB4A-0A7D26317077}">
      <text>
        <r>
          <rPr>
            <sz val="9"/>
            <color indexed="81"/>
            <rFont val="Tahoma"/>
            <family val="2"/>
          </rPr>
          <t xml:space="preserve">See note on CFC-11
</t>
        </r>
      </text>
    </comment>
    <comment ref="J505" authorId="0" shapeId="0" xr:uid="{2C6669C6-80E5-44F1-812B-97D8BABAAEB2}">
      <text>
        <r>
          <rPr>
            <sz val="9"/>
            <color indexed="81"/>
            <rFont val="Tahoma"/>
            <family val="2"/>
          </rPr>
          <t xml:space="preserve">See note on CFC-11
</t>
        </r>
      </text>
    </comment>
    <comment ref="A506" authorId="0" shapeId="0" xr:uid="{CFE04A75-5D55-4DD0-ADDA-8C3F55F2812A}">
      <text>
        <r>
          <rPr>
            <sz val="9"/>
            <color indexed="81"/>
            <rFont val="Tahoma"/>
            <family val="2"/>
          </rPr>
          <t xml:space="preserve">CH2FCH2OH
</t>
        </r>
      </text>
    </comment>
    <comment ref="C506" authorId="0" shapeId="0" xr:uid="{36C6DE25-38A5-4297-8B5A-1C755C8ABBDE}">
      <text>
        <r>
          <rPr>
            <sz val="9"/>
            <color indexed="81"/>
            <rFont val="Tahoma"/>
            <family val="2"/>
          </rPr>
          <t xml:space="preserve">IPCC, AR6, Table 7, SM7
</t>
        </r>
      </text>
    </comment>
    <comment ref="D506" authorId="0" shapeId="0" xr:uid="{A6A5EE68-04E5-4338-AADA-5A10188519CC}">
      <text>
        <r>
          <rPr>
            <sz val="9"/>
            <color indexed="81"/>
            <rFont val="Tahoma"/>
            <family val="2"/>
          </rPr>
          <t>based on IPCC AR6 WG1 
table 7.SM.8-13</t>
        </r>
      </text>
    </comment>
    <comment ref="E506" authorId="0" shapeId="0" xr:uid="{A2B9F0F3-28A5-40E8-8BF9-24D1EF811D93}">
      <text>
        <r>
          <rPr>
            <sz val="9"/>
            <color indexed="81"/>
            <rFont val="Tahoma"/>
            <family val="2"/>
          </rPr>
          <t xml:space="preserve">Burkholder and Hodnebrog , NOAA, 2022, ANNEX Summary of Abundances, Lifetimes, ODPs, REs, GWPs, and GTP
</t>
        </r>
      </text>
    </comment>
    <comment ref="G506" authorId="0" shapeId="0" xr:uid="{0E1CC696-66E8-4FC4-98DB-10ED60AFBCC9}">
      <text>
        <r>
          <rPr>
            <sz val="9"/>
            <color indexed="81"/>
            <rFont val="Tahoma"/>
            <family val="2"/>
          </rPr>
          <t xml:space="preserve">See note on CFC-11
</t>
        </r>
      </text>
    </comment>
    <comment ref="I506" authorId="0" shapeId="0" xr:uid="{871C77D8-A315-4CE3-BD73-D3410057350D}">
      <text>
        <r>
          <rPr>
            <sz val="9"/>
            <color indexed="81"/>
            <rFont val="Tahoma"/>
            <family val="2"/>
          </rPr>
          <t xml:space="preserve">See note on CFC-11
</t>
        </r>
      </text>
    </comment>
    <comment ref="J506" authorId="0" shapeId="0" xr:uid="{A3B80727-B847-45F0-9B68-AC8EA189A4FA}">
      <text>
        <r>
          <rPr>
            <sz val="9"/>
            <color indexed="81"/>
            <rFont val="Tahoma"/>
            <family val="2"/>
          </rPr>
          <t xml:space="preserve">See note on CFC-11
</t>
        </r>
      </text>
    </comment>
    <comment ref="A507" authorId="0" shapeId="0" xr:uid="{5774DEF8-6BFF-4FF9-9B8A-1D341CDA36BB}">
      <text>
        <r>
          <rPr>
            <sz val="9"/>
            <color indexed="81"/>
            <rFont val="Tahoma"/>
            <family val="2"/>
          </rPr>
          <t xml:space="preserve">CHF2CH2OH
</t>
        </r>
      </text>
    </comment>
    <comment ref="C507" authorId="0" shapeId="0" xr:uid="{0440E80E-5060-42D4-94AA-EB595A574B9E}">
      <text>
        <r>
          <rPr>
            <sz val="9"/>
            <color indexed="81"/>
            <rFont val="Tahoma"/>
            <family val="2"/>
          </rPr>
          <t xml:space="preserve">IPCC, AR6, Table 7, SM7
</t>
        </r>
      </text>
    </comment>
    <comment ref="D507" authorId="0" shapeId="0" xr:uid="{61BA623B-3748-4C85-A686-1F48CA3B54FB}">
      <text>
        <r>
          <rPr>
            <sz val="9"/>
            <color indexed="81"/>
            <rFont val="Tahoma"/>
            <family val="2"/>
          </rPr>
          <t>based on IPCC AR6 WG1 
table 7.SM.8-13
Burkholder and Hodnebrog , NOAA, 2022, ANNEX Summary of Abundances, Lifetimes, ODPs, REs, GWPs, and GTP
report a GWP100 of 6</t>
        </r>
      </text>
    </comment>
    <comment ref="E507" authorId="0" shapeId="0" xr:uid="{82DE9623-DAB2-48C6-AD3B-58A4E05DEFB5}">
      <text>
        <r>
          <rPr>
            <sz val="9"/>
            <color indexed="81"/>
            <rFont val="Tahoma"/>
            <family val="2"/>
          </rPr>
          <t xml:space="preserve">Burkholder and Hodnebrog , NOAA, 2022, ANNEX Summary of Abundances, Lifetimes, ODPs, REs, GWPs, and GTP
</t>
        </r>
      </text>
    </comment>
    <comment ref="G507" authorId="0" shapeId="0" xr:uid="{6E932986-4A60-4F2E-ACB2-959C6ECF37FB}">
      <text>
        <r>
          <rPr>
            <sz val="9"/>
            <color indexed="81"/>
            <rFont val="Tahoma"/>
            <family val="2"/>
          </rPr>
          <t xml:space="preserve">See note on CFC-11
</t>
        </r>
      </text>
    </comment>
    <comment ref="I507" authorId="0" shapeId="0" xr:uid="{35227701-B983-4CF8-9607-33DD708AEF62}">
      <text>
        <r>
          <rPr>
            <sz val="9"/>
            <color indexed="81"/>
            <rFont val="Tahoma"/>
            <family val="2"/>
          </rPr>
          <t xml:space="preserve">See note on CFC-11
</t>
        </r>
      </text>
    </comment>
    <comment ref="J507" authorId="0" shapeId="0" xr:uid="{1FE83838-0FDD-410C-A49A-E6F1CE9A12A4}">
      <text>
        <r>
          <rPr>
            <sz val="9"/>
            <color indexed="81"/>
            <rFont val="Tahoma"/>
            <family val="2"/>
          </rPr>
          <t xml:space="preserve">See note on CFC-11
</t>
        </r>
      </text>
    </comment>
    <comment ref="A508" authorId="0" shapeId="0" xr:uid="{CBC15483-FB4F-4C67-AC42-3078B8BDC4AE}">
      <text>
        <r>
          <rPr>
            <sz val="9"/>
            <color indexed="81"/>
            <rFont val="Tahoma"/>
            <family val="2"/>
          </rPr>
          <t xml:space="preserve">CF3CH2OH
</t>
        </r>
      </text>
    </comment>
    <comment ref="C508" authorId="0" shapeId="0" xr:uid="{2E6E563D-BD2F-47A2-9DFB-8AE0E2469E11}">
      <text>
        <r>
          <rPr>
            <sz val="9"/>
            <color indexed="81"/>
            <rFont val="Tahoma"/>
            <family val="2"/>
          </rPr>
          <t xml:space="preserve">IPCC, AR6, Table 7, SM7
</t>
        </r>
      </text>
    </comment>
    <comment ref="D508" authorId="0" shapeId="0" xr:uid="{0660D295-195A-4161-B32B-5D0C96DF661D}">
      <text>
        <r>
          <rPr>
            <sz val="9"/>
            <color indexed="81"/>
            <rFont val="Tahoma"/>
            <family val="2"/>
          </rPr>
          <t>based on IPCC AR6 WG1 
table 7.SM.8-13
Burkholder and Hodnebrog , NOAA, 2022, ANNEX Summary of Abundances, Lifetimes, ODPs, REs, GWPs, and GTP
report a GWP100 of 30</t>
        </r>
      </text>
    </comment>
    <comment ref="E508" authorId="0" shapeId="0" xr:uid="{033149F7-5D03-42E4-9E5E-3A419D70A55B}">
      <text>
        <r>
          <rPr>
            <sz val="9"/>
            <color indexed="81"/>
            <rFont val="Tahoma"/>
            <family val="2"/>
          </rPr>
          <t xml:space="preserve">Burkholder and Hodnebrog , NOAA, 2022, ANNEX Summary of Abundances, Lifetimes, ODPs, REs, GWPs, and GTP
</t>
        </r>
      </text>
    </comment>
    <comment ref="G508" authorId="0" shapeId="0" xr:uid="{55446426-A712-4F2D-BB4F-4A85B90B97F9}">
      <text>
        <r>
          <rPr>
            <sz val="9"/>
            <color indexed="81"/>
            <rFont val="Tahoma"/>
            <family val="2"/>
          </rPr>
          <t xml:space="preserve">See note on CFC-11
</t>
        </r>
      </text>
    </comment>
    <comment ref="I508" authorId="0" shapeId="0" xr:uid="{60906B3B-D14D-442D-B1D5-7FD25D83EF8B}">
      <text>
        <r>
          <rPr>
            <sz val="9"/>
            <color indexed="81"/>
            <rFont val="Tahoma"/>
            <family val="2"/>
          </rPr>
          <t xml:space="preserve">See note on CFC-11
</t>
        </r>
      </text>
    </comment>
    <comment ref="J508" authorId="0" shapeId="0" xr:uid="{FCCA14C0-144A-4AA5-9FB5-5104D54263FD}">
      <text>
        <r>
          <rPr>
            <sz val="9"/>
            <color indexed="81"/>
            <rFont val="Tahoma"/>
            <family val="2"/>
          </rPr>
          <t xml:space="preserve">See note on CFC-11
</t>
        </r>
      </text>
    </comment>
    <comment ref="A509" authorId="0" shapeId="0" xr:uid="{EBEEF1ED-4EEF-491F-A249-B611E3A38693}">
      <text>
        <r>
          <rPr>
            <sz val="9"/>
            <color indexed="81"/>
            <rFont val="Tahoma"/>
            <family val="2"/>
          </rPr>
          <t>CHF2O(CF2CF2O)4CHF2
(1,1,3,3,4,4,6,6,7,7,9,9, 10,10,12,12,13,13,15,15-eicosafluoro-2,5,8,11,14-pentaoxapentadecane)</t>
        </r>
      </text>
    </comment>
    <comment ref="C509" authorId="0" shapeId="0" xr:uid="{D0E6332F-6926-43C0-A588-528B934B7281}">
      <text>
        <r>
          <rPr>
            <sz val="9"/>
            <color indexed="81"/>
            <rFont val="Tahoma"/>
            <family val="2"/>
          </rPr>
          <t xml:space="preserve">IPCC, AR6, Table 7, SM7
</t>
        </r>
      </text>
    </comment>
    <comment ref="D509" authorId="0" shapeId="0" xr:uid="{A88A4A90-7D4A-48AD-B44B-1EA6C94C079A}">
      <text>
        <r>
          <rPr>
            <sz val="9"/>
            <color indexed="81"/>
            <rFont val="Tahoma"/>
            <family val="2"/>
          </rPr>
          <t>based on IPCC AR6 WG1 
table 7.SM.8-13
Burkholder and Hodnebrog , NOAA, 2022, ANNEX Summary of Abundances, Lifetimes, ODPs, REs, GWPs, and GTP
report a GWP100 of 4250</t>
        </r>
      </text>
    </comment>
    <comment ref="E509" authorId="0" shapeId="0" xr:uid="{1EC57551-DCFE-48FF-8CEF-C7FC1FCA4E0C}">
      <text>
        <r>
          <rPr>
            <sz val="9"/>
            <color indexed="81"/>
            <rFont val="Tahoma"/>
            <family val="2"/>
          </rPr>
          <t xml:space="preserve">Burkholder and Hodnebrog , NOAA, 2022, ANNEX Summary of Abundances, Lifetimes, ODPs, REs, GWPs, and GTP
</t>
        </r>
      </text>
    </comment>
    <comment ref="G509" authorId="0" shapeId="0" xr:uid="{97E6ACED-3A5C-4720-9189-0C7419A89F6F}">
      <text>
        <r>
          <rPr>
            <sz val="9"/>
            <color indexed="81"/>
            <rFont val="Tahoma"/>
            <family val="2"/>
          </rPr>
          <t xml:space="preserve">See note on CFC-11
</t>
        </r>
      </text>
    </comment>
    <comment ref="I509" authorId="0" shapeId="0" xr:uid="{2B2F82A1-D4EA-4EA6-B19B-9124D060478B}">
      <text>
        <r>
          <rPr>
            <sz val="9"/>
            <color indexed="81"/>
            <rFont val="Tahoma"/>
            <family val="2"/>
          </rPr>
          <t xml:space="preserve">See note on CFC-11
</t>
        </r>
      </text>
    </comment>
    <comment ref="J509" authorId="0" shapeId="0" xr:uid="{BAD623E8-F746-40CB-8973-636D11F588A5}">
      <text>
        <r>
          <rPr>
            <sz val="9"/>
            <color indexed="81"/>
            <rFont val="Tahoma"/>
            <family val="2"/>
          </rPr>
          <t xml:space="preserve">See note on CFC-11
</t>
        </r>
      </text>
    </comment>
    <comment ref="A510" authorId="0" shapeId="0" xr:uid="{0A4FC8AA-5947-46BB-9C03-EDE9FCAEEE69}">
      <text>
        <r>
          <rPr>
            <sz val="9"/>
            <color indexed="81"/>
            <rFont val="Tahoma"/>
            <family val="2"/>
          </rPr>
          <t xml:space="preserve">CH3OC7F13
</t>
        </r>
      </text>
    </comment>
    <comment ref="C510" authorId="0" shapeId="0" xr:uid="{37B93D38-69E6-4B29-A739-8E62953CE379}">
      <text>
        <r>
          <rPr>
            <sz val="9"/>
            <color indexed="81"/>
            <rFont val="Tahoma"/>
            <family val="2"/>
          </rPr>
          <t xml:space="preserve">IPCC, AR6, Table 7, SM7
</t>
        </r>
      </text>
    </comment>
    <comment ref="D510" authorId="0" shapeId="0" xr:uid="{C906E0E0-E974-4356-B656-9CA9C5C4A0E4}">
      <text>
        <r>
          <rPr>
            <sz val="9"/>
            <color indexed="81"/>
            <rFont val="Tahoma"/>
            <family val="2"/>
          </rPr>
          <t>based on IPCC AR6 WG1 
table 7.SM.8-13</t>
        </r>
      </text>
    </comment>
    <comment ref="E510" authorId="0" shapeId="0" xr:uid="{F10A3B39-8198-4711-B840-677444A769C7}">
      <text>
        <r>
          <rPr>
            <sz val="9"/>
            <color indexed="81"/>
            <rFont val="Tahoma"/>
            <family val="2"/>
          </rPr>
          <t>No solely florinated species is known to have an ODP in 
 Burkholder and Hodnebrog , NOAA, 2022, ANNEX Summary of Abundances, Lifetimes, ODPs, REs, GWPs, and GTP</t>
        </r>
      </text>
    </comment>
    <comment ref="G510" authorId="0" shapeId="0" xr:uid="{7C58CC07-C18F-4024-9501-5975F0CFFD78}">
      <text>
        <r>
          <rPr>
            <sz val="9"/>
            <color indexed="81"/>
            <rFont val="Tahoma"/>
            <family val="2"/>
          </rPr>
          <t xml:space="preserve">See note on CFC-11
</t>
        </r>
      </text>
    </comment>
    <comment ref="I510" authorId="0" shapeId="0" xr:uid="{0B0A074E-DA68-445A-8010-363E39638FB9}">
      <text>
        <r>
          <rPr>
            <sz val="9"/>
            <color indexed="81"/>
            <rFont val="Tahoma"/>
            <family val="2"/>
          </rPr>
          <t xml:space="preserve">See note on CFC-11
</t>
        </r>
      </text>
    </comment>
    <comment ref="J510" authorId="0" shapeId="0" xr:uid="{D6757A05-EB5E-45D4-A2F3-32A506E2841B}">
      <text>
        <r>
          <rPr>
            <sz val="9"/>
            <color indexed="81"/>
            <rFont val="Tahoma"/>
            <family val="2"/>
          </rPr>
          <t xml:space="preserve">See note on CFC-11
</t>
        </r>
      </text>
    </comment>
    <comment ref="A511" authorId="0" shapeId="0" xr:uid="{EF85AE80-FF5E-451B-B186-146707DA0D73}">
      <text>
        <r>
          <rPr>
            <sz val="9"/>
            <color indexed="81"/>
            <rFont val="Tahoma"/>
            <family val="2"/>
          </rPr>
          <t>CF3COCH3</t>
        </r>
      </text>
    </comment>
    <comment ref="C511" authorId="0" shapeId="0" xr:uid="{989A7A48-A9B4-4A20-9E36-AD1109AAD947}">
      <text>
        <r>
          <rPr>
            <sz val="9"/>
            <color indexed="81"/>
            <rFont val="Tahoma"/>
            <family val="2"/>
          </rPr>
          <t xml:space="preserve">Burkholder and Hodnebrog , NOAA, 2022, ANNEX Summary of Abundances, Lifetimes, ODPs, REs, GWPs, and GTP
</t>
        </r>
      </text>
    </comment>
    <comment ref="D511" authorId="0" shapeId="0" xr:uid="{284F185C-7D27-4928-A1B3-C310349CE7F8}">
      <text>
        <r>
          <rPr>
            <sz val="9"/>
            <color indexed="81"/>
            <rFont val="Tahoma"/>
            <family val="2"/>
          </rPr>
          <t xml:space="preserve">based on IPCC AR6 WG1 
table 7.SM.8-13
</t>
        </r>
      </text>
    </comment>
    <comment ref="E511" authorId="0" shapeId="0" xr:uid="{2895FB64-5528-4C70-A7D3-9F847C410F41}">
      <text>
        <r>
          <rPr>
            <sz val="9"/>
            <color indexed="81"/>
            <rFont val="Tahoma"/>
            <family val="2"/>
          </rPr>
          <t xml:space="preserve">Burkholder and Hodnebrog , NOAA, 2022, ANNEX Summary of Abundances, Lifetimes, ODPs, REs, GWPs, and GTP
</t>
        </r>
      </text>
    </comment>
    <comment ref="G511" authorId="0" shapeId="0" xr:uid="{2AAE20E5-D098-485E-A856-C081EA4E44C4}">
      <text>
        <r>
          <rPr>
            <sz val="9"/>
            <color indexed="81"/>
            <rFont val="Tahoma"/>
            <family val="2"/>
          </rPr>
          <t xml:space="preserve">See note on CFC-11
</t>
        </r>
      </text>
    </comment>
    <comment ref="I511" authorId="0" shapeId="0" xr:uid="{73E9337E-AF17-4435-B101-749D0556EBA3}">
      <text>
        <r>
          <rPr>
            <sz val="9"/>
            <color indexed="81"/>
            <rFont val="Tahoma"/>
            <family val="2"/>
          </rPr>
          <t xml:space="preserve">See note on CFC-11
</t>
        </r>
      </text>
    </comment>
    <comment ref="J511" authorId="0" shapeId="0" xr:uid="{BF7ED8D7-AC2D-4E8F-B407-3D5ECDD15B52}">
      <text>
        <r>
          <rPr>
            <sz val="9"/>
            <color indexed="81"/>
            <rFont val="Tahoma"/>
            <family val="2"/>
          </rPr>
          <t xml:space="preserve">See note on CFC-11
</t>
        </r>
      </text>
    </comment>
    <comment ref="A512" authorId="0" shapeId="0" xr:uid="{D7FB866F-CF9C-4B1A-B412-5DB9660158BF}">
      <text>
        <r>
          <rPr>
            <sz val="9"/>
            <color indexed="81"/>
            <rFont val="Tahoma"/>
            <family val="2"/>
          </rPr>
          <t>CF3COCH2CH3</t>
        </r>
      </text>
    </comment>
    <comment ref="C512" authorId="0" shapeId="0" xr:uid="{AE09EDA8-292C-4255-B647-44BD1D3D8543}">
      <text>
        <r>
          <rPr>
            <sz val="9"/>
            <color indexed="81"/>
            <rFont val="Tahoma"/>
            <family val="2"/>
          </rPr>
          <t xml:space="preserve">IPCC, AR6, Table 7, SM7
</t>
        </r>
      </text>
    </comment>
    <comment ref="D512" authorId="0" shapeId="0" xr:uid="{CF83016F-CB76-40FA-B790-AAF9CBDC5F28}">
      <text>
        <r>
          <rPr>
            <sz val="9"/>
            <color indexed="81"/>
            <rFont val="Tahoma"/>
            <family val="2"/>
          </rPr>
          <t>based on IPCC AR6 WG1 
table 7.SM.8-13</t>
        </r>
      </text>
    </comment>
    <comment ref="E512" authorId="0" shapeId="0" xr:uid="{18B0180A-98E3-4734-AFD1-3006AE510AD5}">
      <text>
        <r>
          <rPr>
            <sz val="9"/>
            <color indexed="81"/>
            <rFont val="Tahoma"/>
            <family val="2"/>
          </rPr>
          <t xml:space="preserve">Burkholder and Hodnebrog , NOAA, 2022, ANNEX Summary of Abundances, Lifetimes, ODPs, REs, GWPs, and GTP
</t>
        </r>
      </text>
    </comment>
    <comment ref="G512" authorId="0" shapeId="0" xr:uid="{8E9A1E92-C6DF-4063-959D-DC2E8E7BDBC8}">
      <text>
        <r>
          <rPr>
            <sz val="9"/>
            <color indexed="81"/>
            <rFont val="Tahoma"/>
            <family val="2"/>
          </rPr>
          <t xml:space="preserve">See note on CFC-11
</t>
        </r>
      </text>
    </comment>
    <comment ref="I512" authorId="0" shapeId="0" xr:uid="{F206CE4F-96F3-43B6-8E4A-FF262C90C465}">
      <text>
        <r>
          <rPr>
            <sz val="9"/>
            <color indexed="81"/>
            <rFont val="Tahoma"/>
            <family val="2"/>
          </rPr>
          <t xml:space="preserve">See note on CFC-11
</t>
        </r>
      </text>
    </comment>
    <comment ref="J512" authorId="0" shapeId="0" xr:uid="{8FE3BE97-D50A-4155-987A-83AF745250A7}">
      <text>
        <r>
          <rPr>
            <sz val="9"/>
            <color indexed="81"/>
            <rFont val="Tahoma"/>
            <family val="2"/>
          </rPr>
          <t xml:space="preserve">See note on CFC-11
</t>
        </r>
      </text>
    </comment>
    <comment ref="A513" authorId="0" shapeId="0" xr:uid="{41968C57-1412-4143-A88B-6D644FFE3FFB}">
      <text>
        <r>
          <rPr>
            <sz val="9"/>
            <color indexed="81"/>
            <rFont val="Tahoma"/>
            <family val="2"/>
          </rPr>
          <t>ClCH2CH2OCH=CH2</t>
        </r>
      </text>
    </comment>
    <comment ref="C513" authorId="0" shapeId="0" xr:uid="{AD13246B-CEBC-4869-9AC8-E4CA480F40EE}">
      <text>
        <r>
          <rPr>
            <sz val="9"/>
            <color indexed="81"/>
            <rFont val="Tahoma"/>
            <family val="2"/>
          </rPr>
          <t xml:space="preserve">IPCC, AR6, Table 7, SM7
</t>
        </r>
      </text>
    </comment>
    <comment ref="D513" authorId="0" shapeId="0" xr:uid="{A36A07F1-CF97-45A7-A78F-18C0C9CCA50A}">
      <text>
        <r>
          <rPr>
            <sz val="9"/>
            <color indexed="81"/>
            <rFont val="Tahoma"/>
            <family val="2"/>
          </rPr>
          <t>based on IPCC AR6 WG1 
table 7.SM.8-13</t>
        </r>
      </text>
    </comment>
    <comment ref="E513" authorId="0" shapeId="0" xr:uid="{4E02512D-F93B-490D-BBD4-73A7E7C5DF55}">
      <text>
        <r>
          <rPr>
            <sz val="9"/>
            <color indexed="81"/>
            <rFont val="Tahoma"/>
            <family val="2"/>
          </rPr>
          <t xml:space="preserve">No specific ODP value was found. An average for the group "chlorocarbons and hydrochlorocarbons" is used
</t>
        </r>
      </text>
    </comment>
    <comment ref="F513" authorId="0" shapeId="0" xr:uid="{2C11A3F2-6082-40B0-A518-12459D6F3E7C}">
      <text>
        <r>
          <rPr>
            <sz val="9"/>
            <color indexed="81"/>
            <rFont val="Tahoma"/>
            <family val="2"/>
          </rPr>
          <t xml:space="preserve">No specific uncertianty value was found. Variation in the group is used
</t>
        </r>
      </text>
    </comment>
    <comment ref="G513" authorId="0" shapeId="0" xr:uid="{D6AEC364-F126-4B93-BE5D-FCF28CDAD43E}">
      <text>
        <r>
          <rPr>
            <sz val="9"/>
            <color indexed="81"/>
            <rFont val="Tahoma"/>
            <family val="2"/>
          </rPr>
          <t xml:space="preserve">See note on CFC-11
</t>
        </r>
      </text>
    </comment>
    <comment ref="I513" authorId="0" shapeId="0" xr:uid="{82DE23B4-D6B8-4F41-9A72-148783742F9C}">
      <text>
        <r>
          <rPr>
            <sz val="9"/>
            <color indexed="81"/>
            <rFont val="Tahoma"/>
            <family val="2"/>
          </rPr>
          <t xml:space="preserve">See note on CFC-11
</t>
        </r>
      </text>
    </comment>
    <comment ref="J513" authorId="0" shapeId="0" xr:uid="{AA742C1A-C1BA-42DD-B560-7129A529A506}">
      <text>
        <r>
          <rPr>
            <sz val="9"/>
            <color indexed="81"/>
            <rFont val="Tahoma"/>
            <family val="2"/>
          </rPr>
          <t xml:space="preserve">See note on CFC-11
</t>
        </r>
      </text>
    </comment>
    <comment ref="A514" authorId="0" shapeId="0" xr:uid="{116928ED-3233-400F-8FB4-0507142B0E88}">
      <text>
        <r>
          <rPr>
            <sz val="9"/>
            <color indexed="81"/>
            <rFont val="Tahoma"/>
            <family val="2"/>
          </rPr>
          <t xml:space="preserve">c-C4F8O
</t>
        </r>
      </text>
    </comment>
    <comment ref="D514" authorId="0" shapeId="0" xr:uid="{F8AEB35D-D1E0-472F-A04F-EC0E365F29AA}">
      <text>
        <r>
          <rPr>
            <sz val="9"/>
            <color indexed="81"/>
            <rFont val="Tahoma"/>
            <family val="2"/>
          </rPr>
          <t>based on IPCC AR6 WG1 
table 7.SM.8-13</t>
        </r>
      </text>
    </comment>
    <comment ref="E514" authorId="0" shapeId="0" xr:uid="{92D31560-E336-46CA-8748-9FAE98A3F201}">
      <text>
        <r>
          <rPr>
            <sz val="9"/>
            <color indexed="81"/>
            <rFont val="Tahoma"/>
            <family val="2"/>
          </rPr>
          <t>No solely florinated species is known to have an ODP in 
 Burkholder and Hodnebrog , NOAA, 2022, ANNEX Summary of Abundances, Lifetimes, ODPs, REs, GWPs, and GTP</t>
        </r>
      </text>
    </comment>
    <comment ref="G514" authorId="0" shapeId="0" xr:uid="{73B6BFDE-6BB0-40DF-B466-ACED0C2B16A9}">
      <text>
        <r>
          <rPr>
            <sz val="9"/>
            <color indexed="81"/>
            <rFont val="Tahoma"/>
            <family val="2"/>
          </rPr>
          <t xml:space="preserve">See note on CFC-11
</t>
        </r>
      </text>
    </comment>
    <comment ref="I514" authorId="0" shapeId="0" xr:uid="{84734309-F746-4D5A-80C5-514315EDD433}">
      <text>
        <r>
          <rPr>
            <sz val="9"/>
            <color indexed="81"/>
            <rFont val="Tahoma"/>
            <family val="2"/>
          </rPr>
          <t xml:space="preserve">See note on CFC-11
</t>
        </r>
      </text>
    </comment>
    <comment ref="J514" authorId="0" shapeId="0" xr:uid="{15951DF7-4AF7-4751-9ABE-B2C8A28F1140}">
      <text>
        <r>
          <rPr>
            <sz val="9"/>
            <color indexed="81"/>
            <rFont val="Tahoma"/>
            <family val="2"/>
          </rPr>
          <t xml:space="preserve">See note on CFC-11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G1" authorId="0" shapeId="0" xr:uid="{00000000-0006-0000-0800-000001000000}">
      <text>
        <r>
          <rPr>
            <sz val="9"/>
            <color indexed="81"/>
            <rFont val="Tahoma"/>
            <family val="2"/>
          </rPr>
          <t>If not specifically noted, the uncertaitny is expressed as a factor equal ti one standard deviation in a log normal distribution</t>
        </r>
      </text>
    </comment>
    <comment ref="I1" authorId="0" shapeId="0" xr:uid="{00000000-0006-0000-0800-000002000000}">
      <text>
        <r>
          <rPr>
            <sz val="9"/>
            <color indexed="81"/>
            <rFont val="Tahoma"/>
            <family val="2"/>
          </rPr>
          <t>If not specifically noted, the uncertaitny is expressed as a factor equal ti one standard deviation in a log normal distribution</t>
        </r>
      </text>
    </comment>
    <comment ref="A4" authorId="0" shapeId="0" xr:uid="{5FD8E8AA-C25B-430A-AAE5-F994C1278E00}">
      <text>
        <r>
          <rPr>
            <sz val="9"/>
            <color indexed="81"/>
            <rFont val="Tahoma"/>
            <family val="2"/>
          </rPr>
          <t xml:space="preserve">The emissions valued here are primary PM2.5 emitted anywhere in the world 2025. Both antropogenic and natural emissions are valued. </t>
        </r>
      </text>
    </comment>
    <comment ref="F4" authorId="0" shapeId="0" xr:uid="{00000000-0006-0000-0800-000023000000}">
      <text>
        <r>
          <rPr>
            <sz val="9"/>
            <color indexed="81"/>
            <rFont val="Tahoma"/>
            <family val="2"/>
          </rPr>
          <t>Global impact of PM2.5 in air in DALY for 2021, and all causes
https://vizhub.healthdata.org/gbd-results/
Database accessed at 18 jan 2024. See also T. Fang et al, Front Public Health 2025 Vol. 13</t>
        </r>
      </text>
    </comment>
    <comment ref="G4" authorId="0" shapeId="0" xr:uid="{00000000-0006-0000-0800-000024000000}">
      <text>
        <r>
          <rPr>
            <sz val="9"/>
            <color indexed="81"/>
            <rFont val="Tahoma"/>
            <family val="2"/>
          </rPr>
          <t xml:space="preserve">Lower and upper values were 195 and 270 millions in the database from IHME (Institute for Health Metrics and Evaluation). In addition thereare uncertainties in the epidemiological data, such as not considering noise as a confounding factor. 
</t>
        </r>
      </text>
    </comment>
    <comment ref="H4" authorId="0" shapeId="0" xr:uid="{DE5EA734-1F9D-4D2E-8500-C9FE4BAD9DD5}">
      <text>
        <r>
          <rPr>
            <sz val="9"/>
            <color indexed="81"/>
            <rFont val="Tahoma"/>
            <family val="2"/>
          </rPr>
          <t>Global primary emissions of PM2.5 was 78 Tg, of which antropogenic sources was 40 Tg. (Huang et al 2014, Environ. Sci. Technol. 2014, 48, 13834−13843).  Primary emissions of PM2.5 account for about 52% of PM2.5 in ambient air. (Gugamsetty et al, Aerosol and Air Quality Research, 12: 476–491, 2012). 1 kg of primary PM2.5 thus contributes with 0.52/7.8E+10 = 6.67E-12 to the total extent of the effect.</t>
        </r>
      </text>
    </comment>
    <comment ref="I4" authorId="0" shapeId="0" xr:uid="{68D173EC-86AD-49D1-88F6-3240B46345AD}">
      <text>
        <r>
          <rPr>
            <sz val="9"/>
            <color indexed="81"/>
            <rFont val="Tahoma"/>
            <family val="2"/>
          </rPr>
          <t xml:space="preserve">Huang et al gives an uncertainty of about 1.1, but they do not cover all sources, and there are significant local and regional differences.
</t>
        </r>
      </text>
    </comment>
    <comment ref="G5" authorId="0" shapeId="0" xr:uid="{437E9C18-A4D1-4A10-896B-57F64ECA102C}">
      <text>
        <r>
          <rPr>
            <sz val="9"/>
            <color indexed="81"/>
            <rFont val="Tahoma"/>
            <family val="2"/>
          </rPr>
          <t xml:space="preserve">SQRT(2^2+2.2^2), where 2 and 2.2 are the uncertainties for the chaarcterisation factor for COPD and CO2.
</t>
        </r>
      </text>
    </comment>
    <comment ref="H5" authorId="0" shapeId="0" xr:uid="{00000000-0006-0000-0800-000027000000}">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5" authorId="0" shapeId="0" xr:uid="{EF8BCF8C-EA4E-479F-A113-A2CFC37578AF}">
      <text>
        <r>
          <rPr>
            <sz val="9"/>
            <color indexed="81"/>
            <rFont val="Tahoma"/>
            <family val="2"/>
          </rPr>
          <t xml:space="preserve">The share of PM2.5 varies significantly bewtween different local and regional areas.
</t>
        </r>
      </text>
    </comment>
    <comment ref="G6" authorId="0" shapeId="0" xr:uid="{D0BADB66-BA5E-48AD-AC47-0AFEE023A88D}">
      <text>
        <r>
          <rPr>
            <sz val="9"/>
            <color indexed="81"/>
            <rFont val="Tahoma"/>
            <family val="2"/>
          </rPr>
          <t xml:space="preserve">SQRT(2^2+2.2^2), where 2 and 2.2 are the uncertainties for the charcterisation factor for malnutrition and CO2.
</t>
        </r>
      </text>
    </comment>
    <comment ref="H6" authorId="0" shapeId="0" xr:uid="{F12901B7-3BC6-44B2-8C52-949707FC7B11}">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6" authorId="0" shapeId="0" xr:uid="{131235FD-BFE2-4079-B8A2-8F13F819C74A}">
      <text>
        <r>
          <rPr>
            <sz val="9"/>
            <color indexed="81"/>
            <rFont val="Tahoma"/>
            <family val="2"/>
          </rPr>
          <t xml:space="preserve">The share of PM2.5 varies significantly bewtween different local and regional areas.
</t>
        </r>
      </text>
    </comment>
    <comment ref="G7" authorId="0" shapeId="0" xr:uid="{FCAD2037-1DBD-4BCB-AB9F-CCA13F10952F}">
      <text>
        <r>
          <rPr>
            <sz val="9"/>
            <color indexed="81"/>
            <rFont val="Tahoma"/>
            <family val="2"/>
          </rPr>
          <t xml:space="preserve">SQRT(2^2+2.2^2), where 2 and 2.2 are the uncertainties for the charcterisation factor for working capacity and CO2.
</t>
        </r>
      </text>
    </comment>
    <comment ref="H7" authorId="0" shapeId="0" xr:uid="{64F57265-00BD-476A-8003-29953ED3EB8F}">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7" authorId="0" shapeId="0" xr:uid="{117D1BDD-8493-4C21-9D99-FDAC9E1C8BAA}">
      <text>
        <r>
          <rPr>
            <sz val="9"/>
            <color indexed="81"/>
            <rFont val="Tahoma"/>
            <family val="2"/>
          </rPr>
          <t xml:space="preserve">The share of PM2.5 varies significantly bewtween different local and regional areas.
</t>
        </r>
      </text>
    </comment>
    <comment ref="G8" authorId="0" shapeId="0" xr:uid="{CF30810B-3ECA-4120-A693-A01A721ED04E}">
      <text>
        <r>
          <rPr>
            <sz val="9"/>
            <color indexed="81"/>
            <rFont val="Tahoma"/>
            <family val="2"/>
          </rPr>
          <t xml:space="preserve">SQRT(2^2+2.2^2), where 2 and 2.2 are the uncertainties for the charcterisation factor for diarrhea and CO2.
</t>
        </r>
      </text>
    </comment>
    <comment ref="H8" authorId="0" shapeId="0" xr:uid="{0A1E0598-61CC-467D-A1BC-384A177CC896}">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8" authorId="0" shapeId="0" xr:uid="{B94B8765-3DFD-400E-B847-AD9615DC4BDB}">
      <text>
        <r>
          <rPr>
            <sz val="9"/>
            <color indexed="81"/>
            <rFont val="Tahoma"/>
            <family val="2"/>
          </rPr>
          <t xml:space="preserve">The share of PM2.5 varies significantly bewtween different local and regional areas.
</t>
        </r>
      </text>
    </comment>
    <comment ref="G9" authorId="0" shapeId="0" xr:uid="{49516866-90E0-4A29-96D6-1C6E07AF87B4}">
      <text>
        <r>
          <rPr>
            <sz val="9"/>
            <color indexed="81"/>
            <rFont val="Tahoma"/>
            <family val="2"/>
          </rPr>
          <t xml:space="preserve">SQRT(2^2+2.2^2), where 2 and 2.2 are the uncertainties for the charcterisation factor for crop and CO2.
</t>
        </r>
      </text>
    </comment>
    <comment ref="H9" authorId="0" shapeId="0" xr:uid="{2F219337-328C-4586-81BE-3986709D418C}">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9" authorId="0" shapeId="0" xr:uid="{B6B0ADD1-5317-41A6-B897-60FAA63FA1F8}">
      <text>
        <r>
          <rPr>
            <sz val="9"/>
            <color indexed="81"/>
            <rFont val="Tahoma"/>
            <family val="2"/>
          </rPr>
          <t xml:space="preserve">The share of PM2.5 varies significantly bewtween different local and regional areas.
</t>
        </r>
      </text>
    </comment>
    <comment ref="G10" authorId="0" shapeId="0" xr:uid="{32EBD890-7117-4269-8694-1B47409F55E3}">
      <text>
        <r>
          <rPr>
            <sz val="9"/>
            <color indexed="81"/>
            <rFont val="Tahoma"/>
            <family val="2"/>
          </rPr>
          <t xml:space="preserve">SQRT(2^2+2.2^2), where 2 and 2.2 are the uncertainties for the charcterisation factor for meat and CO2.
</t>
        </r>
      </text>
    </comment>
    <comment ref="H10" authorId="0" shapeId="0" xr:uid="{0EC8D61E-B1FE-47E8-9377-71563985F69A}">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10" authorId="0" shapeId="0" xr:uid="{E47DFF10-A39C-46A7-B890-0FD3719B8988}">
      <text>
        <r>
          <rPr>
            <sz val="9"/>
            <color indexed="81"/>
            <rFont val="Tahoma"/>
            <family val="2"/>
          </rPr>
          <t xml:space="preserve">The share of PM2.5 varies significantly bewtween different local and regional areas.
</t>
        </r>
      </text>
    </comment>
    <comment ref="G11" authorId="0" shapeId="0" xr:uid="{4CD838F2-95E8-4937-82B0-F58747D1BBD3}">
      <text>
        <r>
          <rPr>
            <sz val="9"/>
            <color indexed="81"/>
            <rFont val="Tahoma"/>
            <family val="2"/>
          </rPr>
          <t xml:space="preserve">SQRT(3^2+2.2^2), where 2 and 2.2 are the uncertainties for the charcterisation factor for fish and CO2.
</t>
        </r>
      </text>
    </comment>
    <comment ref="H11" authorId="0" shapeId="0" xr:uid="{2261E8C8-1285-4348-B7B3-352552F88580}">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11" authorId="0" shapeId="0" xr:uid="{1E41FF1C-7DA8-455A-8BDE-4210E4A3516C}">
      <text>
        <r>
          <rPr>
            <sz val="9"/>
            <color indexed="81"/>
            <rFont val="Tahoma"/>
            <family val="2"/>
          </rPr>
          <t xml:space="preserve">The share of PM2.5 varies significantly bewtween different local and regional areas.
</t>
        </r>
      </text>
    </comment>
    <comment ref="G12" authorId="0" shapeId="0" xr:uid="{0AB324EB-7FBB-41F8-A340-85049D31AC4A}">
      <text>
        <r>
          <rPr>
            <sz val="9"/>
            <color indexed="81"/>
            <rFont val="Tahoma"/>
            <family val="2"/>
          </rPr>
          <t xml:space="preserve">SQRT(2^2+2.2^2), where 2 and 2.2 are the uncertainties for the charcterisation factor for wood and CO2.
</t>
        </r>
      </text>
    </comment>
    <comment ref="H12" authorId="0" shapeId="0" xr:uid="{51994654-C8CB-4C7B-BDFD-ADD3666418AD}">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12" authorId="0" shapeId="0" xr:uid="{C3D3C527-5EE4-4B1D-883C-194C61E4980D}">
      <text>
        <r>
          <rPr>
            <sz val="9"/>
            <color indexed="81"/>
            <rFont val="Tahoma"/>
            <family val="2"/>
          </rPr>
          <t xml:space="preserve">The share of PM2.5 varies significantly bewtween different local and regional areas.
</t>
        </r>
      </text>
    </comment>
    <comment ref="G13" authorId="0" shapeId="0" xr:uid="{70EB7921-6A5A-42B7-AAB5-392FA39D816F}">
      <text>
        <r>
          <rPr>
            <sz val="9"/>
            <color indexed="81"/>
            <rFont val="Tahoma"/>
            <family val="2"/>
          </rPr>
          <t xml:space="preserve">SQRT(3^2+2.2^2), where 2 and 2.2 are the uncertainties for the charcterisation factor for drinking water and CO2.
</t>
        </r>
      </text>
    </comment>
    <comment ref="H13" authorId="0" shapeId="0" xr:uid="{03853B0F-D2D4-4952-8A9E-B047491A68DB}">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13" authorId="0" shapeId="0" xr:uid="{B3761098-F1D9-454F-809C-9A59ADFC6793}">
      <text>
        <r>
          <rPr>
            <sz val="9"/>
            <color indexed="81"/>
            <rFont val="Tahoma"/>
            <family val="2"/>
          </rPr>
          <t xml:space="preserve">The share of PM2.5 varies significantly bewtween different local and regional areas.
</t>
        </r>
      </text>
    </comment>
    <comment ref="G14" authorId="0" shapeId="0" xr:uid="{D79252DD-B8BB-4F08-8D60-6D8BBF196084}">
      <text>
        <r>
          <rPr>
            <sz val="9"/>
            <color indexed="81"/>
            <rFont val="Tahoma"/>
            <family val="2"/>
          </rPr>
          <t xml:space="preserve">SQRT(2^2+2.2^2), where 2 and 2.2 are the uncertainties for the charcterisation factor for NEX and CO2.
</t>
        </r>
      </text>
    </comment>
    <comment ref="H14" authorId="0" shapeId="0" xr:uid="{1FDC7F64-C99E-4CC2-8AB3-A25546EC2BBF}">
      <text>
        <r>
          <rPr>
            <sz val="9"/>
            <color indexed="81"/>
            <rFont val="Tahoma"/>
            <family val="2"/>
          </rPr>
          <t>GWP100 estimations for PM2.5 is not present in AR6. It is estimated to -236, by a simplified model based on effcient radiative forcing (ERF) estimations in AR6 WG1, Table 6.SM.1, and global PM2.5 emissions. The model: GWP100 is = (ERF</t>
        </r>
        <r>
          <rPr>
            <i/>
            <sz val="8"/>
            <color indexed="81"/>
            <rFont val="Tahoma"/>
            <family val="2"/>
          </rPr>
          <t>PM2.5</t>
        </r>
        <r>
          <rPr>
            <sz val="9"/>
            <color indexed="81"/>
            <rFont val="Tahoma"/>
            <family val="2"/>
          </rPr>
          <t>/E</t>
        </r>
        <r>
          <rPr>
            <i/>
            <sz val="8"/>
            <color indexed="81"/>
            <rFont val="Tahoma"/>
            <family val="2"/>
          </rPr>
          <t>PM2.5</t>
        </r>
        <r>
          <rPr>
            <sz val="9"/>
            <color indexed="81"/>
            <rFont val="Tahoma"/>
            <family val="2"/>
          </rPr>
          <t>)/(ERF</t>
        </r>
        <r>
          <rPr>
            <i/>
            <sz val="8"/>
            <color indexed="81"/>
            <rFont val="Tahoma"/>
            <family val="2"/>
          </rPr>
          <t>CO2</t>
        </r>
        <r>
          <rPr>
            <sz val="9"/>
            <color indexed="81"/>
            <rFont val="Tahoma"/>
            <family val="2"/>
          </rPr>
          <t>/E</t>
        </r>
        <r>
          <rPr>
            <i/>
            <sz val="8"/>
            <color indexed="81"/>
            <rFont val="Tahoma"/>
            <family val="2"/>
          </rPr>
          <t>CO2</t>
        </r>
        <r>
          <rPr>
            <sz val="9"/>
            <color indexed="81"/>
            <rFont val="Tahoma"/>
            <family val="2"/>
          </rPr>
          <t>), where E is the part of the emissons causing the ERF. For present (2019) ERF, the part of CO2 emissions that contribute is determined from the emissions since 1900 (figure 6.18 in IPPC AR6 WG1) and the share of CO2 remaining after different years. (Joos et al Atmos. Chem. Phys., 13, 2793–2825, 2013 www.atmos-chem-phys.net/13/2793/2013/ doi:10.5194/acp-13-2793-2013)
For PM2.5 the emissions causing the ERF are the yearly emissions of PM2.5. We thus get, GWP 100 for PM2.5 =
 (1.01W/m2/0.0769 Tg/yr)/(2.058W/m2/37 Pg), where 0.0769 is the emissions of primary (0.040) and secondary aerosols. Primary aerosols are about 52% of the aerosol mass.</t>
        </r>
      </text>
    </comment>
    <comment ref="I14" authorId="0" shapeId="0" xr:uid="{80EC8B4E-16AA-46E9-B6A5-A2D8E759231A}">
      <text>
        <r>
          <rPr>
            <sz val="9"/>
            <color indexed="81"/>
            <rFont val="Tahoma"/>
            <family val="2"/>
          </rPr>
          <t xml:space="preserve">The share of PM2.5 varies significantly bewtween different local and regional areas.
</t>
        </r>
      </text>
    </comment>
    <comment ref="A17" authorId="0" shapeId="0" xr:uid="{81DD0F09-E9AC-4547-884B-913931E6A7BD}">
      <text>
        <r>
          <rPr>
            <sz val="9"/>
            <color indexed="81"/>
            <rFont val="Tahoma"/>
            <family val="2"/>
          </rPr>
          <t xml:space="preserve">The emission valued here is particles of all sizes emitted to air. 
</t>
        </r>
      </text>
    </comment>
    <comment ref="G17" authorId="0" shapeId="0" xr:uid="{9C085562-653B-4C38-A50F-312731B43353}">
      <text>
        <r>
          <rPr>
            <sz val="9"/>
            <color indexed="81"/>
            <rFont val="Tahoma"/>
            <family val="2"/>
          </rPr>
          <t xml:space="preserve">Lower and upper values were 195 and 270 millions in the database from IHME (Institute for Health Metrics and Evaluation). In addition thereare uncertainties in the epidemiological data, such as not considering noise as a confounding factor. 
</t>
        </r>
      </text>
    </comment>
    <comment ref="H17" authorId="0" shapeId="0" xr:uid="{ED69447A-9B67-4D26-9833-C59D20D67780}">
      <text>
        <r>
          <rPr>
            <sz val="9"/>
            <color indexed="81"/>
            <rFont val="Tahoma"/>
            <family val="2"/>
          </rPr>
          <t xml:space="preserve">The average ratio of PM2.5 to TSP is 0.14 in Asia (Fang et al DOI: 10.1007/s10653-017-9992-8). As the residence time for TSP is less than for PM2.5, the share of PM2.5 in emissions are less. A share of 0.1 is assumed.
</t>
        </r>
      </text>
    </comment>
    <comment ref="I17" authorId="0" shapeId="0" xr:uid="{B394CF17-4B04-4F8D-8543-731B83251C95}">
      <text>
        <r>
          <rPr>
            <sz val="9"/>
            <color indexed="81"/>
            <rFont val="Tahoma"/>
            <family val="2"/>
          </rPr>
          <t xml:space="preserve">PM2.5 share of TSP in Asia varied with a factor of 2 in the study made by Fang et al (DOI: 10.1007/s10653-017-9992-8)
</t>
        </r>
      </text>
    </comment>
    <comment ref="G18" authorId="0" shapeId="0" xr:uid="{BEE103F4-E42A-4B7D-B9B9-530EC3C5B728}">
      <text>
        <r>
          <rPr>
            <sz val="9"/>
            <color indexed="81"/>
            <rFont val="Tahoma"/>
            <family val="2"/>
          </rPr>
          <t xml:space="preserve">SQRT(2^2+2.2^2), where 2 and 2.2 are the uncertainties for the chaarcterisation factor for COPD and CO2.
</t>
        </r>
      </text>
    </comment>
    <comment ref="I18" authorId="0" shapeId="0" xr:uid="{E612DDF3-73D8-445E-AF2D-9607778F1537}">
      <text>
        <r>
          <rPr>
            <sz val="9"/>
            <color indexed="81"/>
            <rFont val="Tahoma"/>
            <family val="2"/>
          </rPr>
          <t xml:space="preserve">The share of PM2.5 varies significantly bewtween different local and regional areas.
</t>
        </r>
      </text>
    </comment>
    <comment ref="G19" authorId="0" shapeId="0" xr:uid="{839E7890-8049-4BA3-A469-4A9F792E6DCB}">
      <text>
        <r>
          <rPr>
            <sz val="9"/>
            <color indexed="81"/>
            <rFont val="Tahoma"/>
            <family val="2"/>
          </rPr>
          <t xml:space="preserve">SQRT(2^2+2.2^2), where 2 and 2.2 are the uncertainties for the charcterisation factor for malnutrition and CO2.
</t>
        </r>
      </text>
    </comment>
    <comment ref="I19" authorId="0" shapeId="0" xr:uid="{86D86864-507E-4764-8563-3E6DD5D331D7}">
      <text>
        <r>
          <rPr>
            <sz val="9"/>
            <color indexed="81"/>
            <rFont val="Tahoma"/>
            <family val="2"/>
          </rPr>
          <t xml:space="preserve">The share of PM2.5 varies significantly bewtween different local and regional areas.
</t>
        </r>
      </text>
    </comment>
    <comment ref="G20" authorId="0" shapeId="0" xr:uid="{29EB5FFE-B4E1-42CB-8D29-594C01958714}">
      <text>
        <r>
          <rPr>
            <sz val="9"/>
            <color indexed="81"/>
            <rFont val="Tahoma"/>
            <family val="2"/>
          </rPr>
          <t xml:space="preserve">SQRT(2^2+2.2^2), where 2 and 2.2 are the uncertainties for the charcterisation factor for working capacity and CO2.
</t>
        </r>
      </text>
    </comment>
    <comment ref="I20" authorId="0" shapeId="0" xr:uid="{6999D51C-AD61-4499-869F-F0AA2E6E8163}">
      <text>
        <r>
          <rPr>
            <sz val="9"/>
            <color indexed="81"/>
            <rFont val="Tahoma"/>
            <family val="2"/>
          </rPr>
          <t xml:space="preserve">The share of PM2.5 varies significantly bewtween different local and regional areas.
</t>
        </r>
      </text>
    </comment>
    <comment ref="G21" authorId="0" shapeId="0" xr:uid="{2054C78B-A534-4E42-A317-EB0534E4449A}">
      <text>
        <r>
          <rPr>
            <sz val="9"/>
            <color indexed="81"/>
            <rFont val="Tahoma"/>
            <family val="2"/>
          </rPr>
          <t xml:space="preserve">SQRT(2^2+2.2^2), where 2 and 2.2 are the uncertainties for the charcterisation factor for diarrhea and CO2.
</t>
        </r>
      </text>
    </comment>
    <comment ref="I21" authorId="0" shapeId="0" xr:uid="{109AD3A5-0A5F-4CFA-91C7-89325CB6819C}">
      <text>
        <r>
          <rPr>
            <sz val="9"/>
            <color indexed="81"/>
            <rFont val="Tahoma"/>
            <family val="2"/>
          </rPr>
          <t xml:space="preserve">The share of PM2.5 varies significantly bewtween different local and regional areas.
</t>
        </r>
      </text>
    </comment>
    <comment ref="G22" authorId="0" shapeId="0" xr:uid="{D2654181-2457-447F-AB72-6AEBA72CF31B}">
      <text>
        <r>
          <rPr>
            <sz val="9"/>
            <color indexed="81"/>
            <rFont val="Tahoma"/>
            <family val="2"/>
          </rPr>
          <t xml:space="preserve">SQRT(2^2+2.2^2), where 2 and 2.2 are the uncertainties for the charcterisation factor for crop and CO2.
</t>
        </r>
      </text>
    </comment>
    <comment ref="I22" authorId="0" shapeId="0" xr:uid="{70A26F89-3FAF-4F77-A2C6-1255EFAA8C6B}">
      <text>
        <r>
          <rPr>
            <sz val="9"/>
            <color indexed="81"/>
            <rFont val="Tahoma"/>
            <family val="2"/>
          </rPr>
          <t xml:space="preserve">The share of PM2.5 varies significantly bewtween different local and regional areas.
</t>
        </r>
      </text>
    </comment>
    <comment ref="G23" authorId="0" shapeId="0" xr:uid="{55AD07DC-D884-4412-B36F-22C44328262B}">
      <text>
        <r>
          <rPr>
            <sz val="9"/>
            <color indexed="81"/>
            <rFont val="Tahoma"/>
            <family val="2"/>
          </rPr>
          <t xml:space="preserve">SQRT(2^2+2.2^2), where 2 and 2.2 are the uncertainties for the charcterisation factor for meat and CO2.
</t>
        </r>
      </text>
    </comment>
    <comment ref="I23" authorId="0" shapeId="0" xr:uid="{E3A42A4A-54F5-4A4E-BC8F-58331898F720}">
      <text>
        <r>
          <rPr>
            <sz val="9"/>
            <color indexed="81"/>
            <rFont val="Tahoma"/>
            <family val="2"/>
          </rPr>
          <t xml:space="preserve">The share of PM2.5 varies significantly bewtween different local and regional areas.
</t>
        </r>
      </text>
    </comment>
    <comment ref="G24" authorId="0" shapeId="0" xr:uid="{97166AB9-CE5F-422E-BAB0-B108CF769D1B}">
      <text>
        <r>
          <rPr>
            <sz val="9"/>
            <color indexed="81"/>
            <rFont val="Tahoma"/>
            <family val="2"/>
          </rPr>
          <t xml:space="preserve">SQRT(3^2+2.2^2), where 2 and 2.2 are the uncertainties for the charcterisation factor for fish and CO2.
</t>
        </r>
      </text>
    </comment>
    <comment ref="I24" authorId="0" shapeId="0" xr:uid="{6C027A3E-44E2-4E0A-809C-9EAE1314B968}">
      <text>
        <r>
          <rPr>
            <sz val="9"/>
            <color indexed="81"/>
            <rFont val="Tahoma"/>
            <family val="2"/>
          </rPr>
          <t xml:space="preserve">The share of PM2.5 varies significantly bewtween different local and regional areas.
</t>
        </r>
      </text>
    </comment>
    <comment ref="G25" authorId="0" shapeId="0" xr:uid="{60521BFC-B284-4447-B093-B1DDA01351BF}">
      <text>
        <r>
          <rPr>
            <sz val="9"/>
            <color indexed="81"/>
            <rFont val="Tahoma"/>
            <family val="2"/>
          </rPr>
          <t xml:space="preserve">SQRT(2^2+2.2^2), where 2 and 2.2 are the uncertainties for the charcterisation factor for wood and CO2.
</t>
        </r>
      </text>
    </comment>
    <comment ref="I25" authorId="0" shapeId="0" xr:uid="{85BB8F1F-9D88-4A3D-8F3D-657BEBD62465}">
      <text>
        <r>
          <rPr>
            <sz val="9"/>
            <color indexed="81"/>
            <rFont val="Tahoma"/>
            <family val="2"/>
          </rPr>
          <t xml:space="preserve">The share of PM2.5 varies significantly bewtween different local and regional areas.
</t>
        </r>
      </text>
    </comment>
    <comment ref="G26" authorId="0" shapeId="0" xr:uid="{4521D151-E7D9-46A5-8C1F-3F221F870045}">
      <text>
        <r>
          <rPr>
            <sz val="9"/>
            <color indexed="81"/>
            <rFont val="Tahoma"/>
            <family val="2"/>
          </rPr>
          <t xml:space="preserve">SQRT(3^2+2.2^2), where 2 and 2.2 are the uncertainties for the charcterisation factor for drinking water and CO2.
</t>
        </r>
      </text>
    </comment>
    <comment ref="I26" authorId="0" shapeId="0" xr:uid="{018E2B28-E518-44A6-BEED-E77BB87F6615}">
      <text>
        <r>
          <rPr>
            <sz val="9"/>
            <color indexed="81"/>
            <rFont val="Tahoma"/>
            <family val="2"/>
          </rPr>
          <t xml:space="preserve">The share of PM2.5 varies significantly bewtween different local and regional areas.
</t>
        </r>
      </text>
    </comment>
    <comment ref="G27" authorId="0" shapeId="0" xr:uid="{80F99ACC-C056-4874-9524-90F44457EF47}">
      <text>
        <r>
          <rPr>
            <sz val="9"/>
            <color indexed="81"/>
            <rFont val="Tahoma"/>
            <family val="2"/>
          </rPr>
          <t xml:space="preserve">SQRT(2^2+2.2^2), where 2 and 2.2 are the uncertainties for the charcterisation factor for NEX and CO2.
</t>
        </r>
      </text>
    </comment>
    <comment ref="I27" authorId="0" shapeId="0" xr:uid="{69266603-7831-4878-A02C-3A73DA4459D5}">
      <text>
        <r>
          <rPr>
            <sz val="9"/>
            <color indexed="81"/>
            <rFont val="Tahoma"/>
            <family val="2"/>
          </rPr>
          <t xml:space="preserve">The share of PM2.5 varies significantly bewtween different local and regional areas.
</t>
        </r>
      </text>
    </comment>
    <comment ref="F28" authorId="0" shapeId="0" xr:uid="{EE42DB5C-0E1E-421E-9F49-1BFC554AB8B3}">
      <text>
        <r>
          <rPr>
            <sz val="9"/>
            <color indexed="81"/>
            <rFont val="Tahoma"/>
            <family val="2"/>
          </rPr>
          <t xml:space="preserve"> Marginal household soiling damages attributable to air particulates are estimated at 6.63 $/household per micrograms per cubic meter TSP. (1980 $) ( Cummings, H.S. Burness and R.D. Norton, University of New Mexico METHODS DEVELOPMENT FOR ENVIRONMENTALCON TROL BENEFITS ASSESSMENT Volume V, MEASURING HOUSEHOLD SOILING DAMAGES FROM SUSPENDED PARTICULATES: A METHODOLOGICAL INQUIRY, USEPA, National Center for Environmental Economics EPA-230-12-85-023 September 1985)
Marginal household soiling damages attributable to air particulates are now estimated at 46.63/household per micrograms per cubic meter. https://www.epa.gov/environmental-economics/methods-development-environmental-control-benefits-assessments-volumes-i-ix. (Accessed at march 1 2025).
It is not clear from the report which hourly cost for work, that has been used but as the present price for working hours are 45 $, 1 personhour per ug/m3 and household is assumed. It is further assumed that globally there are about 2 billion housholds. The average TSP concenration is around twice the concentration of PM10, i.e 100 ug/m3
</t>
        </r>
      </text>
    </comment>
    <comment ref="G28" authorId="0" shapeId="0" xr:uid="{395FEC10-1C86-466A-9199-8461827E7817}">
      <text>
        <r>
          <rPr>
            <sz val="9"/>
            <color indexed="81"/>
            <rFont val="Tahoma"/>
            <family val="2"/>
          </rPr>
          <t>The USEPA study on soiling costs is not directly transferable to other countries and the dose-respons factor is probably not linear, adding an extra uncertainty to where on the dose-respons curve we are.</t>
        </r>
      </text>
    </comment>
    <comment ref="H28" authorId="0" shapeId="0" xr:uid="{5E88237A-6C15-43E7-BF58-C11617D2DEB4}">
      <text>
        <r>
          <rPr>
            <sz val="9"/>
            <color indexed="81"/>
            <rFont val="Tahoma"/>
            <family val="2"/>
          </rPr>
          <t xml:space="preserve">The global emission of TSP is 162 Tg/year. (Huang et al Env.Sci.Tech., DOI 10.1021/es503696k) </t>
        </r>
      </text>
    </comment>
    <comment ref="I28" authorId="0" shapeId="0" xr:uid="{C05275F4-9830-45DA-BD30-07386C2B36FE}">
      <text>
        <r>
          <rPr>
            <sz val="9"/>
            <color indexed="81"/>
            <rFont val="Tahoma"/>
            <family val="2"/>
          </rPr>
          <t xml:space="preserve">Huang et al gives an uncertainty of about 1.1, but they do not cover all sources, and there are significant local and regional differences.
</t>
        </r>
      </text>
    </comment>
    <comment ref="A31" authorId="0" shapeId="0" xr:uid="{07DDDB6E-EF86-4619-BA58-5945DF634009}">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A32" authorId="0" shapeId="0" xr:uid="{698C2A45-4DD8-460B-9D59-F71B774F3D74}">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E32" authorId="0" shapeId="0" xr:uid="{42ADCC6E-74CA-4BAF-8336-FF6397E3D60C}">
      <text>
        <r>
          <rPr>
            <sz val="9"/>
            <color indexed="81"/>
            <rFont val="Tahoma"/>
            <family val="2"/>
          </rPr>
          <t>From direct inhalation and ingestion after deposition</t>
        </r>
      </text>
    </comment>
    <comment ref="F32" authorId="0" shapeId="0" xr:uid="{00000000-0006-0000-0800-00006F000000}">
      <text>
        <r>
          <rPr>
            <sz val="9"/>
            <color indexed="81"/>
            <rFont val="Tahoma"/>
            <family val="2"/>
          </rPr>
          <t>The excess lifetime risk level is one per million inhabitants as assessed by different organizations at a concentration of 0.2–0.9 ng/m³, the WHO assessment being 0.7 ng/m³. https://www.airclim.org/acidnews/arsenic-air-cancer-risks-and-background-levels. Arsenic concenration in ambient air at various regions has been assessed by Zhang et al. ( L. Zhang, Y. Gao, S. Wu, S. Zhang, K.R. Smith, X. Yao, &amp; H. Gao, Global impact of atmospheric arsenic on health risk: 2005 to 2015, Proc. Natl. Acad. Sci. U.S.A. 117 (25) 13975-13982, https://doi.org/10.1073/pnas.2002580117 (2020)). From their results we have estimated a population weighted average concentration of 3 ng/m3, indicating 3/0.7*8200/70 = 502 cases per year
The mortality for lung cancer in the is  83%. (National Cancer Institute, http://seer.cancer.gov). The marginal  reduction of life expectancy is estimated to 5.8 years based on WHO estimates of global YLL/years for different age groups and an average life expectancy of 70 years. This indicates a total impact of 502*0.83*5.8 = 2417 YLL per year.
An alternative way of estimating YLL/year is to use the result for Europe assessed by ESPREME  https://en.opasnet.org/index.php?title=Integrated_assessment_of_heavy_metal_releases_in_Europe&amp;oldid=33979, where YLL for all cancers (skin, lung and bladder) is estimated to 37, and transform these figure to global conditions (population and concentrations) according to Zang et al. by interpreting Zangs global maps. In such a case there is a 5 ng/m3 in China and India with 2 billion inhabitants, 1 ng/m3 for another 2 billion persons and european conditions (0.2 ng/m3) for the reaining 4.2 billions. A total of 2600 YLL is then obtained.</t>
        </r>
      </text>
    </comment>
    <comment ref="G32" authorId="0" shapeId="0" xr:uid="{F7E5173A-875F-4943-8415-6B80398FDEE6}">
      <text>
        <r>
          <rPr>
            <sz val="9"/>
            <color indexed="81"/>
            <rFont val="Tahoma"/>
            <family val="2"/>
          </rPr>
          <t>Uncertainty in risk and uncertainty in exposure. 
See text on impact extension</t>
        </r>
      </text>
    </comment>
    <comment ref="H32" authorId="0" shapeId="0" xr:uid="{A018E956-2894-4D16-AB56-1B33639B6355}">
      <text>
        <r>
          <rPr>
            <sz val="9"/>
            <color indexed="81"/>
            <rFont val="Tahoma"/>
            <family val="2"/>
          </rPr>
          <t>Anthropogenic emissions to the atmosphere (17–38 × 10 9 g As/ yr) are double the natural background sources (10–25 × 10 9 g As/yr), largely as a result of the smelting of Cu and other non-ferrous ores.
(Schlesinger et al., The Global Biogeochemical Cycle of Arsenic, DOI 10.1029/2022GB007515). Total antropogenic and natural emissions are therefore set to 4.4E+07 kg.</t>
        </r>
      </text>
    </comment>
    <comment ref="I32" authorId="0" shapeId="0" xr:uid="{B4111DD5-16F2-4BFA-A0B0-F4FF19BDB430}">
      <text>
        <r>
          <rPr>
            <sz val="9"/>
            <color indexed="81"/>
            <rFont val="Tahoma"/>
            <family val="2"/>
          </rPr>
          <t>See text on contribution</t>
        </r>
      </text>
    </comment>
    <comment ref="A33" authorId="0" shapeId="0" xr:uid="{A86924BF-6AB6-4929-BE52-C73A9204A297}">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F33" authorId="0" shapeId="0" xr:uid="{00000000-0006-0000-0800-000070000000}">
      <text>
        <r>
          <rPr>
            <sz val="9"/>
            <color indexed="81"/>
            <rFont val="Tahoma"/>
            <family val="2"/>
          </rPr>
          <t>YLL  from cardivascular deseases caused by As for Europe is assessed by ESPREME  and dapted to global conditions by using concentrations ad population data from Zhang et al. (L. Zhang, Y. Gao, S. Wu, S. Zhang, K.R. Smith, X. Yao, &amp; H. Gao, Global impact of atmospheric arsenic on health risk: 2005 to 2015, Proc. Natl. Acad. Sci. U.S.A. 117 (25) 13975-13982, https://doi.org/10.1073/pnas.2002580117 (2020)) https://en.opasnet.org/index.php?title=Integrated_assessment_of_heavy_metal_releases_in_Europe&amp;oldid=33979 
YLL is estimated to 25.6 by ESPREME. The risk is assumed to be linear with respect to concentrration and population exposed.  From Zhan et al. we find that the concentration isis a 5 ng/m3 in China and India with 2 billion inhabitants, 1 ng/m3 for another 2 billion persons and european conditions prevail (0.2 ng/m3) for the remaining 4.2 billions. A total of 1800 YLL is then obtained.</t>
        </r>
      </text>
    </comment>
    <comment ref="G33" authorId="0" shapeId="0" xr:uid="{DF19F939-D57D-4F4F-A8F6-1A649F9A064F}">
      <text>
        <r>
          <rPr>
            <sz val="9"/>
            <color indexed="81"/>
            <rFont val="Tahoma"/>
            <family val="2"/>
          </rPr>
          <t xml:space="preserve">Uncertainty in risk and uncertainty in exposure. 
</t>
        </r>
      </text>
    </comment>
    <comment ref="H33" authorId="0" shapeId="0" xr:uid="{F6D75A02-A38B-4BE3-B8B3-2011B7E80D63}">
      <text>
        <r>
          <rPr>
            <sz val="9"/>
            <color indexed="81"/>
            <rFont val="Tahoma"/>
            <family val="2"/>
          </rPr>
          <t>Anthropogenic emissions to the atmosphere (17–38 × 10 9 g As/ yr) are double the natural background sources (10–25 × 10 9 g As/yr), largely as a result of the smelting of Cu and other non-ferrous ores.
(Schlesinger et al., The Global Biogeochemical Cycle of Arsenic, DOI 10.1029/2022GB007515). Total antropogenic and natural emissions are therefore set to 4.4E+07 kg.</t>
        </r>
      </text>
    </comment>
    <comment ref="I33" authorId="0" shapeId="0" xr:uid="{7ED3208E-7D83-48E3-80D6-B2D2FCC4BF5F}">
      <text>
        <r>
          <rPr>
            <sz val="9"/>
            <color indexed="81"/>
            <rFont val="Tahoma"/>
            <family val="2"/>
          </rPr>
          <t>See text on contribution</t>
        </r>
      </text>
    </comment>
    <comment ref="A34" authorId="0" shapeId="0" xr:uid="{DF3A6176-6564-43F6-98FA-2394A7B0CB3F}">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F34" authorId="0" shapeId="0" xr:uid="{00000000-0006-0000-0800-000071000000}">
      <text>
        <r>
          <rPr>
            <sz val="9"/>
            <color indexed="81"/>
            <rFont val="Tahoma"/>
            <family val="2"/>
          </rPr>
          <t>YLD  from cancer (skin, lung And bladder) deseases caused by As for Europe is assessed by ESPREME  and dapted to global conditions by using concentrations ad population data from Zhang et al. (L. Zhang, Y. Gao, S. Wu, S. Zhang, K.R. Smith, X. Yao, &amp; H. Gao, Global impact of atmospheric arsenic on health risk: 2005 to 2015, Proc. Natl. Acad. Sci. U.S.A. 117 (25) 13975-13982, https://doi.org/10.1073/pnas.2002580117 (2020)) https://en.opasnet.org/index.php?title=Integrated_assessment_of_heavy_metal_releases_in_Europe&amp;oldid=33979 
YLD is estimated to 1.36 by ESPREME. The risk is assumed to be linear with respect to concentrration and population exposed.  From Zhan et al. we find that the concentration isis a 5 ng/m3 in China and India with 2 billion inhabitants, 1 ng/m3 for another 2 billion persons and european conditions prevail (0.2 ng/m3) for the remaining 4.2 billions. A total of 95.4 YLL is then obtained.</t>
        </r>
      </text>
    </comment>
    <comment ref="G34" authorId="0" shapeId="0" xr:uid="{F167B564-A9FC-4F6A-A0F1-F303BB0782AF}">
      <text>
        <r>
          <rPr>
            <sz val="9"/>
            <color indexed="81"/>
            <rFont val="Tahoma"/>
            <family val="2"/>
          </rPr>
          <t xml:space="preserve">Uncertainty in risk and uncertainty in exposure. 
</t>
        </r>
      </text>
    </comment>
    <comment ref="H34" authorId="0" shapeId="0" xr:uid="{BB575D71-03AA-42CB-9F48-6D6AE4587238}">
      <text>
        <r>
          <rPr>
            <sz val="9"/>
            <color indexed="81"/>
            <rFont val="Tahoma"/>
            <family val="2"/>
          </rPr>
          <t>Anthropogenic emissions to the atmosphere (17–38 × 10 9 g As/ yr) are double the natural background sources (10–25 × 10 9 g As/yr), largely as a result of the smelting of Cu and other non-ferrous ores.
(Schlesinger et al., The Global Biogeochemical Cycle of Arsenic, DOI 10.1029/2022GB007515). Total antropogenic and natural emissions are therefore set to 4.4E+07 kg.</t>
        </r>
      </text>
    </comment>
    <comment ref="I34" authorId="0" shapeId="0" xr:uid="{0410498F-89C6-47E5-B0B3-DB9A45453F65}">
      <text>
        <r>
          <rPr>
            <sz val="9"/>
            <color indexed="81"/>
            <rFont val="Tahoma"/>
            <family val="2"/>
          </rPr>
          <t>See text on contribution</t>
        </r>
      </text>
    </comment>
    <comment ref="A35" authorId="0" shapeId="0" xr:uid="{4E2895E6-44F2-4D1E-9EB3-47E503220092}">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F35" authorId="0" shapeId="0" xr:uid="{AE99D581-CC65-4935-8203-A57334CB9575}">
      <text>
        <r>
          <rPr>
            <sz val="9"/>
            <color indexed="81"/>
            <rFont val="Tahoma"/>
            <family val="2"/>
          </rPr>
          <t xml:space="preserve">As and many other heavy metals are toxic to soil microrganisms and slow down the mineralization process. In the long run the net effect will be close to zero, but if shorter time perspectives are chosen the default settings used here may need to be changed.
</t>
        </r>
      </text>
    </comment>
    <comment ref="A36" authorId="0" shapeId="0" xr:uid="{9CFEC4C1-7F9C-4EF7-8001-69DE739C0F75}">
      <text>
        <r>
          <rPr>
            <sz val="9"/>
            <color indexed="81"/>
            <rFont val="Tahoma"/>
            <family val="2"/>
          </rPr>
          <t>Emission of As anywhere in the world 2025. Smelters, and other high temperature processes are primary sources of As. This means that As is mainly part of condensation aerosols, i.e. PM2.5. The risk of As is estimated from work environment data, which are estrapolated to low concentrations assuming there is no thresholds. The chronic PM influence at low concentrations is not detected in work environment health studies.</t>
        </r>
      </text>
    </comment>
    <comment ref="A38" authorId="0" shapeId="0" xr:uid="{A49C0309-4E63-4417-AF73-3C85D4E10776}">
      <text>
        <r>
          <rPr>
            <sz val="9"/>
            <color indexed="81"/>
            <rFont val="Tahoma"/>
            <family val="2"/>
          </rPr>
          <t xml:space="preserve">Emission of Cd anywhere in the world 2025. Smelters, and other high temperature processes are primary sources of Cd. This means that Cd is mainly part of condensation aerosols, i.e. PM2.5 </t>
        </r>
      </text>
    </comment>
    <comment ref="A39" authorId="0" shapeId="0" xr:uid="{1DA688F0-FD2A-48EB-A986-CBAAD33062B4}">
      <text>
        <r>
          <rPr>
            <sz val="9"/>
            <color indexed="81"/>
            <rFont val="Tahoma"/>
            <family val="2"/>
          </rPr>
          <t xml:space="preserve">Emission of Cd anywhere in the world 2025. Smelters, and other high temperature processes are primary sources of Cd. This means that Cd is mainly part of condensation aerosols, i.e. PM2.5 </t>
        </r>
      </text>
    </comment>
    <comment ref="F39" authorId="0" shapeId="0" xr:uid="{00000000-0006-0000-0800-000072000000}">
      <text>
        <r>
          <rPr>
            <sz val="9"/>
            <color indexed="81"/>
            <rFont val="Tahoma"/>
            <family val="2"/>
          </rPr>
          <t>USEPA estimates the lifetime risk for cancer to be 1.8E-3 /</t>
        </r>
        <r>
          <rPr>
            <sz val="9"/>
            <color indexed="81"/>
            <rFont val="Albertus MT"/>
            <family val="1"/>
          </rPr>
          <t>μ</t>
        </r>
        <r>
          <rPr>
            <sz val="9"/>
            <color indexed="81"/>
            <rFont val="Tahoma"/>
            <family val="2"/>
          </rPr>
          <t>g/m3 of Cd in air (2012) The mortality for all sorts of cancer in the US was 34 % 2011. (National Cancer Institute, http://seer.cancer.gov).  The average reduction of life expectancy is estimated to 24 years. The global average life expectancy is 70 years.
The fate of an Cd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and the global average PM2.5 concentration then to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Cd emitted to air will result in a concentration 31.7*0.52/78*1E-9 = 2.11E-10 μg/m3 and an impact of 1.8E-3*0.34*24*2.11E-10/70*8.2E9 = 3.63E-4 personyears per year.
.</t>
        </r>
      </text>
    </comment>
    <comment ref="G39" authorId="0" shapeId="0" xr:uid="{952268BB-EF59-49C3-ACB2-93D56B5BE51F}">
      <text>
        <r>
          <rPr>
            <sz val="9"/>
            <color indexed="81"/>
            <rFont val="Tahoma"/>
            <family val="2"/>
          </rPr>
          <t xml:space="preserve">Data on exosure is uncertain. Few measurements have been made and ingestion from deposited particles is not included
</t>
        </r>
      </text>
    </comment>
    <comment ref="A40" authorId="0" shapeId="0" xr:uid="{CCEDDAE2-7901-46B6-932A-CBA9DC0F2912}">
      <text>
        <r>
          <rPr>
            <sz val="9"/>
            <color indexed="81"/>
            <rFont val="Tahoma"/>
            <family val="2"/>
          </rPr>
          <t xml:space="preserve">Emission of Cd anywhere in the world 2025. Smelters, and other high temperature processes are primary sources of Cd. This means that Cd is mainly part of condensation aerosols, i.e. PM2.5 </t>
        </r>
      </text>
    </comment>
    <comment ref="F40" authorId="0" shapeId="0" xr:uid="{A04232E1-5956-4095-A9FC-F66E384796D2}">
      <text>
        <r>
          <rPr>
            <sz val="9"/>
            <color indexed="81"/>
            <rFont val="Tahoma"/>
            <family val="2"/>
          </rPr>
          <t>USEPA estimates the lifetime risk for cancer to be 1.8E-3 /</t>
        </r>
        <r>
          <rPr>
            <sz val="9"/>
            <color indexed="81"/>
            <rFont val="Albertus MT"/>
            <family val="1"/>
          </rPr>
          <t>μ</t>
        </r>
        <r>
          <rPr>
            <sz val="9"/>
            <color indexed="81"/>
            <rFont val="Tahoma"/>
            <family val="2"/>
          </rPr>
          <t>g/m3 of Cd in air (2012) The average morbidity per case is estimated to 5 years.
The fate of an Cd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and the global average PM2.5 concentration then to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Cd emitted to air will result in a concentration 31.7*0.52/78*1E-9 = 2.11E-10 μg/m3 and an impact of 1.8E-3*1*5*2.11E-10/70*8.2E9 = 2.22E-4 personyears per year.
.</t>
        </r>
      </text>
    </comment>
    <comment ref="G40" authorId="0" shapeId="0" xr:uid="{DCD68E1E-AA60-4C9A-B757-B129395B430E}">
      <text>
        <r>
          <rPr>
            <sz val="9"/>
            <color indexed="81"/>
            <rFont val="Tahoma"/>
            <family val="2"/>
          </rPr>
          <t xml:space="preserve">Data on exosure is uncertain. Few measurements have been made and ingestion from deposited particles is not included
</t>
        </r>
      </text>
    </comment>
    <comment ref="A41" authorId="0" shapeId="0" xr:uid="{612194C6-39C6-4DA5-8C3C-F0B744525CAB}">
      <text>
        <r>
          <rPr>
            <sz val="9"/>
            <color indexed="81"/>
            <rFont val="Tahoma"/>
            <family val="2"/>
          </rPr>
          <t xml:space="preserve">Emission of Cd anywhere in the world 2025. Smelters, and other high temperature processes are primary sources of Cd. This means that Cd is mainly part of condensation aerosols, i.e. PM2.5 </t>
        </r>
      </text>
    </comment>
    <comment ref="F41" authorId="0" shapeId="0" xr:uid="{C49D43DF-5885-4B60-9F21-06A1F48CC817}">
      <text>
        <r>
          <rPr>
            <sz val="9"/>
            <color indexed="81"/>
            <rFont val="Tahoma"/>
            <family val="2"/>
          </rPr>
          <t xml:space="preserve">Cd and many other heavy metals are toxic to soil microrganisms and slow down the mineralization process. In the long run the net effect will be close to zero, but if shorter time perspectives are chosen the default settings used here may need to be changed.
</t>
        </r>
      </text>
    </comment>
    <comment ref="A42" authorId="0" shapeId="0" xr:uid="{CE4AFD70-45D5-436E-B108-1DF108F90B0D}">
      <text>
        <r>
          <rPr>
            <sz val="9"/>
            <color indexed="81"/>
            <rFont val="Tahoma"/>
            <family val="2"/>
          </rPr>
          <t xml:space="preserve">Emission of Cd anywhere in the world 2025. Smelters, and other high temperature processes are primary sources of Cd. This means that Cd is mainly part of condensation aerosols, i.e. PM2.5 </t>
        </r>
      </text>
    </comment>
    <comment ref="A44" authorId="0" shapeId="0" xr:uid="{204A08A3-E833-4066-B461-716533A62577}">
      <text>
        <r>
          <rPr>
            <sz val="9"/>
            <color indexed="81"/>
            <rFont val="Tahoma"/>
            <family val="2"/>
          </rPr>
          <t xml:space="preserve">Emission of Cr anywhere in the world 2025. High temperature processes are primary sources of Cr. This means that Cr is mainly part of condensation aerosols, i.e. PM2.5. The impacts are caused by hexavalent Cr, but it is unclear how emissions and atmospheric processes influence the ratio between trivalent and hexavalent Cr. For simplification an average ratio based on measurement in ambient air are used. </t>
        </r>
      </text>
    </comment>
    <comment ref="A45" authorId="0" shapeId="0" xr:uid="{12B8F271-E06E-4D3C-A579-B95F9C00FAA9}">
      <text>
        <r>
          <rPr>
            <sz val="9"/>
            <color indexed="81"/>
            <rFont val="Tahoma"/>
            <family val="2"/>
          </rPr>
          <t xml:space="preserve">Emission of Cr anywhere in the world 2025. High temperature processes are primary sources of Cr. This means that Cr is mainly part of condensation aerosols, i.e. PM2.5. The impacts are caused by hexavalent Cr, but it is unclear how emissions and atmospheric processes influence the ratio between trivalent and hexavalent Cr. For simplification an average ratio based on measurement in ambient air are used. </t>
        </r>
      </text>
    </comment>
    <comment ref="F45" authorId="0" shapeId="0" xr:uid="{00000000-0006-0000-0800-000074000000}">
      <text>
        <r>
          <rPr>
            <sz val="9"/>
            <color indexed="81"/>
            <rFont val="Tahoma"/>
            <family val="2"/>
          </rPr>
          <t>The cancer risk of CrVI+ has been estimated by WHO (INTERNATIONAL PROGRAMME ON CHEMICAL SAFETY, Concise International Chemical Assessment Document 78, 2013) to be in the order of 4·10-2 /</t>
        </r>
        <r>
          <rPr>
            <sz val="9"/>
            <color indexed="81"/>
            <rFont val="Albertus MT"/>
            <family val="1"/>
          </rPr>
          <t>μ</t>
        </r>
        <r>
          <rPr>
            <sz val="9"/>
            <color indexed="81"/>
            <rFont val="Tahoma"/>
            <family val="2"/>
          </rPr>
          <t>g/m3 expressed as a lifetime unit risk. The hexavalent part of Cr in ambient air is not known in a global context but was estimated by Scott et al (Scott, P.K., Finley, B.L., Harris, M.A. and Rabbe, D.R., (1997)  "Background Air Concentrations of Cr(VI) in Hudson County, New Yersey: Implications for setting Health based Standards for Cr(VI) in Soil", J. Air &amp; Waste Manage. Assoc., Vol 47, p.592-600) in New Jersey as an average to 26%.
The mortality for lung cancer is  83%. (National Cancer Institute, http://seer.cancer.gov). The marginal  reduction of life expectancy is estimated to 5.8 years based on WHO estimates of global YOLL/years for age groups below 70 years and an average life expectancy of 70 years. 
The fate of an Cr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and the global average PM2.5 concentration then to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Cr emitted to air will result in a concentration 31.7*0.52/78*1E-9 = 2.11E-10 μg/m3 Cr and 0.26*2.11E-10= 5.49E-9 ug/m3 of hexavalent Cr and an impact of 1.8E-3*0.83*24*5.49E-09/70*8.2E9 = 9.02E-3 personyears per year.</t>
        </r>
      </text>
    </comment>
    <comment ref="G45" authorId="0" shapeId="0" xr:uid="{00C3A13A-AC5B-4BCE-B059-08006FAA0C86}">
      <text>
        <r>
          <rPr>
            <sz val="9"/>
            <color indexed="81"/>
            <rFont val="Tahoma"/>
            <family val="2"/>
          </rPr>
          <t xml:space="preserve">Data on exosure is uncertain. Few measurements have been made and ingestion from deposited particles is not included
</t>
        </r>
      </text>
    </comment>
    <comment ref="A46" authorId="0" shapeId="0" xr:uid="{72FD2DCE-A2A5-45B8-98EF-EF240B0A01DF}">
      <text>
        <r>
          <rPr>
            <sz val="9"/>
            <color indexed="81"/>
            <rFont val="Tahoma"/>
            <family val="2"/>
          </rPr>
          <t xml:space="preserve">Emission of Cr anywhere in the world 2025. High temperature processes are primary sources of Cr. This means that Cr is mainly part of condensation aerosols, i.e. PM2.5. The impacts are caused by hexavalent Cr, but it is unclear how emissions and atmospheric processes influence the ratio between trivalent and hexavalent Cr. For simplification an average ratio based on measurement in ambient air are used. </t>
        </r>
      </text>
    </comment>
    <comment ref="F46" authorId="0" shapeId="0" xr:uid="{00000000-0006-0000-0800-000075000000}">
      <text>
        <r>
          <rPr>
            <sz val="9"/>
            <color indexed="81"/>
            <rFont val="Tahoma"/>
            <family val="2"/>
          </rPr>
          <t>The cancer risk of CrVI+ has been estimated by EPA to be in the order of 1.2 10-2 /</t>
        </r>
        <r>
          <rPr>
            <sz val="9"/>
            <color indexed="81"/>
            <rFont val="Albertus MT"/>
            <family val="1"/>
          </rPr>
          <t>μ</t>
        </r>
        <r>
          <rPr>
            <sz val="9"/>
            <color indexed="81"/>
            <rFont val="Tahoma"/>
            <family val="2"/>
          </rPr>
          <t>g/m3 expressed as a lifetime unit risk. The hexavalent part of this is not known in a global contexts but was estimated by Scott et al (Scott, P.K., Finley, B.L., Harris, M.A. and Rabbe, D.R., (1997)  "Background Air Concentrations of Cr(VI) in Hudson County, New Yersey: Implications for setting Health based Standards for Cr(VI) in Soil", J. Air &amp; Waste Manage. Assoc., Vol 47, p.592-600) in New Jersey as an average to 26%. Similar ratios are found in other studies. (Amouei Torkmahalleh et al 10.1080/10962247.2013.823894) 
The average disability per case is estimated to 5 years. 
The fate of an Cr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The global average PM2.5 concentration is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Cr emitted to air will result in a concentration 31.7*0.52/78*1E-9 = 2.11E-10 μg/m3 Cr and 0.26*2.11E-10= 5.49E-9 ug/m3 of hexavalent Cr and an impact of 1.8E-3*5.49E-09*5/70*8.2E9 = 5.79E-3 personyears per year.</t>
        </r>
      </text>
    </comment>
    <comment ref="G46" authorId="0" shapeId="0" xr:uid="{1EA5F7E1-48BD-43F8-BEFF-C07BBE3730CC}">
      <text>
        <r>
          <rPr>
            <sz val="9"/>
            <color indexed="81"/>
            <rFont val="Tahoma"/>
            <family val="2"/>
          </rPr>
          <t xml:space="preserve">Data on exosure is uncertain. Few measurements have been made and ingestion from deposited particles is not included
</t>
        </r>
      </text>
    </comment>
    <comment ref="A47" authorId="0" shapeId="0" xr:uid="{BDFCE4C0-D14E-4FB5-BF88-DBA94C0ABB91}">
      <text>
        <r>
          <rPr>
            <sz val="9"/>
            <color indexed="81"/>
            <rFont val="Tahoma"/>
            <family val="2"/>
          </rPr>
          <t xml:space="preserve">Emission of Cr anywhere in the world 2025. High temperature processes are primary sources of Cr. This means that Cr is mainly part of condensation aerosols, i.e. PM2.5. The impacts are caused by hexavalent Cr, but it is unclear how emissions and atmospheric processes influence the ratio between trivalent and hexavalent Cr. For simplification an average ratio based on measurement in ambient air are used. </t>
        </r>
      </text>
    </comment>
    <comment ref="A49" authorId="0" shapeId="0" xr:uid="{8994B379-E273-4217-B503-148FEF23AE82}">
      <text>
        <r>
          <rPr>
            <sz val="9"/>
            <color indexed="81"/>
            <rFont val="Tahoma"/>
            <family val="2"/>
          </rPr>
          <t xml:space="preserve">Emission of Cu anywhere in the world 2025. Smelters, and other high temperature processes are primary sources of Cu. This means that Cu is mainly part of condensation aerosols, i.e. PM2.5. </t>
        </r>
      </text>
    </comment>
    <comment ref="A50" authorId="0" shapeId="0" xr:uid="{32885DB2-2D6E-46A6-9F45-49569059D48E}">
      <text>
        <r>
          <rPr>
            <sz val="9"/>
            <color indexed="81"/>
            <rFont val="Tahoma"/>
            <family val="2"/>
          </rPr>
          <t xml:space="preserve">Emission of Cu anywhere in the world 2025. Smelters, and other high temperature processes are primary sources of Cu. This means that Cu is mainly part of condensation aerosols, i.e. PM2.5. </t>
        </r>
      </text>
    </comment>
    <comment ref="F50" authorId="0" shapeId="0" xr:uid="{00000000-0006-0000-0800-000077000000}">
      <text>
        <r>
          <rPr>
            <sz val="9"/>
            <color indexed="81"/>
            <rFont val="Tahoma"/>
            <family val="2"/>
          </rPr>
          <t>The rate of soil mineralisation may be increased or decreased at increased Cu concentration, but in the long run a new steady state is formed, withthinner or thicker soil layers and equal release nutrients.</t>
        </r>
      </text>
    </comment>
    <comment ref="A53" authorId="0" shapeId="0" xr:uid="{71DF5518-92FB-4D2F-9F78-02E103BEBD7A}">
      <text>
        <r>
          <rPr>
            <sz val="9"/>
            <color indexed="81"/>
            <rFont val="Tahoma"/>
            <family val="2"/>
          </rPr>
          <t xml:space="preserve">Emission of Ni anywhere in the world 2025. Smelters, and other high temperature processes are primary sources of Ni. This means that Ni is mainly part of condensation aerosols, i.e. PM2.5. </t>
        </r>
      </text>
    </comment>
    <comment ref="A54" authorId="0" shapeId="0" xr:uid="{DCED7E49-6E07-4756-AF1E-C4E7F24A8083}">
      <text>
        <r>
          <rPr>
            <sz val="9"/>
            <color indexed="81"/>
            <rFont val="Tahoma"/>
            <family val="2"/>
          </rPr>
          <t xml:space="preserve">Emission of Ni anywhere in the world 2025. Smelters, and other high temperature processes are primary sources of Ni. This means that Ni is mainly part of condensation aerosols, i.e. PM2.5. </t>
        </r>
      </text>
    </comment>
    <comment ref="E54" authorId="0" shapeId="0" xr:uid="{B20482A4-F12E-4DAE-B1D7-212C3AAD4374}">
      <text>
        <r>
          <rPr>
            <sz val="9"/>
            <color indexed="81"/>
            <rFont val="Tahoma"/>
            <family val="2"/>
          </rPr>
          <t xml:space="preserve">lung cancer
</t>
        </r>
      </text>
    </comment>
    <comment ref="F54" authorId="0" shapeId="0" xr:uid="{00000000-0006-0000-0800-000078000000}">
      <text>
        <r>
          <rPr>
            <sz val="9"/>
            <color indexed="81"/>
            <rFont val="Tahoma"/>
            <family val="2"/>
          </rPr>
          <t>The lifetime risk for cancer to be 3.8x10-4/ugm-3 of Ni in air (ESPREME 2008) The mortality for lung cancer is  83%. (National Cancer Institute, http://seer.cancer.gov). The marginal  reduction of life expectancy is estimated to 5.8 years based on WHO estimates of global YOLL/years for different age groups and an average life expectancy of 70 years. 
The fate of an Ni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and the global average PM2.5 concentration then to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Ni emitted to air will result in a concentration 31.7*0.52/78*1E-9 = 2.11E-10 μg/m3 Ni  and an impact of 3.8E-4*0.83*24*2.11E-10/70*8.2E9 = 1.87E-4 personyears per year.</t>
        </r>
      </text>
    </comment>
    <comment ref="G54" authorId="0" shapeId="0" xr:uid="{5FD310B5-430A-4539-BE8D-AC9E2F1C3C79}">
      <text>
        <r>
          <rPr>
            <sz val="9"/>
            <color indexed="81"/>
            <rFont val="Tahoma"/>
            <family val="2"/>
          </rPr>
          <t xml:space="preserve">Data on exosure is uncertain. Few measurements have been made and ingestion from deposited particles is not included
</t>
        </r>
      </text>
    </comment>
    <comment ref="A55" authorId="0" shapeId="0" xr:uid="{560E7A4F-1FEF-4CD0-8985-EDB36576CEB8}">
      <text>
        <r>
          <rPr>
            <sz val="9"/>
            <color indexed="81"/>
            <rFont val="Tahoma"/>
            <family val="2"/>
          </rPr>
          <t xml:space="preserve">Emission of Ni anywhere in the world 2025. Smelters, and other high temperature processes are primary sources of Ni. This means that Ni is mainly part of condensation aerosols, i.e. PM2.5. </t>
        </r>
      </text>
    </comment>
    <comment ref="E55" authorId="0" shapeId="0" xr:uid="{AE609221-D947-4D7F-86EF-5902F5F02B6A}">
      <text>
        <r>
          <rPr>
            <sz val="9"/>
            <color indexed="81"/>
            <rFont val="Tahoma"/>
            <family val="2"/>
          </rPr>
          <t xml:space="preserve">lung cancer
</t>
        </r>
      </text>
    </comment>
    <comment ref="F55" authorId="0" shapeId="0" xr:uid="{37E3981E-D01D-4B68-80E4-3DD3E505BD88}">
      <text>
        <r>
          <rPr>
            <sz val="9"/>
            <color indexed="81"/>
            <rFont val="Tahoma"/>
            <family val="2"/>
          </rPr>
          <t>The lifetime risk for cancer to be 3.8x10-4/ugm-3 of Ni in air (ESPREME 2008)  (National Cancer Institute, http://seer.cancer.gov). The average morbidity is assumed to be 5 years/ case and an average life expectancy of 70 years. 
The fate of an Ni particle is assumed to be the same as an average PM2.5 particle. Global primary emissions of PM2.5 is 78 Tg, of which antropogenic sources contributes with 40 Tg. (Huang et al 2014, Environ. Sci. Technol. 2014, 48, 13834−13843).  Primary emissions of PM2.5 account for about 52% of PM2.5 in ambient air. (Gugamsetty et al, Aerosol and Air Quality Research, 12: 476–491, 2012). and the global average PM2.5 concentration then to 31.7 μg/m3. (World Health Organization - Global Health Observatory (2024) – processed by Our World in Data. “Exposure to particulate matter air pollution” [dataset]. World Health Organization, “Global Health Observatory” [original data]. Retrieved March 17, 2025 from https://ourworldindata.org/grapher/pm25-air-pollution). This means that 1 kg of Ni emitted to air will result in a concentration 31.7*0.52/78*1E-9 = 2.11E-10 μg/m3 Ni  and an impact of 3.8E-4*5*2.11E-10/70*8.2E9 = 4.7E-5 personyears per year.</t>
        </r>
      </text>
    </comment>
    <comment ref="G55" authorId="0" shapeId="0" xr:uid="{56F5C567-43EA-4B62-95B5-74E465905DFB}">
      <text>
        <r>
          <rPr>
            <sz val="9"/>
            <color indexed="81"/>
            <rFont val="Tahoma"/>
            <family val="2"/>
          </rPr>
          <t xml:space="preserve">Data on exosure is uncertain. Few measurements have been made and ingestion from deposited particles is not included
</t>
        </r>
      </text>
    </comment>
    <comment ref="A56" authorId="0" shapeId="0" xr:uid="{61373BC2-2EF6-473C-9321-9175EC3E93CC}">
      <text>
        <r>
          <rPr>
            <sz val="9"/>
            <color indexed="81"/>
            <rFont val="Tahoma"/>
            <family val="2"/>
          </rPr>
          <t xml:space="preserve">Emission of Ni anywhere in the world 2025. Smelters, and other high temperature processes are primary sources of Ni. This means that Ni is mainly part of condensation aerosols, i.e. PM2.5. </t>
        </r>
      </text>
    </comment>
    <comment ref="F56" authorId="0" shapeId="0" xr:uid="{71D7FCEB-D028-4D8E-9276-48F4B2CC1570}">
      <text>
        <r>
          <rPr>
            <sz val="9"/>
            <color indexed="81"/>
            <rFont val="Tahoma"/>
            <family val="2"/>
          </rPr>
          <t xml:space="preserve">Ni and many other heavy metals are toxic to soil microrganisms and slow down the mineralization process. In the long run the net effect will be close to zero, but if shorter time perspectives are chosen the default settings used here may need to be changed.
</t>
        </r>
      </text>
    </comment>
    <comment ref="A59" authorId="0" shapeId="0" xr:uid="{1530C047-336A-4B6D-AF8A-77BC4EB26C4C}">
      <text>
        <r>
          <rPr>
            <sz val="9"/>
            <color indexed="81"/>
            <rFont val="Tahoma"/>
            <family val="2"/>
          </rPr>
          <t xml:space="preserve">Emission of Pb anywhere in the world 2025. Transportation, smelters and other high temperature processes are primary sources of Pb. This means that Pb is mainly part of condensation aerosols, i.e. PM2.5. </t>
        </r>
      </text>
    </comment>
    <comment ref="A60" authorId="0" shapeId="0" xr:uid="{07CC1EBA-9062-4387-B69A-5FD9BDD0B5CA}">
      <text>
        <r>
          <rPr>
            <sz val="9"/>
            <color indexed="81"/>
            <rFont val="Tahoma"/>
            <family val="2"/>
          </rPr>
          <t xml:space="preserve">Emission of Pb anywhere in the world 2025. Transportation, smelters and other high temperature processes are primary sources of Pb. This means that Pb is mainly part of condensation aerosols, i.e. PM2.5. </t>
        </r>
      </text>
    </comment>
    <comment ref="F60" authorId="0" shapeId="0" xr:uid="{46E24056-88B5-4F96-911E-4344C129E26C}">
      <text>
        <r>
          <rPr>
            <sz val="9"/>
            <color indexed="81"/>
            <rFont val="Tahoma"/>
            <family val="2"/>
          </rPr>
          <t>lead exposure caused 1.5 million deaths 2021 and 33 million DALYs https://www.who.int/news-room/fact-sheets/detail/lead-poisoning-and-health</t>
        </r>
        <r>
          <rPr>
            <sz val="9"/>
            <color indexed="81"/>
            <rFont val="Tahoma"/>
            <family val="2"/>
          </rPr>
          <t xml:space="preserve">
</t>
        </r>
      </text>
    </comment>
    <comment ref="G60" authorId="0" shapeId="0" xr:uid="{BEA0ED96-3352-45D2-9EEF-8A9FB343FD08}">
      <text>
        <r>
          <rPr>
            <sz val="9"/>
            <color indexed="81"/>
            <rFont val="Tahoma"/>
            <family val="2"/>
          </rPr>
          <t>Lack of exposure data in low and mid income countries, where the exposure is highest.</t>
        </r>
      </text>
    </comment>
    <comment ref="H60" authorId="0" shapeId="0" xr:uid="{B7C235F7-D260-4522-B91C-CFE669AE6104}">
      <text>
        <r>
          <rPr>
            <sz val="9"/>
            <color indexed="81"/>
            <rFont val="Tahoma"/>
            <family val="2"/>
          </rPr>
          <t>The global emissions of Pb to air was 1.10E8 kg.  (https://en.wikipedia.org/wiki/Lead_cycle citing Cullen, Jay T.; McAlister, Jason (2017). 2. Biogeochemistry of Lead. Its Release to the Environment and Chemical Speciation. Vol. 17. De Gruyter. doi:10.1515/9783110434330-002)
No new information has been found, despite likely large changes. The total emission to environment from the lead cycle is 3.56 million tonnes. Ingestion is seen as the number one exposure route and inhalation as the second.(https://www.who.int/news-room/fact-sheets/detail/lead-poisoning-and-health). It is assumed here that 20% of the exposure to humans come from air emissions.</t>
        </r>
      </text>
    </comment>
    <comment ref="I60" authorId="0" shapeId="0" xr:uid="{B4680832-9F9C-44BD-B9BA-AAA24D37BDCD}">
      <text>
        <r>
          <rPr>
            <sz val="9"/>
            <color indexed="81"/>
            <rFont val="Tahoma"/>
            <family val="2"/>
          </rPr>
          <t>Modern data is lacking
in low and median income countries, where the exposure is highest</t>
        </r>
      </text>
    </comment>
    <comment ref="A61" authorId="0" shapeId="0" xr:uid="{CA658892-4077-4013-A304-802F76B95854}">
      <text>
        <r>
          <rPr>
            <sz val="9"/>
            <color indexed="81"/>
            <rFont val="Tahoma"/>
            <family val="2"/>
          </rPr>
          <t xml:space="preserve">Emission of Pb anywhere in the world 2025. Transportation, smelters and other high temperature processes are primary sources of Pb. This means that Pb is mainly part of condensation aerosols, i.e. PM2.5. </t>
        </r>
      </text>
    </comment>
    <comment ref="F61" authorId="0" shapeId="0" xr:uid="{432C82B6-4C2C-4E1B-8241-9BD9B98B20CD}">
      <text>
        <r>
          <rPr>
            <sz val="9"/>
            <color indexed="81"/>
            <rFont val="Tahoma"/>
            <family val="2"/>
          </rPr>
          <t xml:space="preserve">632,719,797 children aged 0-14 years globally suffer from blood Pb levels above WHO recommendations (5ug/dl), which implies loss of &gt;1 IQ point.
(Ericson et al. (2021). Blood lead levels in low-income and middle-income countries: a systematic review. The Lancet Planetary Health.)
Assuming a lifetime of 70 years this means an impact of 6.33E8*70/14= 4.43E+9 personyears per year.
</t>
        </r>
      </text>
    </comment>
    <comment ref="G61" authorId="0" shapeId="0" xr:uid="{50252901-E46A-4985-8587-204A08E1EA1F}">
      <text>
        <r>
          <rPr>
            <sz val="9"/>
            <color indexed="81"/>
            <rFont val="Tahoma"/>
            <family val="2"/>
          </rPr>
          <t>The impact is not well defined</t>
        </r>
      </text>
    </comment>
    <comment ref="H61" authorId="0" shapeId="0" xr:uid="{00000000-0006-0000-0800-00007C000000}">
      <text>
        <r>
          <rPr>
            <sz val="9"/>
            <color indexed="81"/>
            <rFont val="Tahoma"/>
            <family val="2"/>
          </rPr>
          <t>The global emissions of Pb to air was 1.10E8 kg.  (https://en.wikipedia.org/wiki/Lead_cycle citing Cullen, Jay T.; McAlister, Jason (2017). 2. Biogeochemistry of Lead. Its Release to the Environment and Chemical Speciation. Vol. 17. De Gruyter. doi:10.1515/9783110434330-002)
No new information has been found, despite likely large changes. The total emission to environment from the lead cycle is 3.56 million tonnes. Ingestion is seen as the number one exposure route and inhalation as the second.(https://www.who.int/news-room/fact-sheets/detail/lead-poisoning-and-health). It is assumed here that 20% of the exposure to humans come from air emissions.</t>
        </r>
      </text>
    </comment>
    <comment ref="I61" authorId="0" shapeId="0" xr:uid="{60E5B1AC-813B-4EC4-A3C4-956E6974A219}">
      <text>
        <r>
          <rPr>
            <sz val="9"/>
            <color indexed="81"/>
            <rFont val="Tahoma"/>
            <family val="2"/>
          </rPr>
          <t>Modern data is lacking
in low and median income countries, where the exposure is highest</t>
        </r>
      </text>
    </comment>
    <comment ref="A62" authorId="0" shapeId="0" xr:uid="{EB0FABCC-B255-4D0F-A1CC-669777611BBB}">
      <text>
        <r>
          <rPr>
            <sz val="9"/>
            <color indexed="81"/>
            <rFont val="Tahoma"/>
            <family val="2"/>
          </rPr>
          <t xml:space="preserve">Emission of Pb anywhere in the world 2025. Transportation, smelters and other high temperature processes are primary sources of Pb. This means that Pb is mainly part of condensation aerosols, i.e. PM2.5. </t>
        </r>
      </text>
    </comment>
    <comment ref="F62" authorId="0" shapeId="0" xr:uid="{00000000-0006-0000-0800-00007D000000}">
      <text>
        <r>
          <rPr>
            <sz val="9"/>
            <color indexed="81"/>
            <rFont val="Tahoma"/>
            <family val="2"/>
          </rPr>
          <t>The rate of soil mineralisation is decreased at increased Pb concentration, but in the long run a new steady state is
formed, with thicker soil layer and  equal release of nutrients.</t>
        </r>
      </text>
    </comment>
    <comment ref="A65" authorId="0" shapeId="0" xr:uid="{26A95E54-3BD4-4F43-93F8-811EBD0624C1}">
      <text>
        <r>
          <rPr>
            <sz val="9"/>
            <color indexed="81"/>
            <rFont val="Tahoma"/>
            <family val="2"/>
          </rPr>
          <t>Emission of PAH anywhere in the world 2025. 
The number of PAH substances measured depends on the measurement method. Gas chromatography detects more substances than liquid chromatography. Benzo(a)pyrene is the most active substance for cancer risk.</t>
        </r>
      </text>
    </comment>
    <comment ref="A66" authorId="0" shapeId="0" xr:uid="{0DA5BAB9-C278-4E9E-9AD0-DF00E62D31B0}">
      <text>
        <r>
          <rPr>
            <sz val="9"/>
            <color indexed="81"/>
            <rFont val="Tahoma"/>
            <family val="2"/>
          </rPr>
          <t>Emission of PAH anywhere in the world 2025. 
The number of PAH substances measured depends on the measurement method. Gas chromatography detects more substances than liquid chromatography. Benzo(a)pyrene is the most active substance for cancer risk.</t>
        </r>
      </text>
    </comment>
    <comment ref="E66" authorId="0" shapeId="0" xr:uid="{ADBA4257-4B6F-4142-8D64-DB00893F6622}">
      <text>
        <r>
          <rPr>
            <sz val="9"/>
            <color indexed="81"/>
            <rFont val="Tahoma"/>
            <family val="2"/>
          </rPr>
          <t xml:space="preserve">lung cancer
</t>
        </r>
      </text>
    </comment>
    <comment ref="F66" authorId="0" shapeId="0" xr:uid="{00000000-0006-0000-0800-00007E000000}">
      <text>
        <r>
          <rPr>
            <sz val="9"/>
            <color indexed="81"/>
            <rFont val="Tahoma"/>
            <family val="2"/>
          </rPr>
          <t xml:space="preserve">Globally, incremental lifetime lung cancer risk (ILCR) induced by ambient PAH exposure is 3.1E−5. (Huizhong Shen, Shu Tao, Junfeng Liu, Ye Huang, Han Chen, Wei Li, Yanyan Zhang,   Yuanchen Chen, Shu Su, Nan Lin, Yinyin Xu,    Bengang Li, Xilong Wang &amp; Wenxin Liu 
Global lung cancer risk from PAH exposure highly depends on emission sources and individual susceptibility, Nature, Scientific Reports 4, Article Number: 6561 doi:10.1038/srep06561, Oct 2014)
</t>
        </r>
      </text>
    </comment>
    <comment ref="G66" authorId="0" shapeId="0" xr:uid="{C962F141-2ABB-4D12-B83C-D851DA03CE3C}">
      <text>
        <r>
          <rPr>
            <sz val="9"/>
            <color indexed="81"/>
            <rFont val="Tahoma"/>
            <family val="2"/>
          </rPr>
          <t xml:space="preserve">Uncertainty in exposure and susceptibility
</t>
        </r>
      </text>
    </comment>
    <comment ref="H66" authorId="0" shapeId="0" xr:uid="{00000000-0006-0000-0800-00007F000000}">
      <text>
        <r>
          <rPr>
            <sz val="9"/>
            <color indexed="81"/>
            <rFont val="Tahoma"/>
            <family val="2"/>
          </rPr>
          <t xml:space="preserve">Yanxu Zhang and Shu Tao, (global atmospheric emission inventory of polycyclic aromatic hydrocarbons (PAHs) for 2004, Atmospheric Environment Volume 43, Issue 4, February 2009, Pages 812–819) estimated the global PAH16 emission to 520 Gg/yr.
</t>
        </r>
      </text>
    </comment>
    <comment ref="I66" authorId="0" shapeId="0" xr:uid="{E7E359CD-65B9-4F25-A62C-67D7C8668CDC}">
      <text>
        <r>
          <rPr>
            <sz val="9"/>
            <color indexed="81"/>
            <rFont val="Tahoma"/>
            <family val="2"/>
          </rPr>
          <t xml:space="preserve">Uncertainty due to local variations and composition of PAHs
</t>
        </r>
      </text>
    </comment>
    <comment ref="A67" authorId="0" shapeId="0" xr:uid="{E128A08E-FB07-4051-B530-8DF228B55542}">
      <text>
        <r>
          <rPr>
            <sz val="9"/>
            <color indexed="81"/>
            <rFont val="Tahoma"/>
            <family val="2"/>
          </rPr>
          <t>Emission of PAH anywhere in the world 2025. 
The number of PAH substances measured depends on the measurement method. Gas chromatography detects more substances than liquid chromatography. Benzo(a)pyrene is the most active substance for cancer risk.</t>
        </r>
      </text>
    </comment>
    <comment ref="E67" authorId="0" shapeId="0" xr:uid="{23324F21-42CB-4A0B-A2ED-0D1FD305B85B}">
      <text>
        <r>
          <rPr>
            <sz val="9"/>
            <color indexed="81"/>
            <rFont val="Tahoma"/>
            <family val="2"/>
          </rPr>
          <t xml:space="preserve">lung cancer
</t>
        </r>
      </text>
    </comment>
    <comment ref="F67" authorId="0" shapeId="0" xr:uid="{00000000-0006-0000-0800-000080000000}">
      <text>
        <r>
          <rPr>
            <sz val="9"/>
            <color indexed="81"/>
            <rFont val="Tahoma"/>
            <family val="2"/>
          </rPr>
          <t>Globally, incremental lifetime lung cancer risk (ILCR) induced by ambient PAH exposure is 3.1E−5. (Huizhong Shen, Shu Tao, Junfeng Liu, Ye Huang, Han Chen, Wei Li, Yanyan Zhang,   Yuanchen Chen, Shu Su, Nan Lin, Yinyin Xu,    Bengang Li, Xilong Wang &amp; Wenxin Liu 
Global lung cancer risk from PAH exposure highly depends on emission sources and individual susceptibility, Nature, Scientific Reports 4, Article Number: 6561 doi:10.1038/srep06561, Oct 2014)</t>
        </r>
      </text>
    </comment>
    <comment ref="G67" authorId="0" shapeId="0" xr:uid="{D10DD879-4E68-43CB-A7DF-045477C917D5}">
      <text>
        <r>
          <rPr>
            <sz val="9"/>
            <color indexed="81"/>
            <rFont val="Tahoma"/>
            <family val="2"/>
          </rPr>
          <t xml:space="preserve">Uncertainty in exposure and susceptibility
</t>
        </r>
      </text>
    </comment>
    <comment ref="H67" authorId="0" shapeId="0" xr:uid="{00000000-0006-0000-0800-000081000000}">
      <text>
        <r>
          <rPr>
            <sz val="9"/>
            <color indexed="81"/>
            <rFont val="Tahoma"/>
            <family val="2"/>
          </rPr>
          <t xml:space="preserve">Yanxu Zhang and Shu Tao, (global atmospheric emission inventory of polycyclic aromatic hydrocarbons (PAHs) for 2004, Atmospheric Environment Volume 43, Issue 4, February 2009, Pages 812–819) estimated the global PAH16 emission to 520 Gg/yr.
</t>
        </r>
      </text>
    </comment>
    <comment ref="I67" authorId="0" shapeId="0" xr:uid="{C08E80DA-B78C-457C-92BE-531F42712B81}">
      <text>
        <r>
          <rPr>
            <sz val="9"/>
            <color indexed="81"/>
            <rFont val="Tahoma"/>
            <family val="2"/>
          </rPr>
          <t xml:space="preserve">Uncertainty due to local variations and composition of PAHs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A1" authorId="0" shapeId="0" xr:uid="{E6C5CC17-C3EC-4F21-8CAB-F1046396161E}">
      <text>
        <r>
          <rPr>
            <sz val="9"/>
            <color indexed="81"/>
            <rFont val="Tahoma"/>
            <family val="2"/>
          </rPr>
          <t>Emissions to air, anywhere, anytime during the year
at any source strength in the world.
Flow unit: kg</t>
        </r>
      </text>
    </comment>
    <comment ref="C1" authorId="0" shapeId="0" xr:uid="{F79D119F-193C-4B55-B0FE-92327BBD8D0A}">
      <text>
        <r>
          <rPr>
            <sz val="9"/>
            <color indexed="81"/>
            <rFont val="Tahoma"/>
            <family val="2"/>
          </rPr>
          <t>Includes primary radiative forcing and secondary forcing from ozone and prologned methane lifetime caused by competing consumption of OH radicals.  
GWP impacts from secondary organic aerosols are not included as they are not considered sufficiently well known to be quantified.</t>
        </r>
      </text>
    </comment>
    <comment ref="E1" authorId="0" shapeId="0" xr:uid="{00000000-0006-0000-0A00-000001000000}">
      <text>
        <r>
          <rPr>
            <sz val="9"/>
            <color indexed="81"/>
            <rFont val="Tahoma"/>
            <family val="2"/>
          </rPr>
          <t>Average ozone production
relative to ethene.</t>
        </r>
      </text>
    </comment>
    <comment ref="G1" authorId="0" shapeId="0" xr:uid="{AA16C918-F960-49E9-B4BD-D7789B3FC51F}">
      <text>
        <r>
          <rPr>
            <sz val="9"/>
            <color indexed="81"/>
            <rFont val="Tahoma"/>
            <family val="2"/>
          </rPr>
          <t>Secondary organic aerosol (SOA) formation potential</t>
        </r>
      </text>
    </comment>
    <comment ref="M1" authorId="0" shapeId="0" xr:uid="{600C150D-9CF6-49D2-B451-48C5C0D8E998}">
      <text>
        <r>
          <rPr>
            <sz val="9"/>
            <color indexed="81"/>
            <rFont val="Tahoma"/>
            <family val="2"/>
          </rPr>
          <t xml:space="preserve">personyears
</t>
        </r>
      </text>
    </comment>
    <comment ref="N1" authorId="0" shapeId="0" xr:uid="{39240E4B-C796-4D55-AD83-EEE3C742EB61}">
      <text>
        <r>
          <rPr>
            <sz val="9"/>
            <color indexed="81"/>
            <rFont val="Tahoma"/>
            <family val="2"/>
          </rPr>
          <t>personhours:</t>
        </r>
        <r>
          <rPr>
            <sz val="9"/>
            <color indexed="81"/>
            <rFont val="Tahoma"/>
            <family val="2"/>
          </rPr>
          <t xml:space="preserve">
</t>
        </r>
      </text>
    </comment>
    <comment ref="O1" authorId="0" shapeId="0" xr:uid="{599FD5A4-51AA-4581-89B7-777AC8E249B1}">
      <text>
        <r>
          <rPr>
            <sz val="9"/>
            <color indexed="81"/>
            <rFont val="Tahoma"/>
            <family val="2"/>
          </rPr>
          <t xml:space="preserve">personyers
</t>
        </r>
      </text>
    </comment>
    <comment ref="P1" authorId="0" shapeId="0" xr:uid="{D099F227-7891-49E8-A5CC-9632F57F52BC}">
      <text>
        <r>
          <rPr>
            <sz val="9"/>
            <color indexed="81"/>
            <rFont val="Tahoma"/>
            <family val="2"/>
          </rPr>
          <t xml:space="preserve">kg
</t>
        </r>
      </text>
    </comment>
    <comment ref="R1" authorId="0" shapeId="0" xr:uid="{015CB1FF-0F8D-4CC3-A1A8-CA9456268D45}">
      <text>
        <r>
          <rPr>
            <sz val="9"/>
            <color indexed="81"/>
            <rFont val="Tahoma"/>
            <family val="2"/>
          </rPr>
          <t xml:space="preserve">kg dry wood
</t>
        </r>
      </text>
    </comment>
    <comment ref="C3" authorId="0" shapeId="0" xr:uid="{EF5CD4BF-FE0C-4D67-9379-F452CFB4C213}">
      <text>
        <r>
          <rPr>
            <sz val="9"/>
            <color indexed="81"/>
            <rFont val="Tahoma"/>
            <family val="2"/>
          </rPr>
          <t xml:space="preserve">Average GWP100 from fossil and non fossil sources according to IPCC AR6 WGI Table 7.15
</t>
        </r>
      </text>
    </comment>
    <comment ref="D3" authorId="0" shapeId="0" xr:uid="{97A3CB5F-E862-47F5-8803-8D450B1A5E80}">
      <text>
        <r>
          <rPr>
            <sz val="9"/>
            <color indexed="81"/>
            <rFont val="Tahoma"/>
            <family val="2"/>
          </rPr>
          <t>Model uncertainty: The uncertainty of GWP 100 for methane is given as +- 11 in IPPC AR6, WGI, table 7.5 and as 40% as 5-95% CI. This indicates a standard deviation of SQRT(1.4) = 1.18
The spatial, temporal and intensity variation is considered to be low adding an uncertianty due to spacial variations of around 1.02 as estimated from Bellouin et al. Atmos. Chem. Phys., 16, 13885–13910, 2016 A net uncertianty of 1.2 is used.</t>
        </r>
      </text>
    </comment>
    <comment ref="E3" authorId="0" shapeId="0" xr:uid="{00000000-0006-0000-0A00-000002000000}">
      <text>
        <r>
          <rPr>
            <sz val="9"/>
            <color indexed="81"/>
            <rFont val="Tahoma"/>
            <family val="2"/>
          </rPr>
          <t xml:space="preserve">0.005 to 0.012 according to Johanna Altenstedt and Karin Pleijel, IVL report </t>
        </r>
        <r>
          <rPr>
            <i/>
            <sz val="9"/>
            <color indexed="81"/>
            <rFont val="Tahoma"/>
            <family val="2"/>
          </rPr>
          <t>B-1305
Göteborg, Sweden september 1998</t>
        </r>
        <r>
          <rPr>
            <sz val="9"/>
            <color indexed="81"/>
            <rFont val="Tahoma"/>
            <family val="2"/>
          </rPr>
          <t xml:space="preserve">
Derwents POCP (Atmospheric Environment Vol. 32, No. 14/15, pp. 2429Ð2441, 1998) is 0.006, but only representative for one trajectory.
</t>
        </r>
      </text>
    </comment>
    <comment ref="F3" authorId="0" shapeId="0" xr:uid="{9C119714-E9BE-40E5-831B-CAF003BA160D}">
      <text>
        <r>
          <rPr>
            <sz val="9"/>
            <color indexed="81"/>
            <rFont val="Tahoma"/>
            <family val="2"/>
          </rPr>
          <t xml:space="preserve">0.005 to 0.012 for European conditions according to Johanna Altenstedt and Karin Pleijel, IVL report </t>
        </r>
        <r>
          <rPr>
            <i/>
            <sz val="9"/>
            <color indexed="81"/>
            <rFont val="Tahoma"/>
            <family val="2"/>
          </rPr>
          <t>B-1305
Göteborg, Sweden september 1998</t>
        </r>
        <r>
          <rPr>
            <sz val="9"/>
            <color indexed="81"/>
            <rFont val="Tahoma"/>
            <family val="2"/>
          </rPr>
          <t xml:space="preserve">
Derwents POCP (Atmospheric Environment Vol. 32, No. 14/15, pp. 2429Ð2441, 1998) is 0.006, but only representative for one trajectory.
</t>
        </r>
      </text>
    </comment>
    <comment ref="G3" authorId="0" shapeId="0" xr:uid="{00000000-0006-0000-0A00-000003000000}">
      <text>
        <r>
          <rPr>
            <sz val="9"/>
            <color indexed="81"/>
            <rFont val="Tahoma"/>
            <family val="2"/>
          </rPr>
          <t xml:space="preserve">Being a very small molecule methane is assumed to contribute to particle formation at a negligable amount
</t>
        </r>
      </text>
    </comment>
    <comment ref="H3" authorId="0" shapeId="0" xr:uid="{58D4A1FD-7E28-4F0F-973A-1B9D37A6E959}">
      <text>
        <r>
          <rPr>
            <sz val="9"/>
            <color indexed="81"/>
            <rFont val="Tahoma"/>
            <family val="2"/>
          </rPr>
          <t>A linear normal distribution is assumed with a standard devuation of 0.01. SOA from the the alkanes are probably negligable but reactions with Nox and Sox may occur and create SOA.</t>
        </r>
      </text>
    </comment>
    <comment ref="C4" authorId="0" shapeId="0" xr:uid="{F9AD0635-D955-47EB-BFDC-A9FD78539E4C}">
      <text>
        <r>
          <rPr>
            <sz val="9"/>
            <color indexed="81"/>
            <rFont val="Tahoma"/>
            <family val="2"/>
          </rPr>
          <t>Direct radiation GWP according to IPCC AR6, WGI, Table 7.SM.7 is 0.437. If including ozone creation and prolonged lifetime for methane via reduced OH radicals, the GWP will be 10.2 according to Ø. Hodnebrog, S. B. Dalsøren and G. Myhre, Atmospheric Science Letters 2018 Vol. 19 Issue 2 Pages e804</t>
        </r>
      </text>
    </comment>
    <comment ref="D4" authorId="0" shapeId="0" xr:uid="{9C7BC720-342F-4507-BF3D-31B13A357411}">
      <text>
        <r>
          <rPr>
            <sz val="9"/>
            <color indexed="81"/>
            <rFont val="Tahoma"/>
            <family val="2"/>
          </rPr>
          <t>Model uncertainty is 1.2 based on IPCC AR6 WG1 table 7.SM.8-13
Life time is 58 days. Hodnebrog et al. Reviews of Geophysics, Volume51, Issue2 June 2013 Pages 300-378, estimate an uncertainty of ~5% for compounds with lifetimes longer than about 5 years and ~20% for compounds with shorter lifetimes.
The total uncertainty is thus 1.2*(1+0.2/3.3) = 1.27, where 3.3 is the reduction factor for std deviation due to several emission points in LCA.</t>
        </r>
      </text>
    </comment>
    <comment ref="E4" authorId="0" shapeId="0" xr:uid="{00000000-0006-0000-0A00-000004000000}">
      <text>
        <r>
          <rPr>
            <sz val="9"/>
            <color indexed="81"/>
            <rFont val="Tahoma"/>
            <family val="2"/>
          </rPr>
          <t xml:space="preserve">0.14 to 0.36 according to Johanna Altenstedt and Karin Pleijel, IVL report </t>
        </r>
        <r>
          <rPr>
            <i/>
            <sz val="9"/>
            <color indexed="81"/>
            <rFont val="Tahoma"/>
            <family val="2"/>
          </rPr>
          <t>B-1305
Göteborg, Sweden september 1998</t>
        </r>
        <r>
          <rPr>
            <sz val="9"/>
            <color indexed="81"/>
            <rFont val="Tahoma"/>
            <family val="2"/>
          </rPr>
          <t xml:space="preserve">
Derwents POCP (Atmospheric Environment Vol. 32, No. 14/15, pp. 2429Ð2441, 1998) is 12.3, but only representative for one trajectory.
</t>
        </r>
      </text>
    </comment>
    <comment ref="F4" authorId="0" shapeId="0" xr:uid="{D7DFCE4D-3A7A-46DB-A991-352A338011F7}">
      <text>
        <r>
          <rPr>
            <sz val="9"/>
            <color indexed="81"/>
            <rFont val="Tahoma"/>
            <family val="2"/>
          </rPr>
          <t xml:space="preserve">0.14 to 0.36 for European conditions according to Johanna Altenstedt and Karin Pleijel, IVL report </t>
        </r>
        <r>
          <rPr>
            <i/>
            <sz val="9"/>
            <color indexed="81"/>
            <rFont val="Tahoma"/>
            <family val="2"/>
          </rPr>
          <t>B-1305
Göteborg, Sweden september 1998</t>
        </r>
        <r>
          <rPr>
            <sz val="9"/>
            <color indexed="81"/>
            <rFont val="Tahoma"/>
            <family val="2"/>
          </rPr>
          <t xml:space="preserve">
Derwents POCP (Atmospheric Environment Vol. 32, No. 14/15, pp. 2429Ð2441, 1998) is 0.123, but only representative for one trajectory.
</t>
        </r>
      </text>
    </comment>
    <comment ref="G4" authorId="0" shapeId="0" xr:uid="{00000000-0006-0000-0A00-000005000000}">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4" authorId="0" shapeId="0" xr:uid="{9853B2A9-75EA-4196-B251-167DAB3E41A8}">
      <text>
        <r>
          <rPr>
            <sz val="9"/>
            <color indexed="81"/>
            <rFont val="Tahoma"/>
            <family val="2"/>
          </rPr>
          <t>A linear normal distribution is assumed with a standard devuation of 0.01. SOA from the the alkanes are probably negligable but reactions with Nox and Sox may occur and create SOA.</t>
        </r>
      </text>
    </comment>
    <comment ref="A5" authorId="0" shapeId="0" xr:uid="{CCDF6F6A-A1A2-48BB-8425-D537345E3042}">
      <text>
        <r>
          <rPr>
            <sz val="9"/>
            <color indexed="81"/>
            <rFont val="Tahoma"/>
            <family val="2"/>
          </rPr>
          <t>= R290</t>
        </r>
      </text>
    </comment>
    <comment ref="C5" authorId="0" shapeId="0" xr:uid="{52105AB7-D22F-42EC-B626-CF5D41D84ED3}">
      <text>
        <r>
          <rPr>
            <sz val="9"/>
            <color indexed="81"/>
            <rFont val="Tahoma"/>
            <family val="2"/>
          </rPr>
          <t>Including ozone creation and prolonged lifetime for methane via reduced OH radicals, Ø. Hodnebrog, S. B. Dalsøren and G. Myhre, Atmospheric Science Letters 2018 Vol. 19 Issue 2 Pages e804</t>
        </r>
      </text>
    </comment>
    <comment ref="D5" authorId="0" shapeId="0" xr:uid="{7281DCF6-3890-45E3-BFF8-6AFB4E2AB644}">
      <text>
        <r>
          <rPr>
            <sz val="9"/>
            <color indexed="81"/>
            <rFont val="Tahoma"/>
            <family val="2"/>
          </rPr>
          <t>Model uncertainty is 1.2 based on IPCC AR6 WG1 table 7.SM.8-13
Life time is 58 days. Hodnebrog et al. Reviews of Geophysics, Volume51, Issue2 June 2013 Pages 300-378, estimate an uncertainty of ~5% for compounds with lifetimes longer than about 5 years and ~20% for compounds with shorter lifetimes.
The total uncertainty is thus 1.2*(1+0.2/3.3) = 1.27, where 3.3 is the reduction factor for std deviation due to several emission points in LCA.</t>
        </r>
      </text>
    </comment>
    <comment ref="E5" authorId="0" shapeId="0" xr:uid="{00000000-0006-0000-0A00-000006000000}">
      <text>
        <r>
          <rPr>
            <sz val="9"/>
            <color indexed="81"/>
            <rFont val="Tahoma"/>
            <family val="2"/>
          </rPr>
          <t>0.39-0.71 according to 
ohanna Altenstedt and Karin Pleijel, IVL report B-1305
Göteborg, september 1998
Derwents POCP (Atmospheric Environment Vol. 32, No. 14/15, pp. 2429Ð2441, 1998) is 0.176, but only representative for one trajectory.</t>
        </r>
      </text>
    </comment>
    <comment ref="F5" authorId="0" shapeId="0" xr:uid="{43BFEA8B-70B1-4461-B59C-5CDED9E46A9C}">
      <text>
        <r>
          <rPr>
            <sz val="9"/>
            <color indexed="81"/>
            <rFont val="Tahoma"/>
            <family val="2"/>
          </rPr>
          <t>0.39-0.71 for European conditions according to 
Johanna Altenstedt and Karin Pleijel, IVL report B-1305
Göteborg, september 1998</t>
        </r>
      </text>
    </comment>
    <comment ref="G5" authorId="0" shapeId="0" xr:uid="{D377B126-0B16-4844-9537-7A1278901C00}">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5" authorId="0" shapeId="0" xr:uid="{3E946C35-079F-4F7F-BDDA-A84FF2524CD3}">
      <text>
        <r>
          <rPr>
            <sz val="9"/>
            <color indexed="81"/>
            <rFont val="Tahoma"/>
            <family val="2"/>
          </rPr>
          <t>A linear normal distribution is assumed with a standard devuation of 0.01. SOA from the the alkanes are probably negligable but reactions with Nox and Sox may occur and create SOA.</t>
        </r>
      </text>
    </comment>
    <comment ref="C6" authorId="0" shapeId="0" xr:uid="{93DE2624-C15D-4CC1-AB9F-14C2E4E69B96}">
      <text>
        <r>
          <rPr>
            <sz val="9"/>
            <color indexed="81"/>
            <rFont val="Tahoma"/>
            <family val="2"/>
          </rPr>
          <t>Including ozone creation and prolonged lifetime for methane via reduced OH radicals, Ø. Hodnebrog, S. B. Dalsøren and G. Myhre, Atmospheric Science Letters 2018 Vol. 19 Issue 2 Pages e804</t>
        </r>
      </text>
    </comment>
    <comment ref="D6" authorId="0" shapeId="0" xr:uid="{E683CB67-7CE5-4856-9304-084E9E489E7A}">
      <text>
        <r>
          <rPr>
            <sz val="9"/>
            <color indexed="81"/>
            <rFont val="Tahoma"/>
            <family val="2"/>
          </rPr>
          <t>Model uncertainty is 1.2 based on IPCC AR6 WG1 table 7.SM.8-13
Life time is 58 days. Hodnebrog et al. Reviews of Geophysics, Volume51, Issue2 June 2013 Pages 300-378, estimate an uncertainty of ~5% for compounds with lifetimes longer than about 5 years and ~20% for compounds with shorter lifetimes.
The total uncertainty is thus 1.2*(1+0.2/3.3) = 1.27, where 3.3 is the reduction factor for std deviation due to several emission points in LCA.</t>
        </r>
      </text>
    </comment>
    <comment ref="E6" authorId="0" shapeId="0" xr:uid="{00000000-0006-0000-0A00-000008000000}">
      <text>
        <r>
          <rPr>
            <sz val="9"/>
            <color indexed="81"/>
            <rFont val="Tahoma"/>
            <family val="2"/>
          </rPr>
          <t>0.53-0.92
according to Johanna Altenstedt and Karin Pleijel, IVL report B-1305
Göteborg, Sweden september 1998</t>
        </r>
      </text>
    </comment>
    <comment ref="F6" authorId="0" shapeId="0" xr:uid="{494EC0E2-4799-4E6A-8D24-66039024168E}">
      <text>
        <r>
          <rPr>
            <sz val="9"/>
            <color indexed="81"/>
            <rFont val="Tahoma"/>
            <family val="2"/>
          </rPr>
          <t>0.53 to 0.92 for European conditions according to 
Johanna Altenstedt and Karin Pleijel, IVL report B-1305
Göteborg, september 1998</t>
        </r>
      </text>
    </comment>
    <comment ref="G6" authorId="0" shapeId="0" xr:uid="{932BB2AA-34F1-488A-8FD0-6BF0A504B778}">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6" authorId="0" shapeId="0" xr:uid="{3A021B70-6F2A-4653-97A2-5A6EE3DFF4F0}">
      <text>
        <r>
          <rPr>
            <sz val="9"/>
            <color indexed="81"/>
            <rFont val="Tahoma"/>
            <family val="2"/>
          </rPr>
          <t>A linear normal distribution is assumed with a standard devuation of 0.01. SOA from the the alkanes are probably negligable but reactions with Nox and Sox may occur and create SOA.</t>
        </r>
      </text>
    </comment>
    <comment ref="A7" authorId="0" shapeId="0" xr:uid="{80F8E8A5-E2E4-464B-9C92-01D6BA4689BB}">
      <text>
        <r>
          <rPr>
            <sz val="9"/>
            <color indexed="81"/>
            <rFont val="Tahoma"/>
            <family val="2"/>
          </rPr>
          <t xml:space="preserve">= R600a
</t>
        </r>
      </text>
    </comment>
    <comment ref="C7" authorId="0" shapeId="0" xr:uid="{5288718A-4626-4AF1-8130-21F8624E44FB}">
      <text>
        <r>
          <rPr>
            <sz val="9"/>
            <color indexed="81"/>
            <rFont val="Tahoma"/>
            <family val="2"/>
          </rPr>
          <t>Fry et al. Atmos. Chem. Phys., 14, 523–535, 2014
www.atmos-chem-phys.net/14/523/2014/</t>
        </r>
      </text>
    </comment>
    <comment ref="D7" authorId="0" shapeId="0" xr:uid="{BD4DFFB4-A739-4872-8365-128510388CFC}">
      <text>
        <r>
          <rPr>
            <sz val="9"/>
            <color indexed="81"/>
            <rFont val="Tahoma"/>
            <family val="2"/>
          </rPr>
          <t>estmated from figure 5 Fry et al. DOI:10.5194/acp-14-523-2014</t>
        </r>
      </text>
    </comment>
    <comment ref="E7" authorId="0" shapeId="0" xr:uid="{00000000-0006-0000-0A00-00000A000000}">
      <text>
        <r>
          <rPr>
            <sz val="9"/>
            <color indexed="81"/>
            <rFont val="Tahoma"/>
            <family val="2"/>
          </rPr>
          <t>0.47 - 0.69 according to Johanna Altenstedt and Karin Pleijel, IVL report B-1305
Göteborg, Sweden september 1998</t>
        </r>
      </text>
    </comment>
    <comment ref="F7" authorId="0" shapeId="0" xr:uid="{5CC8640A-A782-48FC-BCCA-7DA87A01AA66}">
      <text>
        <r>
          <rPr>
            <sz val="9"/>
            <color indexed="81"/>
            <rFont val="Tahoma"/>
            <family val="2"/>
          </rPr>
          <t>0.47 to 0.69 for European conditions according to 
Johanna Altenstedt and Karin Pleijel, IVL report B-1305
Göteborg, september 1998</t>
        </r>
      </text>
    </comment>
    <comment ref="G7" authorId="0" shapeId="0" xr:uid="{8DC27CE4-B703-41FA-83F4-13576632C536}">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7" authorId="0" shapeId="0" xr:uid="{B861CF05-411A-41CB-B5E4-12AC2F32CB32}">
      <text>
        <r>
          <rPr>
            <sz val="9"/>
            <color indexed="81"/>
            <rFont val="Tahoma"/>
            <family val="2"/>
          </rPr>
          <t>A linear normal distribution is assumed with a standard devuation of 0.01. SOA from the the alkanes are probably negligable but reactions with Nox and Sox may occur and create SOA.</t>
        </r>
      </text>
    </comment>
    <comment ref="C8" authorId="0" shapeId="0" xr:uid="{C97EDCA5-98BB-43C5-B5FE-F53E848E50C1}">
      <text>
        <r>
          <rPr>
            <sz val="9"/>
            <color indexed="81"/>
            <rFont val="Tahoma"/>
            <family val="2"/>
          </rPr>
          <t>Fry et al. Atmos. Chem. Phys., 14, 523–535, 2014
www.atmos-chem-phys.net/14/523/2014/</t>
        </r>
      </text>
    </comment>
    <comment ref="D8" authorId="0" shapeId="0" xr:uid="{21AB4BC1-674B-4F78-BAF9-2422FCB31E2E}">
      <text>
        <r>
          <rPr>
            <sz val="9"/>
            <color indexed="81"/>
            <rFont val="Tahoma"/>
            <family val="2"/>
          </rPr>
          <t>estmated from figure 5 Fry et al. DOI:10.5194/acp-14-523-2014</t>
        </r>
      </text>
    </comment>
    <comment ref="E8" authorId="0" shapeId="0" xr:uid="{00000000-0006-0000-0A00-00000C000000}">
      <text>
        <r>
          <rPr>
            <sz val="9"/>
            <color indexed="81"/>
            <rFont val="Tahoma"/>
            <family val="2"/>
          </rPr>
          <t>0.73-1.16 according to Johanna Altenstedt and Karin Pleijel, IVL report B-1305
Göteborg, Sweden september 1998</t>
        </r>
      </text>
    </comment>
    <comment ref="F8" authorId="0" shapeId="0" xr:uid="{999BC5F9-BEDD-40E1-9F1E-AF8EC895D539}">
      <text>
        <r>
          <rPr>
            <sz val="9"/>
            <color indexed="81"/>
            <rFont val="Tahoma"/>
            <family val="2"/>
          </rPr>
          <t>0.73 to 1.16 for European conditions according to 
Johanna Altenstedt and Karin Pleijel, IVL report B-1305
Göteborg, september 1998</t>
        </r>
      </text>
    </comment>
    <comment ref="G8" authorId="0" shapeId="0" xr:uid="{CFA1BFF1-A9BE-4A73-B379-FE4B40A4AAD6}">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8" authorId="0" shapeId="0" xr:uid="{3F24CCD2-F9A0-4879-A466-A76E40D2A6FE}">
      <text>
        <r>
          <rPr>
            <sz val="9"/>
            <color indexed="81"/>
            <rFont val="Tahoma"/>
            <family val="2"/>
          </rPr>
          <t>A linear normal distribution is assumed with a standard devuation of 0.01. SOA from the the alkanes are probably negligable but reactions with Nox and Sox may occur and create SOA.</t>
        </r>
      </text>
    </comment>
    <comment ref="C9" authorId="0" shapeId="0" xr:uid="{68B9FA2E-3719-4FD9-82CC-078955CCB963}">
      <text>
        <r>
          <rPr>
            <sz val="9"/>
            <color indexed="81"/>
            <rFont val="Tahoma"/>
            <family val="2"/>
          </rPr>
          <t>Fry et al. Atmos. Chem. Phys., 14, 523–535, 2014
www.atmos-chem-phys.net/14/523/2014/</t>
        </r>
      </text>
    </comment>
    <comment ref="D9" authorId="0" shapeId="0" xr:uid="{85CAB65C-FD79-4AD5-B829-35C2110256B5}">
      <text>
        <r>
          <rPr>
            <sz val="9"/>
            <color indexed="81"/>
            <rFont val="Tahoma"/>
            <family val="2"/>
          </rPr>
          <t>estmated from figure 5 Fry et al. DOI:10.5194/acp-14-523-2014</t>
        </r>
      </text>
    </comment>
    <comment ref="E9" authorId="0" shapeId="0" xr:uid="{00000000-0006-0000-0A00-00000E000000}">
      <text>
        <r>
          <rPr>
            <sz val="9"/>
            <color indexed="81"/>
            <rFont val="Tahoma"/>
            <family val="2"/>
          </rPr>
          <t xml:space="preserve">0.25-0.65 according to Johanna Altenstedt and Karin Pleijel, IVL report B-1305
Göteborg, Sweden september 1998
</t>
        </r>
      </text>
    </comment>
    <comment ref="F9" authorId="0" shapeId="0" xr:uid="{7BFD56DB-DBDB-41F5-8F5D-81AE23E5B73D}">
      <text>
        <r>
          <rPr>
            <sz val="9"/>
            <color indexed="81"/>
            <rFont val="Tahoma"/>
            <family val="2"/>
          </rPr>
          <t>0.25 to 0.65 for European conditions according to 
Johanna Altenstedt and Karin Pleijel, IVL report B-1305
Göteborg, september 1998</t>
        </r>
      </text>
    </comment>
    <comment ref="G9" authorId="0" shapeId="0" xr:uid="{B1EB83B9-5637-45AF-B498-1556255E7D88}">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9" authorId="0" shapeId="0" xr:uid="{24A09212-6004-4FFE-9289-B1CB00EE7B86}">
      <text>
        <r>
          <rPr>
            <sz val="9"/>
            <color indexed="81"/>
            <rFont val="Tahoma"/>
            <family val="2"/>
          </rPr>
          <t>A linear normal distribution is assumed with a standard devuation of 0.01. SOA from the the alkanes are probably negligable but reactions with Nox and Sox may occur and create SOA.</t>
        </r>
      </text>
    </comment>
    <comment ref="A10" authorId="0" shapeId="0" xr:uid="{00000000-0006-0000-0A00-000010000000}">
      <text>
        <r>
          <rPr>
            <sz val="9"/>
            <color indexed="81"/>
            <rFont val="Tahoma"/>
            <family val="2"/>
          </rPr>
          <t xml:space="preserve">= dimetylpropan
</t>
        </r>
      </text>
    </comment>
    <comment ref="C10" authorId="0" shapeId="0" xr:uid="{48A6E8AF-D513-402E-8C14-20394C4CB07F}">
      <text>
        <r>
          <rPr>
            <sz val="9"/>
            <color indexed="81"/>
            <rFont val="Tahoma"/>
            <family val="2"/>
          </rPr>
          <t>Fry et al. Atmos. Chem. Phys., 14, 523–535, 2014
www.atmos-chem-phys.net/14/523/2014/</t>
        </r>
      </text>
    </comment>
    <comment ref="D10" authorId="0" shapeId="0" xr:uid="{22760BA7-DADE-4A0C-B991-517E78FEFF2F}">
      <text>
        <r>
          <rPr>
            <sz val="9"/>
            <color indexed="81"/>
            <rFont val="Tahoma"/>
            <family val="2"/>
          </rPr>
          <t>estmated from figure 5 Fry et al. DOI:10.5194/acp-14-523-2014</t>
        </r>
      </text>
    </comment>
    <comment ref="E10" authorId="0" shapeId="0" xr:uid="{00000000-0006-0000-0A00-000011000000}">
      <text>
        <r>
          <rPr>
            <sz val="9"/>
            <color indexed="81"/>
            <rFont val="Tahoma"/>
            <family val="2"/>
          </rPr>
          <t xml:space="preserve">Derwent et al. Atmospheric Environment Vol. 32, No. 14/15, pp. 2429Ð2441, 1998
</t>
        </r>
      </text>
    </comment>
    <comment ref="F10" authorId="0" shapeId="0" xr:uid="{1321D517-CB34-410A-BF24-548EF438EDB7}">
      <text>
        <r>
          <rPr>
            <sz val="9"/>
            <color indexed="81"/>
            <rFont val="Tahoma"/>
            <family val="2"/>
          </rPr>
          <t xml:space="preserve">Only one trajectory were used </t>
        </r>
      </text>
    </comment>
    <comment ref="G10" authorId="0" shapeId="0" xr:uid="{098F3B67-0286-4C0D-B50C-B5EC1538147F}">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0" authorId="0" shapeId="0" xr:uid="{7D59728D-8A44-4CCA-BB7C-DFC2192F4AAE}">
      <text>
        <r>
          <rPr>
            <sz val="9"/>
            <color indexed="81"/>
            <rFont val="Tahoma"/>
            <family val="2"/>
          </rPr>
          <t>A linear normal distribution is assumed with a standard devuation of 0.01. SOA from the the alkanes are probably negligable but reactions with Nox and Sox may occur and create SOA.</t>
        </r>
      </text>
    </comment>
    <comment ref="C11" authorId="0" shapeId="0" xr:uid="{35FAC1B5-51F9-45CB-8A02-567A3EE573EF}">
      <text>
        <r>
          <rPr>
            <sz val="9"/>
            <color indexed="81"/>
            <rFont val="Tahoma"/>
            <family val="2"/>
          </rPr>
          <t>Fry et al. Atmos. Chem. Phys., 14, 523–535, 2014
www.atmos-chem-phys.net/14/523/2014/</t>
        </r>
      </text>
    </comment>
    <comment ref="D11" authorId="0" shapeId="0" xr:uid="{1CDE534B-31F6-468D-81B1-28496D3010B4}">
      <text>
        <r>
          <rPr>
            <sz val="9"/>
            <color indexed="81"/>
            <rFont val="Tahoma"/>
            <family val="2"/>
          </rPr>
          <t>estmated from figure 5 Fry et al. DOI:10.5194/acp-14-523-2014</t>
        </r>
      </text>
    </comment>
    <comment ref="E11" authorId="0" shapeId="0" xr:uid="{C23DEC1A-35DC-427A-97D3-537F52B9D82B}">
      <text>
        <r>
          <rPr>
            <sz val="9"/>
            <color indexed="81"/>
            <rFont val="Tahoma"/>
            <family val="2"/>
          </rPr>
          <t xml:space="preserve">No specific assessment was found. 0.3 was estimated via an analogy with hexan and cyclohexane.
</t>
        </r>
      </text>
    </comment>
    <comment ref="F11" authorId="0" shapeId="0" xr:uid="{80CB5455-21DE-4DE8-AF51-337CE2EF5D1C}">
      <text>
        <r>
          <rPr>
            <sz val="9"/>
            <color indexed="81"/>
            <rFont val="Tahoma"/>
            <family val="2"/>
          </rPr>
          <t xml:space="preserve">A somewhat higher uncertainty than for other pentanes are assumed
</t>
        </r>
      </text>
    </comment>
    <comment ref="G11" authorId="0" shapeId="0" xr:uid="{DB3CF8B3-A9DF-496F-BF6A-A19B25CCFEF3}">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1" authorId="0" shapeId="0" xr:uid="{65CF6788-4D70-485C-9D4E-FC0F0B7920CD}">
      <text>
        <r>
          <rPr>
            <sz val="9"/>
            <color indexed="81"/>
            <rFont val="Tahoma"/>
            <family val="2"/>
          </rPr>
          <t>A linear normal distribution is assumed with a standard devuation of 0.01. SOA from the the alkanes are probably negligable but reactions with Nox and Sox may occur and create SOA.</t>
        </r>
      </text>
    </comment>
    <comment ref="C12" authorId="0" shapeId="0" xr:uid="{2E9CA80C-2034-4694-9FBE-EA672E885128}">
      <text>
        <r>
          <rPr>
            <sz val="9"/>
            <color indexed="81"/>
            <rFont val="Tahoma"/>
            <family val="2"/>
          </rPr>
          <t>Fry et al. Atmos. Chem. Phys., 14, 523–535, 2014
www.atmos-chem-phys.net/14/523/2014/</t>
        </r>
      </text>
    </comment>
    <comment ref="D12" authorId="0" shapeId="0" xr:uid="{D3468D96-6B98-40EE-9E5D-870EE8750495}">
      <text>
        <r>
          <rPr>
            <sz val="9"/>
            <color indexed="81"/>
            <rFont val="Tahoma"/>
            <family val="2"/>
          </rPr>
          <t>estmated from figure 5 Fry et al. DOI:10.5194/acp-14-523-2014</t>
        </r>
      </text>
    </comment>
    <comment ref="E12" authorId="0" shapeId="0" xr:uid="{00000000-0006-0000-0A00-000013000000}">
      <text>
        <r>
          <rPr>
            <sz val="9"/>
            <color indexed="81"/>
            <rFont val="Tahoma"/>
            <family val="2"/>
          </rPr>
          <t>0.81 - 1.28 according to Johanna Altenstedt and Karin Pleijel, IVL report B-1305 Göteborg, Sweden september 1998</t>
        </r>
      </text>
    </comment>
    <comment ref="F12" authorId="0" shapeId="0" xr:uid="{00B5BE5D-6D91-436F-BFFD-03D6677C96A6}">
      <text>
        <r>
          <rPr>
            <sz val="9"/>
            <color indexed="81"/>
            <rFont val="Tahoma"/>
            <family val="2"/>
          </rPr>
          <t>0.81 to 1.28 for European conditions according to 
Johanna Altenstedt and Karin Pleijel, IVL report B-1305
Göteborg, september 1998</t>
        </r>
      </text>
    </comment>
    <comment ref="G12" authorId="0" shapeId="0" xr:uid="{43D578FD-2211-4A10-9052-9662FC6CD17E}">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2" authorId="0" shapeId="0" xr:uid="{23F92203-90A5-4ACB-9AC8-9EADCF663040}">
      <text>
        <r>
          <rPr>
            <sz val="9"/>
            <color indexed="81"/>
            <rFont val="Tahoma"/>
            <family val="2"/>
          </rPr>
          <t>A linear normal distribution is assumed with a standard devuation of 0.01. SOA from the the alkanes are probably negligable but reactions with Nox and Sox may occur and create SOA.</t>
        </r>
      </text>
    </comment>
    <comment ref="C13" authorId="0" shapeId="0" xr:uid="{6EA0C799-BE51-4768-B2F0-6D7BD8F362C4}">
      <text>
        <r>
          <rPr>
            <sz val="9"/>
            <color indexed="81"/>
            <rFont val="Tahoma"/>
            <family val="2"/>
          </rPr>
          <t>Fry et al. Atmos. Chem. Phys., 14, 523–535, 2014
www.atmos-chem-phys.net/14/523/2014/</t>
        </r>
      </text>
    </comment>
    <comment ref="D13" authorId="0" shapeId="0" xr:uid="{596B19F1-0B83-41E3-905D-4C9CBE76D57C}">
      <text>
        <r>
          <rPr>
            <sz val="9"/>
            <color indexed="81"/>
            <rFont val="Tahoma"/>
            <family val="2"/>
          </rPr>
          <t>estmated from figure 5 Fry et al. DOI:10.5194/acp-14-523-2014</t>
        </r>
      </text>
    </comment>
    <comment ref="E13" authorId="0" shapeId="0" xr:uid="{00000000-0006-0000-0A00-000015000000}">
      <text>
        <r>
          <rPr>
            <sz val="9"/>
            <color indexed="81"/>
            <rFont val="Tahoma"/>
            <family val="2"/>
          </rPr>
          <t>0.69 - 0.96 according to Johanna Altenstedt and Karin Pleijel, IVL report B-1305 Göteborg, Sweden september 1998</t>
        </r>
      </text>
    </comment>
    <comment ref="F13" authorId="0" shapeId="0" xr:uid="{FD24D47C-D919-47E2-BB1D-EB750F734C37}">
      <text>
        <r>
          <rPr>
            <sz val="9"/>
            <color indexed="81"/>
            <rFont val="Tahoma"/>
            <family val="2"/>
          </rPr>
          <t>0.69 to 0.96 for European conditions according to 
Johanna Altenstedt and Karin Pleijel, IVL report B-1305
Göteborg, september 1998</t>
        </r>
      </text>
    </comment>
    <comment ref="G13" authorId="0" shapeId="0" xr:uid="{AB2A19A4-1075-46BC-8882-9B3AD7ECD156}">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3" authorId="0" shapeId="0" xr:uid="{CFC177E4-29F7-4335-B2CC-EC4285A19FDF}">
      <text>
        <r>
          <rPr>
            <sz val="9"/>
            <color indexed="81"/>
            <rFont val="Tahoma"/>
            <family val="2"/>
          </rPr>
          <t>A linear normal distribution is assumed with a standard devuation of 0.01. SOA from the the alkanes are probably negligable but reactions with Nox and Sox may occur and create SOA.</t>
        </r>
      </text>
    </comment>
    <comment ref="C14" authorId="0" shapeId="0" xr:uid="{9937C91C-4576-4F75-BD41-ADDFE162296C}">
      <text>
        <r>
          <rPr>
            <sz val="9"/>
            <color indexed="81"/>
            <rFont val="Tahoma"/>
            <family val="2"/>
          </rPr>
          <t>Fry et al. Atmos. Chem. Phys., 14, 523–535, 2014
www.atmos-chem-phys.net/14/523/2014/</t>
        </r>
      </text>
    </comment>
    <comment ref="D14" authorId="0" shapeId="0" xr:uid="{45C00508-F4DC-444E-9591-39F5E3F0CCA0}">
      <text>
        <r>
          <rPr>
            <sz val="9"/>
            <color indexed="81"/>
            <rFont val="Tahoma"/>
            <family val="2"/>
          </rPr>
          <t>estmated from figure 5 Fry et al. DOI:10.5194/acp-14-523-2014</t>
        </r>
      </text>
    </comment>
    <comment ref="E14" authorId="0" shapeId="0" xr:uid="{00000000-0006-0000-0A00-000017000000}">
      <text>
        <r>
          <rPr>
            <sz val="9"/>
            <color indexed="81"/>
            <rFont val="Tahoma"/>
            <family val="2"/>
          </rPr>
          <t>0.73 - 1.08 
according to Johanna Altenstedt and Karin Pleijel, IVL report B-1305 Göteborg, Sweden september 1998</t>
        </r>
      </text>
    </comment>
    <comment ref="F14" authorId="0" shapeId="0" xr:uid="{B0DCE7BF-FB87-41C3-AC97-A9DA63D8DB64}">
      <text>
        <r>
          <rPr>
            <sz val="9"/>
            <color indexed="81"/>
            <rFont val="Tahoma"/>
            <family val="2"/>
          </rPr>
          <t>0.73 to 1.08 for European conditions according to 
Johanna Altenstedt and Karin Pleijel, IVL report B-1305
Göteborg, september 1998</t>
        </r>
      </text>
    </comment>
    <comment ref="G14" authorId="0" shapeId="0" xr:uid="{739B26B1-C6A6-4B98-9D2D-8AF0B8FA75BB}">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4" authorId="0" shapeId="0" xr:uid="{92D12285-42E4-4D71-95AE-6D103E603718}">
      <text>
        <r>
          <rPr>
            <sz val="9"/>
            <color indexed="81"/>
            <rFont val="Tahoma"/>
            <family val="2"/>
          </rPr>
          <t>A linear normal distribution is assumed with a standard devuation of 0.01. SOA from the the alkanes are probably negligable but reactions with Nox and Sox may occur and create SOA.</t>
        </r>
      </text>
    </comment>
    <comment ref="C15" authorId="0" shapeId="0" xr:uid="{BA044C09-CAC2-4EE5-9020-B837021B3F7D}">
      <text>
        <r>
          <rPr>
            <sz val="9"/>
            <color indexed="81"/>
            <rFont val="Tahoma"/>
            <family val="2"/>
          </rPr>
          <t>Fry et al. Atmos. Chem. Phys., 14, 523–535, 2014
www.atmos-chem-phys.net/14/523/2014/</t>
        </r>
      </text>
    </comment>
    <comment ref="D15" authorId="0" shapeId="0" xr:uid="{43A0B1C5-48BC-4FEC-8525-94097FFC5C73}">
      <text>
        <r>
          <rPr>
            <sz val="9"/>
            <color indexed="81"/>
            <rFont val="Tahoma"/>
            <family val="2"/>
          </rPr>
          <t>estmated from figure 5 Fry et al. DOI:10.5194/acp-14-523-2014</t>
        </r>
      </text>
    </comment>
    <comment ref="E15" authorId="0" shapeId="0" xr:uid="{00000000-0006-0000-0A00-000019000000}">
      <text>
        <r>
          <rPr>
            <sz val="9"/>
            <color indexed="81"/>
            <rFont val="Tahoma"/>
            <family val="2"/>
          </rPr>
          <t xml:space="preserve">Derwent et al. Atmospheric Environment Vol. 32, No. 14/15, pp. 2429Ð2441, 1998
</t>
        </r>
      </text>
    </comment>
    <comment ref="F15" authorId="0" shapeId="0" xr:uid="{DA92779B-19A8-4F5D-9B95-C840861D0B87}">
      <text>
        <r>
          <rPr>
            <sz val="9"/>
            <color indexed="81"/>
            <rFont val="Tahoma"/>
            <family val="2"/>
          </rPr>
          <t xml:space="preserve">Only one trajectory were used </t>
        </r>
      </text>
    </comment>
    <comment ref="G15" authorId="0" shapeId="0" xr:uid="{D37A3C0F-3FEB-40E3-9BBD-4565CA6F105F}">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5" authorId="0" shapeId="0" xr:uid="{0D7581D2-B857-45D2-A72C-EE8ABAB8CF0E}">
      <text>
        <r>
          <rPr>
            <sz val="9"/>
            <color indexed="81"/>
            <rFont val="Tahoma"/>
            <family val="2"/>
          </rPr>
          <t>A linear normal distribution is assumed with a standard devuation of 0.01. SOA from the the alkanes are probably negligable but reactions with Nox and Sox may occur and create SOA.</t>
        </r>
      </text>
    </comment>
    <comment ref="C16" authorId="0" shapeId="0" xr:uid="{BC802809-3F5A-48A4-A69C-5A74C61BF435}">
      <text>
        <r>
          <rPr>
            <sz val="9"/>
            <color indexed="81"/>
            <rFont val="Tahoma"/>
            <family val="2"/>
          </rPr>
          <t>Fry et al. Atmos. Chem. Phys., 14, 523–535, 2014
www.atmos-chem-phys.net/14/523/2014/</t>
        </r>
      </text>
    </comment>
    <comment ref="D16" authorId="0" shapeId="0" xr:uid="{89CA88DC-547E-4915-A1B1-88D54695E4D0}">
      <text>
        <r>
          <rPr>
            <sz val="9"/>
            <color indexed="81"/>
            <rFont val="Tahoma"/>
            <family val="2"/>
          </rPr>
          <t>estmated from figure 5 Fry et al. DOI:10.5194/acp-14-523-2014</t>
        </r>
      </text>
    </comment>
    <comment ref="E16" authorId="0" shapeId="0" xr:uid="{00000000-0006-0000-0A00-00001B000000}">
      <text>
        <r>
          <rPr>
            <sz val="9"/>
            <color indexed="81"/>
            <rFont val="Tahoma"/>
            <family val="2"/>
          </rPr>
          <t xml:space="preserve">Derwent et al. Atmospheric Environment Vol. 32, No. 14/15, pp. 2429Ð2441, 1998
</t>
        </r>
      </text>
    </comment>
    <comment ref="F16" authorId="0" shapeId="0" xr:uid="{CF765F9E-6FA1-49CE-BBE3-EEA29CD4FA98}">
      <text>
        <r>
          <rPr>
            <sz val="9"/>
            <color indexed="81"/>
            <rFont val="Tahoma"/>
            <family val="2"/>
          </rPr>
          <t xml:space="preserve">Only one trajectory were used </t>
        </r>
      </text>
    </comment>
    <comment ref="G16" authorId="0" shapeId="0" xr:uid="{4E5DED75-14AA-4A1E-8968-1CB57C26D3D4}">
      <text>
        <r>
          <rPr>
            <sz val="9"/>
            <color indexed="81"/>
            <rFont val="Tahoma"/>
            <family val="2"/>
          </rPr>
          <t>Laboratory chamber experiments on particle formation are normally made for alkanes with more than 6 carbon atoms. See Srivastava et al. npj Clim Atmos Sci 5, 22 (2022) https://doi.org/10.1038/s41612-022-00238-6
Reaction products are volatile and water soluble why health impacts may expected to be low. Zero particle formation is assumed at present.</t>
        </r>
      </text>
    </comment>
    <comment ref="H16" authorId="0" shapeId="0" xr:uid="{5B996FA1-02CE-4837-8998-BF05953B376A}">
      <text>
        <r>
          <rPr>
            <sz val="9"/>
            <color indexed="81"/>
            <rFont val="Tahoma"/>
            <family val="2"/>
          </rPr>
          <t>A linear normal distribution is assumed with a standard devuation of 0.01. SOA from the the alkanes are probably negligable but reactions with Nox and Sox may occur and create SOA.</t>
        </r>
      </text>
    </comment>
    <comment ref="C17" authorId="0" shapeId="0" xr:uid="{04209D1D-C6A3-4702-9A3F-DC9E9DAC4BF0}">
      <text>
        <r>
          <rPr>
            <sz val="9"/>
            <color indexed="81"/>
            <rFont val="Tahoma"/>
            <family val="2"/>
          </rPr>
          <t>Fry et al. Atmos. Chem. Phys., 14, 523–535, 2014
www.atmos-chem-phys.net/14/523/2014/</t>
        </r>
      </text>
    </comment>
    <comment ref="D17" authorId="0" shapeId="0" xr:uid="{D4EE2E9B-C78E-40D0-A551-06FF5B4FF14E}">
      <text>
        <r>
          <rPr>
            <sz val="9"/>
            <color indexed="81"/>
            <rFont val="Tahoma"/>
            <family val="2"/>
          </rPr>
          <t>estmated from figure 5 Fry et al. DOI:10.5194/acp-14-523-2014</t>
        </r>
      </text>
    </comment>
    <comment ref="E17" authorId="0" shapeId="0" xr:uid="{00000000-0006-0000-0A00-00001D000000}">
      <text>
        <r>
          <rPr>
            <sz val="9"/>
            <color indexed="81"/>
            <rFont val="Tahoma"/>
            <family val="2"/>
          </rPr>
          <t xml:space="preserve">0.76 - 1.23 according to Johanna Altenstedt and Karin Pleijel, IVL report B-1305 Göteborg, Sweden september 1998
</t>
        </r>
      </text>
    </comment>
    <comment ref="F17" authorId="0" shapeId="0" xr:uid="{C17D64FB-6656-4B7B-9BEA-C97C6F56ABA0}">
      <text>
        <r>
          <rPr>
            <sz val="9"/>
            <color indexed="81"/>
            <rFont val="Tahoma"/>
            <family val="2"/>
          </rPr>
          <t>0.76 to 1.23 for European conditions according to 
Johanna Altenstedt and Karin Pleijel, IVL report B-1305
Göteborg, september 1998</t>
        </r>
      </text>
    </comment>
    <comment ref="G17" authorId="0" shapeId="0" xr:uid="{00000000-0006-0000-0A00-00001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7" authorId="0" shapeId="0" xr:uid="{A97D3F3A-A24F-4A2E-8125-125B929D3F94}">
      <text>
        <r>
          <rPr>
            <sz val="9"/>
            <color indexed="81"/>
            <rFont val="Tahoma"/>
            <family val="2"/>
          </rPr>
          <t xml:space="preserve">PFP for different VOC is normlly between a few % and 20%
</t>
        </r>
      </text>
    </comment>
    <comment ref="C18" authorId="0" shapeId="0" xr:uid="{91C132CA-03D9-44ED-954A-D5489DB9086A}">
      <text>
        <r>
          <rPr>
            <sz val="9"/>
            <color indexed="81"/>
            <rFont val="Tahoma"/>
            <family val="2"/>
          </rPr>
          <t>Fry et al. Atmos. Chem. Phys., 14, 523–535, 2014
www.atmos-chem-phys.net/14/523/2014/</t>
        </r>
      </text>
    </comment>
    <comment ref="D18" authorId="0" shapeId="0" xr:uid="{E40174B5-D964-414E-881C-390902E18136}">
      <text>
        <r>
          <rPr>
            <sz val="9"/>
            <color indexed="81"/>
            <rFont val="Tahoma"/>
            <family val="2"/>
          </rPr>
          <t>estmated from figure 5 Fry et al. DOI:10.5194/acp-14-523-2014</t>
        </r>
      </text>
    </comment>
    <comment ref="E18" authorId="0" shapeId="0" xr:uid="{00000000-0006-0000-0A00-00001F000000}">
      <text>
        <r>
          <rPr>
            <sz val="9"/>
            <color indexed="81"/>
            <rFont val="Tahoma"/>
            <family val="2"/>
          </rPr>
          <t xml:space="preserve">Derwent et al. Atmospheric Environment Vol. 32, No. 14/15, pp. 2429Ð2441, 1998
</t>
        </r>
      </text>
    </comment>
    <comment ref="F18" authorId="0" shapeId="0" xr:uid="{FA3D7396-1DE2-4A05-A8FC-368B1F88DB30}">
      <text>
        <r>
          <rPr>
            <sz val="9"/>
            <color indexed="81"/>
            <rFont val="Tahoma"/>
            <family val="2"/>
          </rPr>
          <t xml:space="preserve">Only one trajectory were used </t>
        </r>
      </text>
    </comment>
    <comment ref="G18" authorId="0" shapeId="0" xr:uid="{00000000-0006-0000-0A00-00002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8" authorId="0" shapeId="0" xr:uid="{32C89C33-63F7-49F3-ACFD-33706C60E8AF}">
      <text>
        <r>
          <rPr>
            <sz val="9"/>
            <color indexed="81"/>
            <rFont val="Tahoma"/>
            <family val="2"/>
          </rPr>
          <t xml:space="preserve">PFP for different VOC is normlly between a few % and 20%
</t>
        </r>
      </text>
    </comment>
    <comment ref="C19" authorId="0" shapeId="0" xr:uid="{05896C2F-D2C4-44B1-BC1C-43465376E0EB}">
      <text>
        <r>
          <rPr>
            <sz val="9"/>
            <color indexed="81"/>
            <rFont val="Tahoma"/>
            <family val="2"/>
          </rPr>
          <t>Fry et al. Atmos. Chem. Phys., 14, 523–535, 2014
www.atmos-chem-phys.net/14/523/2014/</t>
        </r>
      </text>
    </comment>
    <comment ref="D19" authorId="0" shapeId="0" xr:uid="{4758973C-9339-442C-B273-55796822E13D}">
      <text>
        <r>
          <rPr>
            <sz val="9"/>
            <color indexed="81"/>
            <rFont val="Tahoma"/>
            <family val="2"/>
          </rPr>
          <t>estmated from figure 5 Fry et al. DOI:10.5194/acp-14-523-2014</t>
        </r>
      </text>
    </comment>
    <comment ref="E19" authorId="0" shapeId="0" xr:uid="{00000000-0006-0000-0A00-000021000000}">
      <text>
        <r>
          <rPr>
            <sz val="9"/>
            <color indexed="81"/>
            <rFont val="Tahoma"/>
            <family val="2"/>
          </rPr>
          <t xml:space="preserve">Derwent et al. Atmospheric Environment Vol. 32, No. 14/15, pp. 2429Ð2441, 1998
</t>
        </r>
      </text>
    </comment>
    <comment ref="F19" authorId="0" shapeId="0" xr:uid="{3BB658A9-F503-46DE-ADCF-D8BFF3D34D89}">
      <text>
        <r>
          <rPr>
            <sz val="9"/>
            <color indexed="81"/>
            <rFont val="Tahoma"/>
            <family val="2"/>
          </rPr>
          <t xml:space="preserve">Only one trajectory were used </t>
        </r>
      </text>
    </comment>
    <comment ref="G19" authorId="0" shapeId="0" xr:uid="{00000000-0006-0000-0A00-00002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9" authorId="0" shapeId="0" xr:uid="{4D1CC621-223D-44B7-9ED3-2B99509CAE85}">
      <text>
        <r>
          <rPr>
            <sz val="9"/>
            <color indexed="81"/>
            <rFont val="Tahoma"/>
            <family val="2"/>
          </rPr>
          <t xml:space="preserve">PFP for different VOC is normlly between a few % and 20%
</t>
        </r>
      </text>
    </comment>
    <comment ref="C20" authorId="0" shapeId="0" xr:uid="{6E6F25B5-179A-48D0-A834-8083AF68D0C4}">
      <text>
        <r>
          <rPr>
            <sz val="9"/>
            <color indexed="81"/>
            <rFont val="Tahoma"/>
            <family val="2"/>
          </rPr>
          <t>Fry et al. Atmos. Chem. Phys., 14, 523–535, 2014
www.atmos-chem-phys.net/14/523/2014/</t>
        </r>
      </text>
    </comment>
    <comment ref="D20" authorId="0" shapeId="0" xr:uid="{C1539808-E153-4DF6-A21C-A2300477973F}">
      <text>
        <r>
          <rPr>
            <sz val="9"/>
            <color indexed="81"/>
            <rFont val="Tahoma"/>
            <family val="2"/>
          </rPr>
          <t>estmated from figure 5 Fry et al. DOI:10.5194/acp-14-523-2014</t>
        </r>
      </text>
    </comment>
    <comment ref="E20" authorId="0" shapeId="0" xr:uid="{00000000-0006-0000-0A00-000023000000}">
      <text>
        <r>
          <rPr>
            <sz val="9"/>
            <color indexed="81"/>
            <rFont val="Tahoma"/>
            <family val="2"/>
          </rPr>
          <t xml:space="preserve">0.74 - 1.22 according to Johanna Altenstedt and Karin Pleijel, IVL report B-1305 Göteborg, Sweden september 1998
</t>
        </r>
      </text>
    </comment>
    <comment ref="F20" authorId="0" shapeId="0" xr:uid="{70AFC272-CCB3-4E86-A8A9-33A3E2858336}">
      <text>
        <r>
          <rPr>
            <sz val="9"/>
            <color indexed="81"/>
            <rFont val="Tahoma"/>
            <family val="2"/>
          </rPr>
          <t>0.74 to 1.22 for European conditions according to 
Johanna Altenstedt and Karin Pleijel, IVL report B-1305
Göteborg, september 1998</t>
        </r>
      </text>
    </comment>
    <comment ref="G20" authorId="0" shapeId="0" xr:uid="{00000000-0006-0000-0A00-000024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0" authorId="0" shapeId="0" xr:uid="{833DDE50-44D3-4C18-A7EB-90072685F2CA}">
      <text>
        <r>
          <rPr>
            <sz val="9"/>
            <color indexed="81"/>
            <rFont val="Tahoma"/>
            <family val="2"/>
          </rPr>
          <t xml:space="preserve">PFP for different VOC is normlly between a few % and 20%
</t>
        </r>
      </text>
    </comment>
    <comment ref="C21" authorId="0" shapeId="0" xr:uid="{A4F564A9-709C-42D9-B5C0-ACBB9C71E7ED}">
      <text>
        <r>
          <rPr>
            <sz val="9"/>
            <color indexed="81"/>
            <rFont val="Tahoma"/>
            <family val="2"/>
          </rPr>
          <t>Fry et al. Atmos. Chem. Phys., 14, 523–535, 2014
www.atmos-chem-phys.net/14/523/2014/</t>
        </r>
      </text>
    </comment>
    <comment ref="D21" authorId="0" shapeId="0" xr:uid="{CEF74C04-66C4-42B4-B4ED-66DB20D9D85F}">
      <text>
        <r>
          <rPr>
            <sz val="9"/>
            <color indexed="81"/>
            <rFont val="Tahoma"/>
            <family val="2"/>
          </rPr>
          <t>estmated from figure 5 Fry et al. DOI:10.5194/acp-14-523-2014</t>
        </r>
      </text>
    </comment>
    <comment ref="E21" authorId="0" shapeId="0" xr:uid="{00000000-0006-0000-0A00-000025000000}">
      <text>
        <r>
          <rPr>
            <sz val="9"/>
            <color indexed="81"/>
            <rFont val="Tahoma"/>
            <family val="2"/>
          </rPr>
          <t xml:space="preserve">0.71 - 1.03 according to Johanna Altenstedt and Karin Pleijel, IVL report B-1305 Göteborg, Sweden september 1998
</t>
        </r>
      </text>
    </comment>
    <comment ref="F21" authorId="0" shapeId="0" xr:uid="{F04E0F39-AD67-4C68-8636-0BE83AA6661C}">
      <text>
        <r>
          <rPr>
            <sz val="9"/>
            <color indexed="81"/>
            <rFont val="Tahoma"/>
            <family val="2"/>
          </rPr>
          <t>0.71to 1.03 for European conditions according to 
Johanna Altenstedt and Karin Pleijel, IVL report B-1305
Göteborg, september 1998</t>
        </r>
      </text>
    </comment>
    <comment ref="G21" authorId="0" shapeId="0" xr:uid="{00000000-0006-0000-0A00-000026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1" authorId="0" shapeId="0" xr:uid="{2448D278-C1B4-4128-A8A5-92CA08DFE50B}">
      <text>
        <r>
          <rPr>
            <sz val="9"/>
            <color indexed="81"/>
            <rFont val="Tahoma"/>
            <family val="2"/>
          </rPr>
          <t xml:space="preserve">PFP for different VOC is normlly between a few % and 20%
</t>
        </r>
      </text>
    </comment>
    <comment ref="C22" authorId="0" shapeId="0" xr:uid="{FA6ADF09-5319-40EA-8149-2C9D987AA83F}">
      <text>
        <r>
          <rPr>
            <sz val="9"/>
            <color indexed="81"/>
            <rFont val="Tahoma"/>
            <family val="2"/>
          </rPr>
          <t>Fry et al. Atmos. Chem. Phys., 14, 523–535, 2014
www.atmos-chem-phys.net/14/523/2014/</t>
        </r>
      </text>
    </comment>
    <comment ref="D22" authorId="0" shapeId="0" xr:uid="{03C6664F-F485-4E5D-8FD7-C562BD0B027E}">
      <text>
        <r>
          <rPr>
            <sz val="9"/>
            <color indexed="81"/>
            <rFont val="Tahoma"/>
            <family val="2"/>
          </rPr>
          <t>estmated from figure 5 Fry et al. DOI:10.5194/acp-14-523-2014</t>
        </r>
      </text>
    </comment>
    <comment ref="E22" authorId="0" shapeId="0" xr:uid="{00000000-0006-0000-0A00-000027000000}">
      <text>
        <r>
          <rPr>
            <sz val="9"/>
            <color indexed="81"/>
            <rFont val="Tahoma"/>
            <family val="2"/>
          </rPr>
          <t>0.73 - 1.21 according to Johanna Altenstedt and Karin Pleijel, IVL report B-1305 Göteborg, Sweden september 1998</t>
        </r>
      </text>
    </comment>
    <comment ref="F22" authorId="0" shapeId="0" xr:uid="{B11A86EA-AFA6-45E7-BC49-15BD7393C893}">
      <text>
        <r>
          <rPr>
            <sz val="9"/>
            <color indexed="81"/>
            <rFont val="Tahoma"/>
            <family val="2"/>
          </rPr>
          <t>0.73 to 1.21 for European conditions according to 
Johanna Altenstedt and Karin Pleijel, IVL report B-1305
Göteborg, september 1998</t>
        </r>
      </text>
    </comment>
    <comment ref="G22" authorId="0" shapeId="0" xr:uid="{00000000-0006-0000-0A00-00002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2" authorId="0" shapeId="0" xr:uid="{87876EBD-891F-48CD-A350-48C3895EC6FA}">
      <text>
        <r>
          <rPr>
            <sz val="9"/>
            <color indexed="81"/>
            <rFont val="Tahoma"/>
            <family val="2"/>
          </rPr>
          <t xml:space="preserve">PFP for different VOC is normlly between a few % and 20%
</t>
        </r>
      </text>
    </comment>
    <comment ref="C23" authorId="0" shapeId="0" xr:uid="{9393FFF1-678A-444E-AA11-E4A6634551F9}">
      <text>
        <r>
          <rPr>
            <sz val="9"/>
            <color indexed="81"/>
            <rFont val="Tahoma"/>
            <family val="2"/>
          </rPr>
          <t>Fry et al. Atmos. Chem. Phys., 14, 523–535, 2014
www.atmos-chem-phys.net/14/523/2014/</t>
        </r>
      </text>
    </comment>
    <comment ref="D23" authorId="0" shapeId="0" xr:uid="{BFE90262-168F-4104-8AB1-A7D511CDC5D2}">
      <text>
        <r>
          <rPr>
            <sz val="9"/>
            <color indexed="81"/>
            <rFont val="Tahoma"/>
            <family val="2"/>
          </rPr>
          <t>estmated from figure 5 Fry et al. DOI:10.5194/acp-14-523-2014</t>
        </r>
      </text>
    </comment>
    <comment ref="E23" authorId="0" shapeId="0" xr:uid="{00000000-0006-0000-0A00-000029000000}">
      <text>
        <r>
          <rPr>
            <sz val="9"/>
            <color indexed="81"/>
            <rFont val="Tahoma"/>
            <family val="2"/>
          </rPr>
          <t xml:space="preserve">0.71 - 1.04  according to Johanna Altenstedt and Karin Pleijel, IVL report B-1305 Göteborg, Sweden september 1998
</t>
        </r>
      </text>
    </comment>
    <comment ref="F23" authorId="0" shapeId="0" xr:uid="{754CE9CB-8BB4-4ED8-B602-8C1F94240DAD}">
      <text>
        <r>
          <rPr>
            <sz val="9"/>
            <color indexed="81"/>
            <rFont val="Tahoma"/>
            <family val="2"/>
          </rPr>
          <t>0.71 to 1.04 for European conditions according to 
Johanna Altenstedt and Karin Pleijel, IVL report B-1305
Göteborg, september 1998</t>
        </r>
      </text>
    </comment>
    <comment ref="G23" authorId="0" shapeId="0" xr:uid="{00000000-0006-0000-0A00-00002A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3" authorId="0" shapeId="0" xr:uid="{062047A0-9309-4217-9CF1-9C3AEBB13918}">
      <text>
        <r>
          <rPr>
            <sz val="9"/>
            <color indexed="81"/>
            <rFont val="Tahoma"/>
            <family val="2"/>
          </rPr>
          <t xml:space="preserve">PFP for different VOC is normlly between a few % and 20%
</t>
        </r>
      </text>
    </comment>
    <comment ref="C24" authorId="0" shapeId="0" xr:uid="{25F1E7FA-B5BA-4FC8-9777-A09052C8B0B9}">
      <text>
        <r>
          <rPr>
            <sz val="9"/>
            <color indexed="81"/>
            <rFont val="Tahoma"/>
            <family val="2"/>
          </rPr>
          <t>Fry et al. Atmos. Chem. Phys., 14, 523–535, 2014
www.atmos-chem-phys.net/14/523/2014/</t>
        </r>
      </text>
    </comment>
    <comment ref="D24" authorId="0" shapeId="0" xr:uid="{89636A4A-28A4-4C9F-98B3-9C548559B097}">
      <text>
        <r>
          <rPr>
            <sz val="9"/>
            <color indexed="81"/>
            <rFont val="Tahoma"/>
            <family val="2"/>
          </rPr>
          <t>estmated from figure 5 Fry et al. DOI:10.5194/acp-14-523-2014</t>
        </r>
      </text>
    </comment>
    <comment ref="E24" authorId="0" shapeId="0" xr:uid="{00000000-0006-0000-0A00-00002B000000}">
      <text>
        <r>
          <rPr>
            <sz val="9"/>
            <color indexed="81"/>
            <rFont val="Tahoma"/>
            <family val="2"/>
          </rPr>
          <t xml:space="preserve">0.72 - 1.18  according to Johanna Altenstedt and Karin Pleijel, IVL report B-1305 Göteborg, Sweden september 1998
</t>
        </r>
      </text>
    </comment>
    <comment ref="F24" authorId="0" shapeId="0" xr:uid="{FABBCAA7-D0DC-4DE6-91A0-A1899ECB73FE}">
      <text>
        <r>
          <rPr>
            <sz val="9"/>
            <color indexed="81"/>
            <rFont val="Tahoma"/>
            <family val="2"/>
          </rPr>
          <t>0.72 to 1.08 for European conditions according to 
Johanna Altenstedt and Karin Pleijel, IVL report B-1305
Göteborg, september 1998</t>
        </r>
      </text>
    </comment>
    <comment ref="G24" authorId="0" shapeId="0" xr:uid="{00000000-0006-0000-0A00-00002C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4" authorId="0" shapeId="0" xr:uid="{A0290854-4AD7-4EB7-9567-591DF7BFD37D}">
      <text>
        <r>
          <rPr>
            <sz val="9"/>
            <color indexed="81"/>
            <rFont val="Tahoma"/>
            <family val="2"/>
          </rPr>
          <t xml:space="preserve">PFP for different VOC is normlly between a few % and 20%
</t>
        </r>
      </text>
    </comment>
    <comment ref="C25" authorId="0" shapeId="0" xr:uid="{8A631166-36CC-4857-892E-7B999BF2B879}">
      <text>
        <r>
          <rPr>
            <sz val="9"/>
            <color indexed="81"/>
            <rFont val="Tahoma"/>
            <family val="2"/>
          </rPr>
          <t>Fry et al. Atmos. Chem. Phys., 14, 523–535, 2014
www.atmos-chem-phys.net/14/523/2014/</t>
        </r>
      </text>
    </comment>
    <comment ref="D25" authorId="0" shapeId="0" xr:uid="{06730C0D-D527-4368-977E-CBF885B8FAA7}">
      <text>
        <r>
          <rPr>
            <sz val="9"/>
            <color indexed="81"/>
            <rFont val="Tahoma"/>
            <family val="2"/>
          </rPr>
          <t>estmated from figure 5 Fry et al. DOI:10.5194/acp-14-523-2014</t>
        </r>
      </text>
    </comment>
    <comment ref="E25" authorId="0" shapeId="0" xr:uid="{00000000-0006-0000-0A00-00002D000000}">
      <text>
        <r>
          <rPr>
            <sz val="9"/>
            <color indexed="81"/>
            <rFont val="Tahoma"/>
            <family val="2"/>
          </rPr>
          <t xml:space="preserve">0.71 - 1.05  according to Johanna Altenstedt and Karin Pleijel, IVL report B-1305 Göteborg, Sweden september 1998
</t>
        </r>
      </text>
    </comment>
    <comment ref="F25" authorId="0" shapeId="0" xr:uid="{CBBE075C-3357-4EE3-A388-13C8C2F5E8A0}">
      <text>
        <r>
          <rPr>
            <sz val="9"/>
            <color indexed="81"/>
            <rFont val="Tahoma"/>
            <family val="2"/>
          </rPr>
          <t>0.71 to 1.05 for European conditions according to 
Johanna Altenstedt and Karin Pleijel, IVL report B-1305
Göteborg, september 1998</t>
        </r>
      </text>
    </comment>
    <comment ref="G25" authorId="0" shapeId="0" xr:uid="{00000000-0006-0000-0A00-00002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5" authorId="0" shapeId="0" xr:uid="{4B693FD5-CD53-490E-9527-CBD2D63A763E}">
      <text>
        <r>
          <rPr>
            <sz val="9"/>
            <color indexed="81"/>
            <rFont val="Tahoma"/>
            <family val="2"/>
          </rPr>
          <t xml:space="preserve">PFP for different VOC is normlly between a few % and 20%
</t>
        </r>
      </text>
    </comment>
    <comment ref="C26" authorId="0" shapeId="0" xr:uid="{773997A9-7E24-46AA-904B-8E6545280D31}">
      <text>
        <r>
          <rPr>
            <sz val="9"/>
            <color indexed="81"/>
            <rFont val="Tahoma"/>
            <family val="2"/>
          </rPr>
          <t>Fry et al. Atmos. Chem. Phys., 14, 523–535, 2014
www.atmos-chem-phys.net/14/523/2014/</t>
        </r>
      </text>
    </comment>
    <comment ref="D26" authorId="0" shapeId="0" xr:uid="{297EC56F-B060-4109-B36F-F4FB819F082B}">
      <text>
        <r>
          <rPr>
            <sz val="9"/>
            <color indexed="81"/>
            <rFont val="Tahoma"/>
            <family val="2"/>
          </rPr>
          <t>estmated from figure 5 Fry et al. DOI:10.5194/acp-14-523-2014</t>
        </r>
      </text>
    </comment>
    <comment ref="E26" authorId="0" shapeId="0" xr:uid="{00000000-0006-0000-0A00-00002F000000}">
      <text>
        <r>
          <rPr>
            <sz val="9"/>
            <color indexed="81"/>
            <rFont val="Tahoma"/>
            <family val="2"/>
          </rPr>
          <t xml:space="preserve">0.69 - 1.15  according to Johanna Altenstedt and Karin Pleijel, IVL report B-1305 Göteborg, Sweden september 1998
</t>
        </r>
      </text>
    </comment>
    <comment ref="F26" authorId="0" shapeId="0" xr:uid="{DAC75DBC-8DCE-4479-A66C-C014B1403B5B}">
      <text>
        <r>
          <rPr>
            <sz val="9"/>
            <color indexed="81"/>
            <rFont val="Tahoma"/>
            <family val="2"/>
          </rPr>
          <t>0.69 to 1.15 for European conditions according to 
Johanna Altenstedt and Karin Pleijel, IVL report B-1305
Göteborg, september 1998</t>
        </r>
      </text>
    </comment>
    <comment ref="G26" authorId="0" shapeId="0" xr:uid="{00000000-0006-0000-0A00-00003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6" authorId="0" shapeId="0" xr:uid="{E6FE46E2-99F6-4D08-B1A9-6EE7D9A754A3}">
      <text>
        <r>
          <rPr>
            <sz val="9"/>
            <color indexed="81"/>
            <rFont val="Tahoma"/>
            <family val="2"/>
          </rPr>
          <t xml:space="preserve">PFP for different VOC is normlly between a few % and 20%
</t>
        </r>
      </text>
    </comment>
    <comment ref="C27" authorId="0" shapeId="0" xr:uid="{29FA26BD-4C43-40E5-BDE7-19DEA2E374A7}">
      <text>
        <r>
          <rPr>
            <sz val="9"/>
            <color indexed="81"/>
            <rFont val="Tahoma"/>
            <family val="2"/>
          </rPr>
          <t>Fry et al. Atmos. Chem. Phys., 14, 523–535, 2014
www.atmos-chem-phys.net/14/523/2014/</t>
        </r>
      </text>
    </comment>
    <comment ref="D27" authorId="0" shapeId="0" xr:uid="{60B8AD0D-60C8-48BF-B6D6-E8C903EE5D03}">
      <text>
        <r>
          <rPr>
            <sz val="9"/>
            <color indexed="81"/>
            <rFont val="Tahoma"/>
            <family val="2"/>
          </rPr>
          <t>estmated from figure 5 Fry et al. DOI:10.5194/acp-14-523-2014</t>
        </r>
      </text>
    </comment>
    <comment ref="E27" authorId="0" shapeId="0" xr:uid="{00000000-0006-0000-0A00-000031000000}">
      <text>
        <r>
          <rPr>
            <sz val="9"/>
            <color indexed="81"/>
            <rFont val="Tahoma"/>
            <family val="2"/>
          </rPr>
          <t xml:space="preserve">0.70 - 1.14  according to Johanna Altenstedt and Karin Pleijel, IVL report B-1305 Göteborg, Sweden september 1998
</t>
        </r>
      </text>
    </comment>
    <comment ref="F27" authorId="0" shapeId="0" xr:uid="{BC45EFB2-1BFE-44B6-A96E-F3857FA8AAA4}">
      <text>
        <r>
          <rPr>
            <sz val="9"/>
            <color indexed="81"/>
            <rFont val="Tahoma"/>
            <family val="2"/>
          </rPr>
          <t>0.70 to 1.14 for European conditions according to 
Johanna Altenstedt and Karin Pleijel, IVL report B-1305
Göteborg, september 1998</t>
        </r>
      </text>
    </comment>
    <comment ref="G27" authorId="0" shapeId="0" xr:uid="{00000000-0006-0000-0A00-00003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7" authorId="0" shapeId="0" xr:uid="{D680330B-E7E9-4F0E-A4F6-D8405CAB5E18}">
      <text>
        <r>
          <rPr>
            <sz val="9"/>
            <color indexed="81"/>
            <rFont val="Tahoma"/>
            <family val="2"/>
          </rPr>
          <t xml:space="preserve">PFP for different VOC is normlly between a few % and 20%
</t>
        </r>
      </text>
    </comment>
    <comment ref="C29" authorId="0" shapeId="0" xr:uid="{20DD9F9B-119A-4B2B-AA7B-D1771D6064E0}">
      <text>
        <r>
          <rPr>
            <sz val="9"/>
            <color indexed="81"/>
            <rFont val="Tahoma"/>
            <family val="2"/>
          </rPr>
          <t>Fry et al. Atmos. Chem. Phys., 14, 523–535, 2014
www.atmos-chem-phys.net/14/523/2014/</t>
        </r>
      </text>
    </comment>
    <comment ref="D29" authorId="0" shapeId="0" xr:uid="{FCBC9760-20B9-464A-A41C-4DF2813A7E0A}">
      <text>
        <r>
          <rPr>
            <sz val="9"/>
            <color indexed="81"/>
            <rFont val="Tahoma"/>
            <family val="2"/>
          </rPr>
          <t>estmated from figure 5 Fry et al. DOI:10.5194/acp-14-523-2014</t>
        </r>
      </text>
    </comment>
    <comment ref="E29" authorId="0" shapeId="0" xr:uid="{00000000-0006-0000-0A00-000033000000}">
      <text>
        <r>
          <rPr>
            <sz val="9"/>
            <color indexed="81"/>
            <rFont val="Tahoma"/>
            <family val="2"/>
          </rPr>
          <t xml:space="preserve">Derwent et al. Atmospheric Environment Vol. 32, No. 14/15, pp. 2429Ð2441, 1998
</t>
        </r>
      </text>
    </comment>
    <comment ref="F29" authorId="0" shapeId="0" xr:uid="{581BEE11-4B22-4D7D-B779-6086D09F6B29}">
      <text>
        <r>
          <rPr>
            <sz val="9"/>
            <color indexed="81"/>
            <rFont val="Tahoma"/>
            <family val="2"/>
          </rPr>
          <t xml:space="preserve">Only one trajectory were used </t>
        </r>
      </text>
    </comment>
    <comment ref="G29" authorId="0" shapeId="0" xr:uid="{00000000-0006-0000-0A00-000034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29" authorId="0" shapeId="0" xr:uid="{2941D722-A61B-44DF-9523-C920A77C2456}">
      <text>
        <r>
          <rPr>
            <sz val="9"/>
            <color indexed="81"/>
            <rFont val="Tahoma"/>
            <family val="2"/>
          </rPr>
          <t xml:space="preserve">PFP for different VOC is normlly between a few % and 20%
</t>
        </r>
      </text>
    </comment>
    <comment ref="C30" authorId="0" shapeId="0" xr:uid="{05A36535-013D-466C-8F92-7B122C2B3368}">
      <text>
        <r>
          <rPr>
            <sz val="9"/>
            <color indexed="81"/>
            <rFont val="Tahoma"/>
            <family val="2"/>
          </rPr>
          <t>Fry et al. Atmos. Chem. Phys., 14, 523–535, 2014
www.atmos-chem-phys.net/14/523/2014/</t>
        </r>
      </text>
    </comment>
    <comment ref="D30" authorId="0" shapeId="0" xr:uid="{E56E419C-43DC-4FAD-864D-4C3B85F44CC0}">
      <text>
        <r>
          <rPr>
            <sz val="9"/>
            <color indexed="81"/>
            <rFont val="Tahoma"/>
            <family val="2"/>
          </rPr>
          <t>estmated from figure 5 Fry et al. DOI:10.5194/acp-14-523-2014</t>
        </r>
      </text>
    </comment>
    <comment ref="E30" authorId="0" shapeId="0" xr:uid="{00000000-0006-0000-0A00-000035000000}">
      <text>
        <r>
          <rPr>
            <sz val="9"/>
            <color indexed="81"/>
            <rFont val="Tahoma"/>
            <family val="2"/>
          </rPr>
          <t xml:space="preserve">0.38 - 1.12  according to Johanna Altenstedt and Karin Pleijel, IVL report B-1305 Göteborg, Sweden september 1998
</t>
        </r>
      </text>
    </comment>
    <comment ref="F30" authorId="0" shapeId="0" xr:uid="{C135B71A-2D4F-4F8E-842F-DE9AF1BE9276}">
      <text>
        <r>
          <rPr>
            <sz val="9"/>
            <color indexed="81"/>
            <rFont val="Tahoma"/>
            <family val="2"/>
          </rPr>
          <t>0.38 to 1.12 for European conditions according to 
Johanna Altenstedt and Karin Pleijel, IVL report B-1305
Göteborg, september 1998</t>
        </r>
      </text>
    </comment>
    <comment ref="G30" authorId="0" shapeId="0" xr:uid="{00000000-0006-0000-0A00-000036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0" authorId="0" shapeId="0" xr:uid="{28B3E3F9-2BF5-4180-BDBF-B7F9FEA001F5}">
      <text>
        <r>
          <rPr>
            <sz val="9"/>
            <color indexed="81"/>
            <rFont val="Tahoma"/>
            <family val="2"/>
          </rPr>
          <t xml:space="preserve">PFP for different VOC is normlly between a few % and 20%
</t>
        </r>
      </text>
    </comment>
    <comment ref="C31" authorId="0" shapeId="0" xr:uid="{32D01223-B6B9-4688-BF29-52A3648B8B21}">
      <text>
        <r>
          <rPr>
            <sz val="9"/>
            <color indexed="81"/>
            <rFont val="Tahoma"/>
            <family val="2"/>
          </rPr>
          <t>Fry et al. Atmos. Chem. Phys., 14, 523–535, 2014
www.atmos-chem-phys.net/14/523/2014/</t>
        </r>
      </text>
    </comment>
    <comment ref="D31" authorId="0" shapeId="0" xr:uid="{4A598977-C1A7-4178-B913-6862CCF20A24}">
      <text>
        <r>
          <rPr>
            <sz val="9"/>
            <color indexed="81"/>
            <rFont val="Tahoma"/>
            <family val="2"/>
          </rPr>
          <t>estmated from figure 5 Fry et al. DOI:10.5194/acp-14-523-2014</t>
        </r>
      </text>
    </comment>
    <comment ref="E31" authorId="0" shapeId="0" xr:uid="{00000000-0006-0000-0A00-000037000000}">
      <text>
        <r>
          <rPr>
            <sz val="9"/>
            <color indexed="81"/>
            <rFont val="Tahoma"/>
            <family val="2"/>
          </rPr>
          <t xml:space="preserve">Derwent et al. Atmospheric Environment Vol. 32, No. 14/15, pp. 2429Ð2441, 1998
</t>
        </r>
      </text>
    </comment>
    <comment ref="F31" authorId="0" shapeId="0" xr:uid="{B17E1CF6-7A23-4E15-AEC8-134C25E98C62}">
      <text>
        <r>
          <rPr>
            <sz val="9"/>
            <color indexed="81"/>
            <rFont val="Tahoma"/>
            <family val="2"/>
          </rPr>
          <t xml:space="preserve">Only one trajectory were used </t>
        </r>
      </text>
    </comment>
    <comment ref="G31" authorId="0" shapeId="0" xr:uid="{00000000-0006-0000-0A00-00003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1" authorId="0" shapeId="0" xr:uid="{C73FB103-6A10-4765-BDB9-CC7BC302E759}">
      <text>
        <r>
          <rPr>
            <sz val="9"/>
            <color indexed="81"/>
            <rFont val="Tahoma"/>
            <family val="2"/>
          </rPr>
          <t xml:space="preserve">PFP for different VOC is normlly between a few % and 20%
</t>
        </r>
      </text>
    </comment>
    <comment ref="C32" authorId="0" shapeId="0" xr:uid="{0815BC03-0345-4D85-B1D0-C385E1B8A2DE}">
      <text>
        <r>
          <rPr>
            <sz val="9"/>
            <color indexed="81"/>
            <rFont val="Tahoma"/>
            <family val="2"/>
          </rPr>
          <t>Fry et al. Atmos. Chem. Phys., 14, 523–535, 2014
www.atmos-chem-phys.net/14/523/2014/</t>
        </r>
      </text>
    </comment>
    <comment ref="D32" authorId="0" shapeId="0" xr:uid="{8E9D3135-7A9C-4584-8285-3CA285849D58}">
      <text>
        <r>
          <rPr>
            <sz val="9"/>
            <color indexed="81"/>
            <rFont val="Tahoma"/>
            <family val="2"/>
          </rPr>
          <t>estmated from figure 5 Fry et al. DOI:10.5194/acp-14-523-2014</t>
        </r>
      </text>
    </comment>
    <comment ref="E32" authorId="0" shapeId="0" xr:uid="{00000000-0006-0000-0A00-000039000000}">
      <text>
        <r>
          <rPr>
            <sz val="9"/>
            <color indexed="81"/>
            <rFont val="Tahoma"/>
            <family val="2"/>
          </rPr>
          <t xml:space="preserve">Derwent et al. Atmospheric Environment Vol. 32, No. 14/15, pp. 2429Ð2441, 1998
</t>
        </r>
      </text>
    </comment>
    <comment ref="F32" authorId="0" shapeId="0" xr:uid="{CA0F1160-A31B-4937-B45F-472356EC5E79}">
      <text>
        <r>
          <rPr>
            <sz val="9"/>
            <color indexed="81"/>
            <rFont val="Tahoma"/>
            <family val="2"/>
          </rPr>
          <t xml:space="preserve">Only one trajectory were used </t>
        </r>
      </text>
    </comment>
    <comment ref="G32" authorId="0" shapeId="0" xr:uid="{00000000-0006-0000-0A00-00003A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2" authorId="0" shapeId="0" xr:uid="{DF9FAE74-E9D4-4F23-A17B-678560938F45}">
      <text>
        <r>
          <rPr>
            <sz val="9"/>
            <color indexed="81"/>
            <rFont val="Tahoma"/>
            <family val="2"/>
          </rPr>
          <t xml:space="preserve">PFP for different VOC is normlly between a few % and 20%
</t>
        </r>
      </text>
    </comment>
    <comment ref="A34" authorId="0" shapeId="0" xr:uid="{00000000-0006-0000-0A00-00003B000000}">
      <text>
        <r>
          <rPr>
            <sz val="9"/>
            <color indexed="81"/>
            <rFont val="Tahoma"/>
            <family val="2"/>
          </rPr>
          <t xml:space="preserve">Ethene (=ethylene) is produced naturally from vegetation. Anthropogenic ethene is emitted as a tracer from many combustion processes and from handling of gasoline. Emissions from petrochemical plants occur but are not a major source in a global perspective. Ethene in air is present as a gas. The residence time is in the order of days to weeks, depending on the photochemical activity. Emissions from product systems are typically coming from many small ground level sources distributed over large areas
The flow group assessed is anthropogenic emissions of ethene to air, anyplace in the world 1990 and at any source strength. </t>
        </r>
      </text>
    </comment>
    <comment ref="C34" authorId="0" shapeId="0" xr:uid="{B0A88415-F390-489F-B378-5CF7985352C5}">
      <text>
        <r>
          <rPr>
            <sz val="9"/>
            <color indexed="81"/>
            <rFont val="Tahoma"/>
            <family val="2"/>
          </rPr>
          <t>Fry et al. Atmos. Chem. Phys., 14, 523–535, 2014
www.atmos-chem-phys.net/14/523/2014/</t>
        </r>
      </text>
    </comment>
    <comment ref="D34" authorId="0" shapeId="0" xr:uid="{91A4BD69-D018-40BE-8AA2-B710A1FA04B6}">
      <text>
        <r>
          <rPr>
            <sz val="9"/>
            <color indexed="81"/>
            <rFont val="Tahoma"/>
            <family val="2"/>
          </rPr>
          <t>estmated from figure 5 Fry et al. DOI:10.5194/acp-14-523-2014</t>
        </r>
      </text>
    </comment>
    <comment ref="E34" authorId="0" shapeId="0" xr:uid="{00000000-0006-0000-0A00-00003C000000}">
      <text>
        <r>
          <rPr>
            <sz val="9"/>
            <color indexed="81"/>
            <rFont val="Tahoma"/>
            <family val="2"/>
          </rPr>
          <t xml:space="preserve">Reference substance
</t>
        </r>
      </text>
    </comment>
    <comment ref="F34" authorId="0" shapeId="0" xr:uid="{D29BB801-8070-473B-A1D0-5D338404F667}">
      <text>
        <r>
          <rPr>
            <sz val="9"/>
            <color indexed="81"/>
            <rFont val="Tahoma"/>
            <family val="2"/>
          </rPr>
          <t xml:space="preserve">POCP is 1 by definition
</t>
        </r>
      </text>
    </comment>
    <comment ref="G34" authorId="0" shapeId="0" xr:uid="{00000000-0006-0000-0A00-00003D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4" authorId="0" shapeId="0" xr:uid="{2BFADACB-8BF2-461E-A3A1-374D6E3DBA1F}">
      <text>
        <r>
          <rPr>
            <sz val="9"/>
            <color indexed="81"/>
            <rFont val="Tahoma"/>
            <family val="2"/>
          </rPr>
          <t xml:space="preserve">PFP for different VOC is normlly between a few % and 20%
</t>
        </r>
      </text>
    </comment>
    <comment ref="L34" authorId="0" shapeId="0" xr:uid="{00000000-0006-0000-0A00-00003E000000}">
      <text>
        <r>
          <rPr>
            <sz val="9"/>
            <color indexed="81"/>
            <rFont val="Tahoma"/>
            <family val="2"/>
          </rPr>
          <t>Victorin (Victorin, K., “Risk assessment of carcinogenic air pollutants”, IMM-report 1/98, Karolinska institutet, Stockholm 1998) uses USEPA provisional estimates of the lifetime cancer risk for ethylene-oxide of 1E-4 per </t>
        </r>
        <r>
          <rPr>
            <sz val="9"/>
            <color indexed="81"/>
            <rFont val="Albertus MT"/>
            <family val="1"/>
          </rPr>
          <t>μ</t>
        </r>
        <r>
          <rPr>
            <sz val="9"/>
            <color indexed="81"/>
            <rFont val="Tahoma"/>
            <family val="2"/>
          </rPr>
          <t xml:space="preserve">g/m3 and assumes a metabolisation rate of 5% to estimate the cancer risk for ethylene. This will give a risk estimate of 5E-6 per μg/m3, which is 0.074 times the risk of benzene if assuming the same dispersion patterns as benzene.
</t>
        </r>
      </text>
    </comment>
    <comment ref="C35" authorId="0" shapeId="0" xr:uid="{B1F45B02-3E9A-4647-AA68-5AC0A53CD499}">
      <text>
        <r>
          <rPr>
            <sz val="9"/>
            <color indexed="81"/>
            <rFont val="Tahoma"/>
            <family val="2"/>
          </rPr>
          <t>Fry et al. Atmos. Chem. Phys., 14, 523–535, 2014
www.atmos-chem-phys.net/14/523/2014/</t>
        </r>
      </text>
    </comment>
    <comment ref="D35" authorId="0" shapeId="0" xr:uid="{B68747DC-50FD-4CE6-A323-470A14A73818}">
      <text>
        <r>
          <rPr>
            <sz val="9"/>
            <color indexed="81"/>
            <rFont val="Tahoma"/>
            <family val="2"/>
          </rPr>
          <t>estmated from figure 5 Fry et al. DOI:10.5194/acp-14-523-2014</t>
        </r>
      </text>
    </comment>
    <comment ref="E35" authorId="0" shapeId="0" xr:uid="{00000000-0006-0000-0A00-00003F000000}">
      <text>
        <r>
          <rPr>
            <sz val="9"/>
            <color indexed="81"/>
            <rFont val="Tahoma"/>
            <family val="2"/>
          </rPr>
          <t xml:space="preserve">1.17 - 1.33  according to Johanna Altenstedt and Karin Pleijel, IVL report B-1305 Göteborg, Sweden september 1998
</t>
        </r>
      </text>
    </comment>
    <comment ref="F35" authorId="0" shapeId="0" xr:uid="{161ADB6B-0E26-4792-AC26-D0010EEDE91E}">
      <text>
        <r>
          <rPr>
            <sz val="9"/>
            <color indexed="81"/>
            <rFont val="Tahoma"/>
            <family val="2"/>
          </rPr>
          <t>1.17 to 1.33 for European conditions according to 
Johanna Altenstedt and Karin Pleijel, IVL report B-1305
Göteborg, september 1998</t>
        </r>
      </text>
    </comment>
    <comment ref="G35" authorId="0" shapeId="0" xr:uid="{00000000-0006-0000-0A00-00004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5" authorId="0" shapeId="0" xr:uid="{DC88AAFA-A94C-4B2F-B732-13B6FAC7B362}">
      <text>
        <r>
          <rPr>
            <sz val="9"/>
            <color indexed="81"/>
            <rFont val="Tahoma"/>
            <family val="2"/>
          </rPr>
          <t xml:space="preserve">PFP for different VOC is normlly between a few % and 20%
</t>
        </r>
      </text>
    </comment>
    <comment ref="L35" authorId="0" shapeId="0" xr:uid="{00000000-0006-0000-0A00-000041000000}">
      <text>
        <r>
          <rPr>
            <sz val="9"/>
            <color indexed="81"/>
            <rFont val="Tahoma"/>
            <family val="2"/>
          </rPr>
          <t xml:space="preserve">Victorin (Victorin, K., “Risk assessment of carcinogenic air pollutants”, IMM-report 1/98, Karolinska institutet, Stockholm 1998) uses USEPA estimates of the lifetime cancer risk for propylene-oxide for which the lifetime inhalation unit risk is 3.710-6 per g/m3 and assumes a metabolisation rate of 10% to estimate the cancer risk for propylene. This will give an estimate that is 0.074 times the risk of benzene if assuming the same dispersion patterns as benzene.
</t>
        </r>
      </text>
    </comment>
    <comment ref="C36" authorId="0" shapeId="0" xr:uid="{4BBE6A2C-B811-49A8-9D23-9F6DFF39B86B}">
      <text>
        <r>
          <rPr>
            <sz val="9"/>
            <color indexed="81"/>
            <rFont val="Tahoma"/>
            <family val="2"/>
          </rPr>
          <t>Fry et al. Atmos. Chem. Phys., 14, 523–535, 2014
www.atmos-chem-phys.net/14/523/2014/</t>
        </r>
      </text>
    </comment>
    <comment ref="D36" authorId="0" shapeId="0" xr:uid="{E3442557-8D79-4AE9-938C-B23176B4B27C}">
      <text>
        <r>
          <rPr>
            <sz val="9"/>
            <color indexed="81"/>
            <rFont val="Tahoma"/>
            <family val="2"/>
          </rPr>
          <t>estmated from figure 5 Fry et al. DOI:10.5194/acp-14-523-2014</t>
        </r>
      </text>
    </comment>
    <comment ref="E36" authorId="0" shapeId="0" xr:uid="{00000000-0006-0000-0A00-000042000000}">
      <text>
        <r>
          <rPr>
            <sz val="9"/>
            <color indexed="81"/>
            <rFont val="Tahoma"/>
            <family val="2"/>
          </rPr>
          <t xml:space="preserve">1.15 - 1.37  according to Johanna Altenstedt and Karin Pleijel, IVL report B-1305 Göteborg, Sweden september 1998
</t>
        </r>
      </text>
    </comment>
    <comment ref="F36" authorId="0" shapeId="0" xr:uid="{37182D51-F24C-4AD2-B572-7C4C777C030C}">
      <text>
        <r>
          <rPr>
            <sz val="9"/>
            <color indexed="81"/>
            <rFont val="Tahoma"/>
            <family val="2"/>
          </rPr>
          <t>1.15 to 1.37 for European conditions according to 
Johanna Altenstedt and Karin Pleijel, IVL report B-1305
Göteborg, september 1998</t>
        </r>
      </text>
    </comment>
    <comment ref="G36" authorId="0" shapeId="0" xr:uid="{00000000-0006-0000-0A00-000043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6" authorId="0" shapeId="0" xr:uid="{D8F567C9-BA96-44BC-8257-1570494D8EC2}">
      <text>
        <r>
          <rPr>
            <sz val="9"/>
            <color indexed="81"/>
            <rFont val="Tahoma"/>
            <family val="2"/>
          </rPr>
          <t xml:space="preserve">PFP for different VOC is normlly between a few % and 20%
</t>
        </r>
      </text>
    </comment>
    <comment ref="C37" authorId="0" shapeId="0" xr:uid="{8BFF2B4E-39F6-47AB-8125-F69F0C30E1A5}">
      <text>
        <r>
          <rPr>
            <sz val="9"/>
            <color indexed="81"/>
            <rFont val="Tahoma"/>
            <family val="2"/>
          </rPr>
          <t>Fry et al. Atmos. Chem. Phys., 14, 523–535, 2014
www.atmos-chem-phys.net/14/523/2014/</t>
        </r>
      </text>
    </comment>
    <comment ref="D37" authorId="0" shapeId="0" xr:uid="{F56D3B5A-D964-4764-A7B4-0FAFA5A63ED4}">
      <text>
        <r>
          <rPr>
            <sz val="9"/>
            <color indexed="81"/>
            <rFont val="Tahoma"/>
            <family val="2"/>
          </rPr>
          <t>estmated from figure 5 Fry et al. DOI:10.5194/acp-14-523-2014</t>
        </r>
      </text>
    </comment>
    <comment ref="E37" authorId="0" shapeId="0" xr:uid="{00000000-0006-0000-0A00-000044000000}">
      <text>
        <r>
          <rPr>
            <sz val="9"/>
            <color indexed="81"/>
            <rFont val="Tahoma"/>
            <family val="2"/>
          </rPr>
          <t xml:space="preserve">1.00 - 1.27  according to Johanna Altenstedt and Karin Pleijel, IVL report B-1305 Göteborg, Sweden september 1998
</t>
        </r>
      </text>
    </comment>
    <comment ref="F37" authorId="0" shapeId="0" xr:uid="{335F1141-6E7E-4523-A23C-B331178960A3}">
      <text>
        <r>
          <rPr>
            <sz val="9"/>
            <color indexed="81"/>
            <rFont val="Tahoma"/>
            <family val="2"/>
          </rPr>
          <t>1.00 to 1.27 for European conditions according to 
Johanna Altenstedt and Karin Pleijel, IVL report B-1305
Göteborg, september 1998</t>
        </r>
      </text>
    </comment>
    <comment ref="G37" authorId="0" shapeId="0" xr:uid="{00000000-0006-0000-0A00-000045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7" authorId="0" shapeId="0" xr:uid="{E725227A-BA07-4A76-A0FF-3665FC7AE456}">
      <text>
        <r>
          <rPr>
            <sz val="9"/>
            <color indexed="81"/>
            <rFont val="Tahoma"/>
            <family val="2"/>
          </rPr>
          <t xml:space="preserve">PFP for different VOC is normlly between a few % and 20%
</t>
        </r>
      </text>
    </comment>
    <comment ref="C38" authorId="0" shapeId="0" xr:uid="{D8A0EBC8-3DAA-4042-A40E-AEA78DC6CC62}">
      <text>
        <r>
          <rPr>
            <sz val="9"/>
            <color indexed="81"/>
            <rFont val="Tahoma"/>
            <family val="2"/>
          </rPr>
          <t>Fry et al. Atmos. Chem. Phys., 14, 523–535, 2014
www.atmos-chem-phys.net/14/523/2014/</t>
        </r>
      </text>
    </comment>
    <comment ref="D38" authorId="0" shapeId="0" xr:uid="{A7984F07-DB5D-49AC-A54E-7CE070E30990}">
      <text>
        <r>
          <rPr>
            <sz val="9"/>
            <color indexed="81"/>
            <rFont val="Tahoma"/>
            <family val="2"/>
          </rPr>
          <t>estmated from figure 5 Fry et al. DOI:10.5194/acp-14-523-2014</t>
        </r>
      </text>
    </comment>
    <comment ref="E38" authorId="0" shapeId="0" xr:uid="{00000000-0006-0000-0A00-000046000000}">
      <text>
        <r>
          <rPr>
            <sz val="9"/>
            <color indexed="81"/>
            <rFont val="Tahoma"/>
            <family val="2"/>
          </rPr>
          <t xml:space="preserve">Derwent et al. Atmospheric Environment Vol. 32, No. 14/15, pp. 2429Ð2441, 1998
</t>
        </r>
      </text>
    </comment>
    <comment ref="F38" authorId="0" shapeId="0" xr:uid="{D0FD061F-6AA8-4F29-A584-AB7C50132D81}">
      <text>
        <r>
          <rPr>
            <sz val="9"/>
            <color indexed="81"/>
            <rFont val="Tahoma"/>
            <family val="2"/>
          </rPr>
          <t xml:space="preserve">Only one trajectory were used </t>
        </r>
      </text>
    </comment>
    <comment ref="G38" authorId="0" shapeId="0" xr:uid="{00000000-0006-0000-0A00-000047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8" authorId="0" shapeId="0" xr:uid="{819F0EFA-61DE-4E8A-AAA6-9032E86CF245}">
      <text>
        <r>
          <rPr>
            <sz val="9"/>
            <color indexed="81"/>
            <rFont val="Tahoma"/>
            <family val="2"/>
          </rPr>
          <t xml:space="preserve">PFP for different VOC is normlly between a few % and 20%
</t>
        </r>
      </text>
    </comment>
    <comment ref="C39" authorId="0" shapeId="0" xr:uid="{53C5995E-3949-459A-AEA3-3AC37DD41B7B}">
      <text>
        <r>
          <rPr>
            <sz val="9"/>
            <color indexed="81"/>
            <rFont val="Tahoma"/>
            <family val="2"/>
          </rPr>
          <t>Fry et al. Atmos. Chem. Phys., 14, 523–535, 2014
www.atmos-chem-phys.net/14/523/2014/</t>
        </r>
      </text>
    </comment>
    <comment ref="D39" authorId="0" shapeId="0" xr:uid="{2AFDE8C1-2E17-4C75-A75F-A30FD8347E37}">
      <text>
        <r>
          <rPr>
            <sz val="9"/>
            <color indexed="81"/>
            <rFont val="Tahoma"/>
            <family val="2"/>
          </rPr>
          <t>estmated from figure 5 Fry et al. DOI:10.5194/acp-14-523-2014</t>
        </r>
      </text>
    </comment>
    <comment ref="E39" authorId="0" shapeId="0" xr:uid="{00000000-0006-0000-0A00-000048000000}">
      <text>
        <r>
          <rPr>
            <sz val="9"/>
            <color indexed="81"/>
            <rFont val="Tahoma"/>
            <family val="2"/>
          </rPr>
          <t xml:space="preserve">1.07 - 1.35  according to Johanna Altenstedt and Karin Pleijel, IVL report B-1305 Göteborg, Sweden september 1998
</t>
        </r>
      </text>
    </comment>
    <comment ref="F39" authorId="0" shapeId="0" xr:uid="{742F4524-3DD2-4541-94B3-5D36BB667A21}">
      <text>
        <r>
          <rPr>
            <sz val="9"/>
            <color indexed="81"/>
            <rFont val="Tahoma"/>
            <family val="2"/>
          </rPr>
          <t>1.07 to 1.35 for European conditions according to 
Johanna Altenstedt and Karin Pleijel, IVL report B-1305
Göteborg, september 1998</t>
        </r>
      </text>
    </comment>
    <comment ref="G39" authorId="0" shapeId="0" xr:uid="{00000000-0006-0000-0A00-000049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39" authorId="0" shapeId="0" xr:uid="{268A3EA5-0589-4C3F-BDD0-95B32121B57B}">
      <text>
        <r>
          <rPr>
            <sz val="9"/>
            <color indexed="81"/>
            <rFont val="Tahoma"/>
            <family val="2"/>
          </rPr>
          <t xml:space="preserve">PFP for different VOC is normlly between a few % and 20%
</t>
        </r>
      </text>
    </comment>
    <comment ref="C40" authorId="0" shapeId="0" xr:uid="{716095DC-574F-4F67-9E43-1FCE74FF0407}">
      <text>
        <r>
          <rPr>
            <sz val="9"/>
            <color indexed="81"/>
            <rFont val="Tahoma"/>
            <family val="2"/>
          </rPr>
          <t>Fry et al. Atmos. Chem. Phys., 14, 523–535, 2014
www.atmos-chem-phys.net/14/523/2014/</t>
        </r>
      </text>
    </comment>
    <comment ref="D40" authorId="0" shapeId="0" xr:uid="{FA2BF8A0-4A35-43B1-8EF9-BC5B17A65B2E}">
      <text>
        <r>
          <rPr>
            <sz val="9"/>
            <color indexed="81"/>
            <rFont val="Tahoma"/>
            <family val="2"/>
          </rPr>
          <t>estmated from figure 5 Fry et al. DOI:10.5194/acp-14-523-2014</t>
        </r>
      </text>
    </comment>
    <comment ref="E40" authorId="0" shapeId="0" xr:uid="{00000000-0006-0000-0A00-00004A000000}">
      <text>
        <r>
          <rPr>
            <sz val="9"/>
            <color indexed="81"/>
            <rFont val="Tahoma"/>
            <family val="2"/>
          </rPr>
          <t xml:space="preserve">1.16 - 1.41  according to Johanna Altenstedt and Karin Pleijel, IVL report B-1305 Göteborg, Sweden september 1998
</t>
        </r>
      </text>
    </comment>
    <comment ref="F40" authorId="0" shapeId="0" xr:uid="{A9D1BE6C-C71D-4AC2-8AFA-9EDB470D2819}">
      <text>
        <r>
          <rPr>
            <sz val="9"/>
            <color indexed="81"/>
            <rFont val="Tahoma"/>
            <family val="2"/>
          </rPr>
          <t>1.16 to 1.41 for European conditions according to 
Johanna Altenstedt and Karin Pleijel, IVL report B-1305
Göteborg, september 1998</t>
        </r>
      </text>
    </comment>
    <comment ref="G40" authorId="0" shapeId="0" xr:uid="{00000000-0006-0000-0A00-00004B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0" authorId="0" shapeId="0" xr:uid="{DF725840-0C21-409D-8907-D0C87E570C22}">
      <text>
        <r>
          <rPr>
            <sz val="9"/>
            <color indexed="81"/>
            <rFont val="Tahoma"/>
            <family val="2"/>
          </rPr>
          <t xml:space="preserve">PFP for different VOC is normlly between a few % and 20%
</t>
        </r>
      </text>
    </comment>
    <comment ref="C41" authorId="0" shapeId="0" xr:uid="{F4C86487-BDBB-465A-929F-81A4DF7FFDC9}">
      <text>
        <r>
          <rPr>
            <sz val="9"/>
            <color indexed="81"/>
            <rFont val="Tahoma"/>
            <family val="2"/>
          </rPr>
          <t>Fry et al. Atmos. Chem. Phys., 14, 523–535, 2014
www.atmos-chem-phys.net/14/523/2014/</t>
        </r>
      </text>
    </comment>
    <comment ref="D41" authorId="0" shapeId="0" xr:uid="{92400DC3-CAAF-4931-996C-D7109C108AB3}">
      <text>
        <r>
          <rPr>
            <sz val="9"/>
            <color indexed="81"/>
            <rFont val="Tahoma"/>
            <family val="2"/>
          </rPr>
          <t>estmated from figure 5 Fry et al. DOI:10.5194/acp-14-523-2014</t>
        </r>
      </text>
    </comment>
    <comment ref="E41" authorId="0" shapeId="0" xr:uid="{00000000-0006-0000-0A00-00004C000000}">
      <text>
        <r>
          <rPr>
            <sz val="9"/>
            <color indexed="81"/>
            <rFont val="Tahoma"/>
            <family val="2"/>
          </rPr>
          <t xml:space="preserve">0.94 - 1.01  according to Johanna Altenstedt and Karin Pleijel, IVL report B-1305 Göteborg, Sweden september 1998
</t>
        </r>
      </text>
    </comment>
    <comment ref="F41" authorId="0" shapeId="0" xr:uid="{198143E8-71BC-4B62-88EC-80276D8C5D44}">
      <text>
        <r>
          <rPr>
            <sz val="9"/>
            <color indexed="81"/>
            <rFont val="Tahoma"/>
            <family val="2"/>
          </rPr>
          <t>0.94 to 1.01 for European conditions according to 
Johanna Altenstedt and Karin Pleijel, IVL report B-1305
Göteborg, september 1998</t>
        </r>
      </text>
    </comment>
    <comment ref="G41" authorId="0" shapeId="0" xr:uid="{00000000-0006-0000-0A00-00004D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1" authorId="0" shapeId="0" xr:uid="{D502BE2E-C12E-4D3A-912E-2C524A771F3E}">
      <text>
        <r>
          <rPr>
            <sz val="9"/>
            <color indexed="81"/>
            <rFont val="Tahoma"/>
            <family val="2"/>
          </rPr>
          <t xml:space="preserve">PFP for different VOC is normlly between a few % and 20%
</t>
        </r>
      </text>
    </comment>
    <comment ref="C42" authorId="0" shapeId="0" xr:uid="{0F67C343-C6D5-4D63-A9CF-258F05E1E368}">
      <text>
        <r>
          <rPr>
            <sz val="9"/>
            <color indexed="81"/>
            <rFont val="Tahoma"/>
            <family val="2"/>
          </rPr>
          <t>Fry et al. Atmos. Chem. Phys., 14, 523–535, 2014
www.atmos-chem-phys.net/14/523/2014/</t>
        </r>
      </text>
    </comment>
    <comment ref="D42" authorId="0" shapeId="0" xr:uid="{53C6E5E5-6E0D-4BE9-A573-5B57A767D851}">
      <text>
        <r>
          <rPr>
            <sz val="9"/>
            <color indexed="81"/>
            <rFont val="Tahoma"/>
            <family val="2"/>
          </rPr>
          <t>estmated from figure 5 Fry et al. DOI:10.5194/acp-14-523-2014</t>
        </r>
      </text>
    </comment>
    <comment ref="E42" authorId="0" shapeId="0" xr:uid="{00000000-0006-0000-0A00-00004E000000}">
      <text>
        <r>
          <rPr>
            <sz val="9"/>
            <color indexed="81"/>
            <rFont val="Tahoma"/>
            <family val="2"/>
          </rPr>
          <t xml:space="preserve">0.72 - 1.51  according to Johanna Altenstedt and Karin Pleijel, IVL report B-1305 Göteborg, Sweden september 1998
</t>
        </r>
      </text>
    </comment>
    <comment ref="F42" authorId="0" shapeId="0" xr:uid="{04EFCFB4-BA75-4E50-8FF3-DC5EFE75909B}">
      <text>
        <r>
          <rPr>
            <sz val="9"/>
            <color indexed="81"/>
            <rFont val="Tahoma"/>
            <family val="2"/>
          </rPr>
          <t>0.72 to 1.51 for European conditions according to 
Johanna Altenstedt and Karin Pleijel, IVL report B-1305
Göteborg, september 1998</t>
        </r>
      </text>
    </comment>
    <comment ref="G42" authorId="0" shapeId="0" xr:uid="{00000000-0006-0000-0A00-00004F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2" authorId="0" shapeId="0" xr:uid="{FDA98265-BF57-4103-B5C4-183B13866CC5}">
      <text>
        <r>
          <rPr>
            <sz val="9"/>
            <color indexed="81"/>
            <rFont val="Tahoma"/>
            <family val="2"/>
          </rPr>
          <t xml:space="preserve">PFP for different VOC is normlly between a few % and 20%
</t>
        </r>
      </text>
    </comment>
    <comment ref="C43" authorId="0" shapeId="0" xr:uid="{BEB845D1-17D0-4099-8502-CD6B7FAB4150}">
      <text>
        <r>
          <rPr>
            <sz val="9"/>
            <color indexed="81"/>
            <rFont val="Tahoma"/>
            <family val="2"/>
          </rPr>
          <t>Fry et al. Atmos. Chem. Phys., 14, 523–535, 2014
www.atmos-chem-phys.net/14/523/2014/</t>
        </r>
      </text>
    </comment>
    <comment ref="D43" authorId="0" shapeId="0" xr:uid="{7E4733F1-95FB-4CB0-80BD-E31E83FF4DA4}">
      <text>
        <r>
          <rPr>
            <sz val="9"/>
            <color indexed="81"/>
            <rFont val="Tahoma"/>
            <family val="2"/>
          </rPr>
          <t>estmated from figure 5 Fry et al. DOI:10.5194/acp-14-523-2014</t>
        </r>
      </text>
    </comment>
    <comment ref="E43" authorId="0" shapeId="0" xr:uid="{00000000-0006-0000-0A00-000050000000}">
      <text>
        <r>
          <rPr>
            <sz val="9"/>
            <color indexed="81"/>
            <rFont val="Tahoma"/>
            <family val="2"/>
          </rPr>
          <t xml:space="preserve">Derwent et al. Atmospheric Environment Vol. 32, No. 14/15, pp. 2429Ð2441, 1998
</t>
        </r>
      </text>
    </comment>
    <comment ref="F43" authorId="0" shapeId="0" xr:uid="{93C3C6A3-F068-4113-9E3E-F81D86E1A10E}">
      <text>
        <r>
          <rPr>
            <sz val="9"/>
            <color indexed="81"/>
            <rFont val="Tahoma"/>
            <family val="2"/>
          </rPr>
          <t xml:space="preserve">Only one trajectory were used </t>
        </r>
      </text>
    </comment>
    <comment ref="G43" authorId="0" shapeId="0" xr:uid="{00000000-0006-0000-0A00-000051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3" authorId="0" shapeId="0" xr:uid="{731AAB51-113A-41C5-826E-457E04C4E6BB}">
      <text>
        <r>
          <rPr>
            <sz val="9"/>
            <color indexed="81"/>
            <rFont val="Tahoma"/>
            <family val="2"/>
          </rPr>
          <t xml:space="preserve">PFP for different VOC is normlly between a few % and 20%
</t>
        </r>
      </text>
    </comment>
    <comment ref="C44" authorId="0" shapeId="0" xr:uid="{9683C59E-652F-4ED5-A96B-357F4D8674CD}">
      <text>
        <r>
          <rPr>
            <sz val="9"/>
            <color indexed="81"/>
            <rFont val="Tahoma"/>
            <family val="2"/>
          </rPr>
          <t>Fry et al. Atmos. Chem. Phys., 14, 523–535, 2014
www.atmos-chem-phys.net/14/523/2014/</t>
        </r>
      </text>
    </comment>
    <comment ref="D44" authorId="0" shapeId="0" xr:uid="{2C231C68-9685-43C5-A3FE-FA5FE9CF130F}">
      <text>
        <r>
          <rPr>
            <sz val="9"/>
            <color indexed="81"/>
            <rFont val="Tahoma"/>
            <family val="2"/>
          </rPr>
          <t>estmated from figure 5 Fry et al. DOI:10.5194/acp-14-523-2014</t>
        </r>
      </text>
    </comment>
    <comment ref="E44" authorId="0" shapeId="0" xr:uid="{00000000-0006-0000-0A00-000052000000}">
      <text>
        <r>
          <rPr>
            <sz val="9"/>
            <color indexed="81"/>
            <rFont val="Tahoma"/>
            <family val="2"/>
          </rPr>
          <t xml:space="preserve">Derwent et al. Atmospheric Environment Vol. 32, No. 14/15, pp. 2429Ð2441, 1998
</t>
        </r>
      </text>
    </comment>
    <comment ref="F44" authorId="0" shapeId="0" xr:uid="{AAB7CA38-D5CB-4128-83A7-63B5B58B4B56}">
      <text>
        <r>
          <rPr>
            <sz val="9"/>
            <color indexed="81"/>
            <rFont val="Tahoma"/>
            <family val="2"/>
          </rPr>
          <t xml:space="preserve">Only one trajectory were used </t>
        </r>
      </text>
    </comment>
    <comment ref="G44" authorId="0" shapeId="0" xr:uid="{00000000-0006-0000-0A00-000053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4" authorId="0" shapeId="0" xr:uid="{16D08ABD-E898-4A24-AD7D-816C3A51602F}">
      <text>
        <r>
          <rPr>
            <sz val="9"/>
            <color indexed="81"/>
            <rFont val="Tahoma"/>
            <family val="2"/>
          </rPr>
          <t xml:space="preserve">PFP for different VOC is normlly between a few % and 20%
</t>
        </r>
      </text>
    </comment>
    <comment ref="C45" authorId="0" shapeId="0" xr:uid="{DABDF8EE-485B-41A7-AB29-A5183E2B1B14}">
      <text>
        <r>
          <rPr>
            <sz val="9"/>
            <color indexed="81"/>
            <rFont val="Tahoma"/>
            <family val="2"/>
          </rPr>
          <t>Fry et al. Atmos. Chem. Phys., 14, 523–535, 2014
www.atmos-chem-phys.net/14/523/2014/</t>
        </r>
      </text>
    </comment>
    <comment ref="D45" authorId="0" shapeId="0" xr:uid="{761D1D59-A27F-43F4-94C2-CD2E32ABF124}">
      <text>
        <r>
          <rPr>
            <sz val="9"/>
            <color indexed="81"/>
            <rFont val="Tahoma"/>
            <family val="2"/>
          </rPr>
          <t>estmated from figure 5 Fry et al. DOI:10.5194/acp-14-523-2014</t>
        </r>
      </text>
    </comment>
    <comment ref="E45" authorId="0" shapeId="0" xr:uid="{00000000-0006-0000-0A00-000054000000}">
      <text>
        <r>
          <rPr>
            <sz val="9"/>
            <color indexed="81"/>
            <rFont val="Tahoma"/>
            <family val="2"/>
          </rPr>
          <t xml:space="preserve">Derwent et al. Atmospheric Environment Vol. 32, No. 14/15, pp. 2429Ð2441, 1998
</t>
        </r>
      </text>
    </comment>
    <comment ref="F45" authorId="0" shapeId="0" xr:uid="{A041DC04-5A23-45AC-ABC7-0F4613C3F914}">
      <text>
        <r>
          <rPr>
            <sz val="9"/>
            <color indexed="81"/>
            <rFont val="Tahoma"/>
            <family val="2"/>
          </rPr>
          <t xml:space="preserve">Only one trajectory were used </t>
        </r>
      </text>
    </comment>
    <comment ref="G45" authorId="0" shapeId="0" xr:uid="{00000000-0006-0000-0A00-000055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5" authorId="0" shapeId="0" xr:uid="{75973D6D-2EE1-409A-9FA5-D1A04FACF2EC}">
      <text>
        <r>
          <rPr>
            <sz val="9"/>
            <color indexed="81"/>
            <rFont val="Tahoma"/>
            <family val="2"/>
          </rPr>
          <t xml:space="preserve">PFP for different VOC is normlly between a few % and 20%
</t>
        </r>
      </text>
    </comment>
    <comment ref="A46" authorId="0" shapeId="0" xr:uid="{00000000-0006-0000-0A00-000056000000}">
      <text>
        <r>
          <rPr>
            <sz val="9"/>
            <color indexed="81"/>
            <rFont val="Tahoma"/>
            <family val="2"/>
          </rPr>
          <t xml:space="preserve">Butadiene is emitted as a tracer from many combustion processes, such as burning of wood and from car engines. Butadiene in air is present as a gas. The residence time is in the order of days to weeks, depending on the photochemical activity.
The flow group assessed is anthropogenic emissions of butadiene to air, anyplace in the world 1990 and at any source strength. </t>
        </r>
      </text>
    </comment>
    <comment ref="C46" authorId="0" shapeId="0" xr:uid="{486800E5-05AD-4F79-880A-758201E761F7}">
      <text>
        <r>
          <rPr>
            <sz val="9"/>
            <color indexed="81"/>
            <rFont val="Tahoma"/>
            <family val="2"/>
          </rPr>
          <t>Fry et al. Atmos. Chem. Phys., 14, 523–535, 2014
www.atmos-chem-phys.net/14/523/2014/</t>
        </r>
      </text>
    </comment>
    <comment ref="D46" authorId="0" shapeId="0" xr:uid="{1D06B84C-2F23-4E77-83CF-AA6D713276E9}">
      <text>
        <r>
          <rPr>
            <sz val="9"/>
            <color indexed="81"/>
            <rFont val="Tahoma"/>
            <family val="2"/>
          </rPr>
          <t>estmated from figure 5 Fry et al. DOI:10.5194/acp-14-523-2014</t>
        </r>
      </text>
    </comment>
    <comment ref="E46" authorId="0" shapeId="0" xr:uid="{00000000-0006-0000-0A00-000057000000}">
      <text>
        <r>
          <rPr>
            <sz val="9"/>
            <color indexed="81"/>
            <rFont val="Tahoma"/>
            <family val="2"/>
          </rPr>
          <t xml:space="preserve">Derwent et al. Atmospheric Environment Vol. 32, No. 14/15, pp. 2429Ð2441, 1998
</t>
        </r>
      </text>
    </comment>
    <comment ref="F46" authorId="0" shapeId="0" xr:uid="{B8B0223C-4ED1-4304-A998-5CB5D11CA846}">
      <text>
        <r>
          <rPr>
            <sz val="9"/>
            <color indexed="81"/>
            <rFont val="Tahoma"/>
            <family val="2"/>
          </rPr>
          <t xml:space="preserve">Only one trajectory were used </t>
        </r>
      </text>
    </comment>
    <comment ref="G46" authorId="0" shapeId="0" xr:uid="{00000000-0006-0000-0A00-00005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46" authorId="0" shapeId="0" xr:uid="{3C5A88F6-D598-411B-815E-A254D0983973}">
      <text>
        <r>
          <rPr>
            <sz val="9"/>
            <color indexed="81"/>
            <rFont val="Tahoma"/>
            <family val="2"/>
          </rPr>
          <t xml:space="preserve">PFP for different VOC is normlly between a few % and 20%
</t>
        </r>
      </text>
    </comment>
    <comment ref="L46" authorId="0" shapeId="0" xr:uid="{00000000-0006-0000-0A00-000059000000}">
      <text>
        <r>
          <rPr>
            <sz val="9"/>
            <color indexed="81"/>
            <rFont val="Tahoma"/>
            <family val="2"/>
          </rPr>
          <t>USEPA estimates the inhalation unit risk for 1,3 Butadiene exposure to 3 × 10-5 per µg/m3. WHO (2010) estmates the life time risk for benzene exposure5 per µg/m3.
Assuming similar dispersion and exposure patterns, the YOLL risk caused by an emission of 1 kg  butadiene is 3/5.9*benzene risk.</t>
        </r>
      </text>
    </comment>
    <comment ref="C48" authorId="0" shapeId="0" xr:uid="{8E59C39D-E0D8-473E-95F0-30624DA7097C}">
      <text>
        <r>
          <rPr>
            <sz val="9"/>
            <color indexed="81"/>
            <rFont val="Tahoma"/>
            <family val="2"/>
          </rPr>
          <t>Fry et al. Atmos. Chem. Phys., 14, 523–535, 2014
www.atmos-chem-phys.net/14/523/2014/</t>
        </r>
      </text>
    </comment>
    <comment ref="D48" authorId="0" shapeId="0" xr:uid="{4DDECF21-8546-4D12-8008-F939C42FE16C}">
      <text>
        <r>
          <rPr>
            <sz val="9"/>
            <color indexed="81"/>
            <rFont val="Tahoma"/>
            <family val="2"/>
          </rPr>
          <t>estmated from figure 5 Fry et al. DOI:10.5194/acp-14-523-2014</t>
        </r>
      </text>
    </comment>
    <comment ref="E48" authorId="0" shapeId="0" xr:uid="{3B999F2F-BD68-4BD6-A62B-6C11DC08AC85}">
      <text>
        <r>
          <rPr>
            <sz val="9"/>
            <color indexed="81"/>
            <rFont val="Tahoma"/>
            <family val="2"/>
          </rPr>
          <t xml:space="preserve">1.34 - 1.69  according to Johanna Altenstedt and Karin Pleijel, IVL report B-1305 Göteborg, Sweden september 1998
</t>
        </r>
      </text>
    </comment>
    <comment ref="F48" authorId="0" shapeId="0" xr:uid="{80238195-2403-41E1-AF84-5A1174105029}">
      <text>
        <r>
          <rPr>
            <sz val="9"/>
            <color indexed="81"/>
            <rFont val="Tahoma"/>
            <family val="2"/>
          </rPr>
          <t>1.34 to 1.69 for European conditions according to 
Johanna Altenstedt and Karin Pleijel, IVL report B-1305
Göteborg, september 1998</t>
        </r>
      </text>
    </comment>
    <comment ref="G48" authorId="0" shapeId="0" xr:uid="{8A008E35-971F-4D15-8875-8B5848CDF4FD}">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48" authorId="0" shapeId="0" xr:uid="{82425F15-7EB8-41C6-A7E8-59A3785D41F3}">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A49" authorId="0" shapeId="0" xr:uid="{1848690C-C7F2-459E-B142-82CD097E2658}">
      <text>
        <r>
          <rPr>
            <sz val="9"/>
            <color indexed="81"/>
            <rFont val="Tahoma"/>
            <family val="2"/>
          </rPr>
          <t xml:space="preserve">consists typically of three isoprene monomers
</t>
        </r>
      </text>
    </comment>
    <comment ref="C49" authorId="0" shapeId="0" xr:uid="{949EC766-5080-42EE-80A3-3CA66451D4E2}">
      <text>
        <r>
          <rPr>
            <sz val="9"/>
            <color indexed="81"/>
            <rFont val="Tahoma"/>
            <family val="2"/>
          </rPr>
          <t>Fry et al. Atmos. Chem. Phys., 14, 523–535, 2014
www.atmos-chem-phys.net/14/523/2014/</t>
        </r>
      </text>
    </comment>
    <comment ref="D49" authorId="0" shapeId="0" xr:uid="{4D6DC407-9F1D-45B7-816F-98A9B336869E}">
      <text>
        <r>
          <rPr>
            <sz val="9"/>
            <color indexed="81"/>
            <rFont val="Tahoma"/>
            <family val="2"/>
          </rPr>
          <t>estmated from figure 5 Fry et al. DOI:10.5194/acp-14-523-2014</t>
        </r>
      </text>
    </comment>
    <comment ref="E49" authorId="0" shapeId="0" xr:uid="{485364B2-670E-4367-B692-B8BEF3AC7AB2}">
      <text>
        <r>
          <rPr>
            <sz val="9"/>
            <color indexed="81"/>
            <rFont val="Tahoma"/>
            <family val="2"/>
          </rPr>
          <t xml:space="preserve">Assumed to be the same as for isoprene
</t>
        </r>
      </text>
    </comment>
    <comment ref="F49" authorId="0" shapeId="0" xr:uid="{AEF827F4-9D43-46EE-B7BA-06F8068A9835}">
      <text>
        <r>
          <rPr>
            <sz val="9"/>
            <color indexed="81"/>
            <rFont val="Tahoma"/>
            <family val="2"/>
          </rPr>
          <t xml:space="preserve">Assumed to be similar but somewhat higher than for isoprene
</t>
        </r>
      </text>
    </comment>
    <comment ref="G49" authorId="0" shapeId="0" xr:uid="{7651F2BF-7478-4FBA-8CA3-0ABE5AD9997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49" authorId="0" shapeId="0" xr:uid="{73AFBD44-66C8-46C2-9699-61255C66AD8D}">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50" authorId="0" shapeId="0" xr:uid="{DC8F90D7-9164-4855-8579-2C7B0E2F85F1}">
      <text>
        <r>
          <rPr>
            <sz val="9"/>
            <color indexed="81"/>
            <rFont val="Tahoma"/>
            <family val="2"/>
          </rPr>
          <t>Fry et al. Atmos. Chem. Phys., 14, 523–535, 2014
www.atmos-chem-phys.net/14/523/2014/</t>
        </r>
      </text>
    </comment>
    <comment ref="D50" authorId="0" shapeId="0" xr:uid="{6D06D686-9CFD-4C26-8ABF-5340D6778D0B}">
      <text>
        <r>
          <rPr>
            <sz val="9"/>
            <color indexed="81"/>
            <rFont val="Tahoma"/>
            <family val="2"/>
          </rPr>
          <t>estmated from figure 5 Fry et al. DOI:10.5194/acp-14-523-2014</t>
        </r>
      </text>
    </comment>
    <comment ref="E50" authorId="0" shapeId="0" xr:uid="{00000000-0006-0000-0A00-00005A000000}">
      <text>
        <r>
          <rPr>
            <sz val="9"/>
            <color indexed="81"/>
            <rFont val="Tahoma"/>
            <family val="2"/>
          </rPr>
          <t xml:space="preserve">0.94 - 1.10  according to Johanna Altenstedt and Karin Pleijel, IVL report B-1305 Göteborg, Sweden september 1998
</t>
        </r>
      </text>
    </comment>
    <comment ref="F50" authorId="0" shapeId="0" xr:uid="{CBB694A4-C32A-4A00-BA4B-540CA4D1BF7F}">
      <text>
        <r>
          <rPr>
            <sz val="9"/>
            <color indexed="81"/>
            <rFont val="Tahoma"/>
            <family val="2"/>
          </rPr>
          <t>0.94 to 1.10 for European conditions according to 
Johanna Altenstedt and Karin Pleijel, IVL report B-1305
Göteborg, september 1998</t>
        </r>
      </text>
    </comment>
    <comment ref="G50" authorId="0" shapeId="0" xr:uid="{00000000-0006-0000-0A00-00005B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50" authorId="0" shapeId="0" xr:uid="{FBA497CE-F4F2-4CBE-AFE5-0753046FDADD}">
      <text>
        <r>
          <rPr>
            <sz val="9"/>
            <color indexed="81"/>
            <rFont val="Tahoma"/>
            <family val="2"/>
          </rPr>
          <t xml:space="preserve">PFP for different VOC is normlly between a few % and 20%
</t>
        </r>
      </text>
    </comment>
    <comment ref="C51" authorId="0" shapeId="0" xr:uid="{E7CEE0BC-7AA9-4E6C-844E-B2BF58350FE5}">
      <text>
        <r>
          <rPr>
            <sz val="9"/>
            <color indexed="81"/>
            <rFont val="Tahoma"/>
            <family val="2"/>
          </rPr>
          <t>Fry et al. Atmos. Chem. Phys., 14, 523–535, 2014
www.atmos-chem-phys.net/14/523/2014/</t>
        </r>
      </text>
    </comment>
    <comment ref="D51" authorId="0" shapeId="0" xr:uid="{6CA8F886-9D91-41D2-9FD1-3F696D848FF1}">
      <text>
        <r>
          <rPr>
            <sz val="9"/>
            <color indexed="81"/>
            <rFont val="Tahoma"/>
            <family val="2"/>
          </rPr>
          <t>estmated from figure 5 Fry et al. DOI:10.5194/acp-14-523-2014</t>
        </r>
      </text>
    </comment>
    <comment ref="E51" authorId="0" shapeId="0" xr:uid="{00000000-0006-0000-0A00-00005C000000}">
      <text>
        <r>
          <rPr>
            <sz val="9"/>
            <color indexed="81"/>
            <rFont val="Tahoma"/>
            <family val="2"/>
          </rPr>
          <t>0.76 - 1.00  according to Johanna Altenstedt and Karin Pleijel, IVL report B-1305 Göteborg, Sweden september 1998</t>
        </r>
      </text>
    </comment>
    <comment ref="F51" authorId="0" shapeId="0" xr:uid="{DA9DF641-C033-46E0-9B72-65AAC344DFA8}">
      <text>
        <r>
          <rPr>
            <sz val="9"/>
            <color indexed="81"/>
            <rFont val="Tahoma"/>
            <family val="2"/>
          </rPr>
          <t>0.76 to 1.00 for European conditions according to 
Johanna Altenstedt and Karin Pleijel, IVL report B-1305
Göteborg, september 1998</t>
        </r>
      </text>
    </comment>
    <comment ref="G51" authorId="0" shapeId="0" xr:uid="{3A082F12-BC18-4972-91D9-ACE9B5EF98CD}">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1" authorId="0" shapeId="0" xr:uid="{0408E582-C0A8-4F80-84BD-812D01A53667}">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53" authorId="0" shapeId="0" xr:uid="{6A50D4AD-947D-4325-BDB8-93E9037CBB1A}">
      <text>
        <r>
          <rPr>
            <sz val="9"/>
            <color indexed="81"/>
            <rFont val="Tahoma"/>
            <family val="2"/>
          </rPr>
          <t>Fry et al. Atmos. Chem. Phys., 14, 523–535, 2014
www.atmos-chem-phys.net/14/523/2014/</t>
        </r>
      </text>
    </comment>
    <comment ref="D53" authorId="0" shapeId="0" xr:uid="{B84CD511-6EC4-4EC8-8629-8F5243B95451}">
      <text>
        <r>
          <rPr>
            <sz val="9"/>
            <color indexed="81"/>
            <rFont val="Tahoma"/>
            <family val="2"/>
          </rPr>
          <t>estmated from figure 5 Fry et al. DOI:10.5194/acp-14-523-2014</t>
        </r>
      </text>
    </comment>
    <comment ref="E53" authorId="0" shapeId="0" xr:uid="{00000000-0006-0000-0A00-00005E000000}">
      <text>
        <r>
          <rPr>
            <sz val="9"/>
            <color indexed="81"/>
            <rFont val="Tahoma"/>
            <family val="2"/>
          </rPr>
          <t xml:space="preserve">0.26 - 0.59  according to Johanna Altenstedt and Karin Pleijel, IVL report B-1305 Göteborg, Sweden september 1998
</t>
        </r>
      </text>
    </comment>
    <comment ref="F53" authorId="0" shapeId="0" xr:uid="{8DF41A15-FC6C-44C1-A1AB-EA5C12DD8B3A}">
      <text>
        <r>
          <rPr>
            <sz val="9"/>
            <color indexed="81"/>
            <rFont val="Tahoma"/>
            <family val="2"/>
          </rPr>
          <t>0.26 to 0.59 for European conditions according to 
Johanna Altenstedt and Karin Pleijel, IVL report B-1305
Göteborg, september 1998</t>
        </r>
      </text>
    </comment>
    <comment ref="G53" authorId="0" shapeId="0" xr:uid="{00000000-0006-0000-0A00-00005F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53" authorId="0" shapeId="0" xr:uid="{EAB859EC-2C16-4400-AFD7-3C16150AD59E}">
      <text>
        <r>
          <rPr>
            <sz val="9"/>
            <color indexed="81"/>
            <rFont val="Tahoma"/>
            <family val="2"/>
          </rPr>
          <t xml:space="preserve">PFP for different VOC is normlly between a few % and 20%
</t>
        </r>
      </text>
    </comment>
    <comment ref="C55" authorId="0" shapeId="0" xr:uid="{2A51C76C-AA03-4C19-8952-2FA7EF957A9D}">
      <text>
        <r>
          <rPr>
            <sz val="9"/>
            <color indexed="81"/>
            <rFont val="Tahoma"/>
            <family val="2"/>
          </rPr>
          <t>Fry et al. Atmos. Chem. Phys., 14, 523–535, 2014
www.atmos-chem-phys.net/14/523/2014/</t>
        </r>
      </text>
    </comment>
    <comment ref="D55" authorId="0" shapeId="0" xr:uid="{A0F75BC8-BC3F-43E2-91E0-B4A3F2B38221}">
      <text>
        <r>
          <rPr>
            <sz val="9"/>
            <color indexed="81"/>
            <rFont val="Tahoma"/>
            <family val="2"/>
          </rPr>
          <t>estmated from figure 5 Fry et al. DOI:10.5194/acp-14-523-2014</t>
        </r>
      </text>
    </comment>
    <comment ref="E55" authorId="0" shapeId="0" xr:uid="{00000000-0006-0000-0A00-000060000000}">
      <text>
        <r>
          <rPr>
            <sz val="9"/>
            <color indexed="81"/>
            <rFont val="Tahoma"/>
            <family val="2"/>
          </rPr>
          <t xml:space="preserve">0.23 - 0.47  according to Johanna Altenstedt and Karin Pleijel, IVL report B-1305 Göteborg, Sweden september 1998
</t>
        </r>
      </text>
    </comment>
    <comment ref="F55" authorId="0" shapeId="0" xr:uid="{9975759F-90D7-456F-8AA5-AB2D224F59F8}">
      <text>
        <r>
          <rPr>
            <sz val="9"/>
            <color indexed="81"/>
            <rFont val="Tahoma"/>
            <family val="2"/>
          </rPr>
          <t>0.23to 0.47 for European conditions according to 
Johanna Altenstedt and Karin Pleijel, IVL report B-1305
Göteborg, september 1998</t>
        </r>
      </text>
    </comment>
    <comment ref="G55" authorId="0" shapeId="0" xr:uid="{DD746BE8-98CC-4B5A-B9F6-203A0A0325A4}">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5" authorId="0" shapeId="0" xr:uid="{54EC0A3B-B6E6-43D1-910E-E3222A3F9CE3}">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L55" authorId="0" shapeId="0" xr:uid="{00000000-0006-0000-0A00-000062000000}">
      <text>
        <r>
          <rPr>
            <sz val="9"/>
            <color indexed="81"/>
            <rFont val="Tahoma"/>
            <family val="2"/>
          </rPr>
          <t xml:space="preserve">The risk for leukemia from cancer is estiamted to 5.9 cases per million among people who experience lifelong exposure to benzene concentrations of 1 μg m−3 in air. (WHO 2010) A study of personal exposure to benzene in air in six european cities showed an average exposure to about 15 </t>
        </r>
        <r>
          <rPr>
            <sz val="9"/>
            <color indexed="81"/>
            <rFont val="Albertus MT"/>
            <family val="1"/>
          </rPr>
          <t>μ</t>
        </r>
        <r>
          <rPr>
            <sz val="9"/>
            <color indexed="81"/>
            <rFont val="Tahoma"/>
            <family val="2"/>
          </rPr>
          <t>g/m3, which was shown to be twice the ambient air exposure. (Cocheo et al. Nature 404, 141-142 (9 March 2000) | doi:10.1038/35004651) Emissions to ambient air of benzene thus causes 6/1000000*7200000000*15/2*1/75 = 4.32E3 cases per year and  5.18E4 YOLLs per year with an expected reduction in life expectancy of 12 years per case.
The global emission of benzene is estimated to 5.6 TgC/year by Henze et al (Atmos. Chem. Phys., 8, 2405–2421, 2008). The average YOLLs/kg benzene is therefore 5.18E4/(5.6E9*28/12) = 3.96E-6</t>
        </r>
      </text>
    </comment>
    <comment ref="C56" authorId="0" shapeId="0" xr:uid="{B9C768C2-F1D0-4F21-8B2E-42786D189CD1}">
      <text>
        <r>
          <rPr>
            <sz val="9"/>
            <color indexed="81"/>
            <rFont val="Tahoma"/>
            <family val="2"/>
          </rPr>
          <t>Fry et al. Atmos. Chem. Phys., 14, 523–535, 2014
www.atmos-chem-phys.net/14/523/2014/</t>
        </r>
      </text>
    </comment>
    <comment ref="D56" authorId="0" shapeId="0" xr:uid="{61C0A673-CEEA-49F6-BFEC-E291D3B4A131}">
      <text>
        <r>
          <rPr>
            <sz val="9"/>
            <color indexed="81"/>
            <rFont val="Tahoma"/>
            <family val="2"/>
          </rPr>
          <t>estmated from figure 5 Fry et al. DOI:10.5194/acp-14-523-2014</t>
        </r>
      </text>
    </comment>
    <comment ref="E56" authorId="0" shapeId="0" xr:uid="{00000000-0006-0000-0A00-000063000000}">
      <text>
        <r>
          <rPr>
            <sz val="9"/>
            <color indexed="81"/>
            <rFont val="Tahoma"/>
            <family val="2"/>
          </rPr>
          <t xml:space="preserve">0.30 - 0.67  according to Johanna Altenstedt and Karin Pleijel, IVL report B-1305 Göteborg, Sweden september 1998
</t>
        </r>
      </text>
    </comment>
    <comment ref="F56" authorId="0" shapeId="0" xr:uid="{BA5E30CC-A671-4CB4-8775-D45DE8008AC2}">
      <text>
        <r>
          <rPr>
            <sz val="9"/>
            <color indexed="81"/>
            <rFont val="Tahoma"/>
            <family val="2"/>
          </rPr>
          <t>0.30 to 0.67 for European conditions according to 
Johanna Altenstedt and Karin Pleijel, IVL report B-1305
Göteborg, september 1998</t>
        </r>
      </text>
    </comment>
    <comment ref="G56" authorId="0" shapeId="0" xr:uid="{D1F0B816-8E5C-47B2-B3B5-4076DB90CA9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6" authorId="0" shapeId="0" xr:uid="{A6E6E7AD-E5EB-41C0-9211-01BB858B384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57" authorId="0" shapeId="0" xr:uid="{604000D9-DDB0-4C7E-A385-F8E2E0A1D63C}">
      <text>
        <r>
          <rPr>
            <sz val="9"/>
            <color indexed="81"/>
            <rFont val="Tahoma"/>
            <family val="2"/>
          </rPr>
          <t>Fry et al. Atmos. Chem. Phys., 14, 523–535, 2014
www.atmos-chem-phys.net/14/523/2014/</t>
        </r>
      </text>
    </comment>
    <comment ref="D57" authorId="0" shapeId="0" xr:uid="{4C1EB93A-05BF-4F5A-9ADA-56FFB97B32CA}">
      <text>
        <r>
          <rPr>
            <sz val="9"/>
            <color indexed="81"/>
            <rFont val="Tahoma"/>
            <family val="2"/>
          </rPr>
          <t>estmated from figure 5 Fry et al. DOI:10.5194/acp-14-523-2014</t>
        </r>
      </text>
    </comment>
    <comment ref="E57" authorId="0" shapeId="0" xr:uid="{00000000-0006-0000-0A00-000065000000}">
      <text>
        <r>
          <rPr>
            <sz val="9"/>
            <color indexed="81"/>
            <rFont val="Tahoma"/>
            <family val="2"/>
          </rPr>
          <t xml:space="preserve">0.61 - 0.89  according to Johanna Altenstedt and Karin Pleijel, IVL report B-1305 Göteborg, Sweden september 1998
</t>
        </r>
      </text>
    </comment>
    <comment ref="F57" authorId="0" shapeId="0" xr:uid="{8B7B06D1-C1EF-40CD-BA1C-D98FE915E557}">
      <text>
        <r>
          <rPr>
            <sz val="9"/>
            <color indexed="81"/>
            <rFont val="Tahoma"/>
            <family val="2"/>
          </rPr>
          <t>0.61 to 0.89 for European conditions according to 
Johanna Altenstedt and Karin Pleijel, IVL report B-1305
Göteborg, september 1998</t>
        </r>
      </text>
    </comment>
    <comment ref="G57" authorId="0" shapeId="0" xr:uid="{CE5221EC-C1A6-4039-B19B-B4E3B996B2AC}">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7" authorId="0" shapeId="0" xr:uid="{8D872C40-C326-4AE0-A3C1-529E0F372AD2}">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58" authorId="0" shapeId="0" xr:uid="{1CDEA31F-5A87-4DD6-B15F-B56BD694F210}">
      <text>
        <r>
          <rPr>
            <sz val="9"/>
            <color indexed="81"/>
            <rFont val="Tahoma"/>
            <family val="2"/>
          </rPr>
          <t>Fry et al. Atmos. Chem. Phys., 14, 523–535, 2014
www.atmos-chem-phys.net/14/523/2014/</t>
        </r>
      </text>
    </comment>
    <comment ref="D58" authorId="0" shapeId="0" xr:uid="{E744BC4E-2B1C-4877-B4BD-A519D99B1AE3}">
      <text>
        <r>
          <rPr>
            <sz val="9"/>
            <color indexed="81"/>
            <rFont val="Tahoma"/>
            <family val="2"/>
          </rPr>
          <t>estmated from figure 5 Fry et al. DOI:10.5194/acp-14-523-2014</t>
        </r>
      </text>
    </comment>
    <comment ref="E58" authorId="0" shapeId="0" xr:uid="{00000000-0006-0000-0A00-000067000000}">
      <text>
        <r>
          <rPr>
            <sz val="9"/>
            <color indexed="81"/>
            <rFont val="Tahoma"/>
            <family val="2"/>
          </rPr>
          <t xml:space="preserve">1.02 - 1.14  according to Johanna Altenstedt and Karin Pleijel, IVL report B-1305 Göteborg, Sweden september 1998
</t>
        </r>
      </text>
    </comment>
    <comment ref="F58" authorId="0" shapeId="0" xr:uid="{C829BA45-62B0-434C-A2AF-19432EB2F7B7}">
      <text>
        <r>
          <rPr>
            <sz val="9"/>
            <color indexed="81"/>
            <rFont val="Tahoma"/>
            <family val="2"/>
          </rPr>
          <t>1.02 to 1.14 for European conditions according to 
Johanna Altenstedt and Karin Pleijel, IVL report B-1305
Göteborg, september 1998</t>
        </r>
      </text>
    </comment>
    <comment ref="G58" authorId="0" shapeId="0" xr:uid="{56BDC958-946C-4A91-8450-CBB296DEB534}">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8" authorId="0" shapeId="0" xr:uid="{DB7E891E-8A3D-417B-B0C4-D92ED0BAE9BF}">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59" authorId="0" shapeId="0" xr:uid="{FEE29BB3-0252-4AA6-A538-B053138B2C60}">
      <text>
        <r>
          <rPr>
            <sz val="9"/>
            <color indexed="81"/>
            <rFont val="Tahoma"/>
            <family val="2"/>
          </rPr>
          <t>Fry et al. Atmos. Chem. Phys., 14, 523–535, 2014
www.atmos-chem-phys.net/14/523/2014/</t>
        </r>
      </text>
    </comment>
    <comment ref="D59" authorId="0" shapeId="0" xr:uid="{6E77A1CB-95B9-48D8-BA66-837F2F423697}">
      <text>
        <r>
          <rPr>
            <sz val="9"/>
            <color indexed="81"/>
            <rFont val="Tahoma"/>
            <family val="2"/>
          </rPr>
          <t>estmated from figure 5 Fry et al. DOI:10.5194/acp-14-523-2014</t>
        </r>
      </text>
    </comment>
    <comment ref="E59" authorId="0" shapeId="0" xr:uid="{00000000-0006-0000-0A00-000069000000}">
      <text>
        <r>
          <rPr>
            <sz val="9"/>
            <color indexed="81"/>
            <rFont val="Tahoma"/>
            <family val="2"/>
          </rPr>
          <t xml:space="preserve">0.96 - 1.10  according to Johanna Altenstedt and Karin Pleijel, IVL report B-1305 Göteborg, Sweden september 1998
</t>
        </r>
      </text>
    </comment>
    <comment ref="F59" authorId="0" shapeId="0" xr:uid="{A7F9B509-2106-45B4-B5E4-2C65777A8863}">
      <text>
        <r>
          <rPr>
            <sz val="9"/>
            <color indexed="81"/>
            <rFont val="Tahoma"/>
            <family val="2"/>
          </rPr>
          <t>0.96 to 1.10 for European conditions according to 
Johanna Altenstedt and Karin Pleijel, IVL report B-1305
Göteborg, september 1998</t>
        </r>
      </text>
    </comment>
    <comment ref="G59" authorId="0" shapeId="0" xr:uid="{634D65F3-C69B-4045-A37F-CE9B3A73468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59" authorId="0" shapeId="0" xr:uid="{CE97C8BF-0274-468C-BC8E-90091BD02BB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0" authorId="0" shapeId="0" xr:uid="{6B20C678-8B1E-4207-B766-26A02FEA24AF}">
      <text>
        <r>
          <rPr>
            <sz val="9"/>
            <color indexed="81"/>
            <rFont val="Tahoma"/>
            <family val="2"/>
          </rPr>
          <t>Fry et al. Atmos. Chem. Phys., 14, 523–535, 2014
www.atmos-chem-phys.net/14/523/2014/</t>
        </r>
      </text>
    </comment>
    <comment ref="D60" authorId="0" shapeId="0" xr:uid="{9A7B4923-1180-4A37-A770-E62F61BBC721}">
      <text>
        <r>
          <rPr>
            <sz val="9"/>
            <color indexed="81"/>
            <rFont val="Tahoma"/>
            <family val="2"/>
          </rPr>
          <t>estmated from figure 5 Fry et al. DOI:10.5194/acp-14-523-2014</t>
        </r>
      </text>
    </comment>
    <comment ref="E60" authorId="0" shapeId="0" xr:uid="{00000000-0006-0000-0A00-00006B000000}">
      <text>
        <r>
          <rPr>
            <sz val="9"/>
            <color indexed="81"/>
            <rFont val="Tahoma"/>
            <family val="2"/>
          </rPr>
          <t xml:space="preserve">0.74 - 0.90  according to Johanna Altenstedt and Karin Pleijel, IVL report B-1305 Göteborg, Sweden september 1998
</t>
        </r>
      </text>
    </comment>
    <comment ref="F60" authorId="0" shapeId="0" xr:uid="{2B058491-BC27-4FFD-9F50-91C2177B1685}">
      <text>
        <r>
          <rPr>
            <sz val="9"/>
            <color indexed="81"/>
            <rFont val="Tahoma"/>
            <family val="2"/>
          </rPr>
          <t>0.74 to 0.90 for European conditions according to 
Johanna Altenstedt and Karin Pleijel, IVL report B-1305
Göteborg, september 1998</t>
        </r>
      </text>
    </comment>
    <comment ref="G60" authorId="0" shapeId="0" xr:uid="{53DB8F0C-56A7-4444-A869-B87DF1F5271F}">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0" authorId="0" shapeId="0" xr:uid="{062B41FC-D18A-47BB-A4E8-4A64DE6763C8}">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1" authorId="0" shapeId="0" xr:uid="{0C6A285D-2D1D-4301-8EE3-399D0113C583}">
      <text>
        <r>
          <rPr>
            <sz val="9"/>
            <color indexed="81"/>
            <rFont val="Tahoma"/>
            <family val="2"/>
          </rPr>
          <t>Fry et al. Atmos. Chem. Phys., 14, 523–535, 2014
www.atmos-chem-phys.net/14/523/2014/</t>
        </r>
      </text>
    </comment>
    <comment ref="D61" authorId="0" shapeId="0" xr:uid="{580DC86A-11B4-447B-9233-3A900D992D41}">
      <text>
        <r>
          <rPr>
            <sz val="9"/>
            <color indexed="81"/>
            <rFont val="Tahoma"/>
            <family val="2"/>
          </rPr>
          <t>estmated from figure 5 Fry et al. DOI:10.5194/acp-14-523-2014</t>
        </r>
      </text>
    </comment>
    <comment ref="E61" authorId="0" shapeId="0" xr:uid="{00000000-0006-0000-0A00-00006D000000}">
      <text>
        <r>
          <rPr>
            <sz val="9"/>
            <color indexed="81"/>
            <rFont val="Tahoma"/>
            <family val="2"/>
          </rPr>
          <t xml:space="preserve">0.58 - 0.66  according to Johanna Altenstedt and Karin Pleijel, IVL report B-1305 Göteborg, Sweden september 1998
</t>
        </r>
      </text>
    </comment>
    <comment ref="F61" authorId="0" shapeId="0" xr:uid="{09E8AFEE-C8D0-4396-A081-7B842EE2317C}">
      <text>
        <r>
          <rPr>
            <sz val="9"/>
            <color indexed="81"/>
            <rFont val="Tahoma"/>
            <family val="2"/>
          </rPr>
          <t>0.58 to 0.66 for European conditions according to 
Johanna Altenstedt and Karin Pleijel, IVL report B-1305
Göteborg, september 1998</t>
        </r>
      </text>
    </comment>
    <comment ref="G61" authorId="0" shapeId="0" xr:uid="{1A521752-36FC-44E7-9D46-7E8E61484773}">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1" authorId="0" shapeId="0" xr:uid="{106347A9-8DF3-4399-9334-31635648D3A1}">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2" authorId="0" shapeId="0" xr:uid="{B87D067C-B1EB-4621-B0AF-6EC18CF7C73F}">
      <text>
        <r>
          <rPr>
            <sz val="9"/>
            <color indexed="81"/>
            <rFont val="Tahoma"/>
            <family val="2"/>
          </rPr>
          <t>Fry et al. Atmos. Chem. Phys., 14, 523–535, 2014
www.atmos-chem-phys.net/14/523/2014/</t>
        </r>
      </text>
    </comment>
    <comment ref="D62" authorId="0" shapeId="0" xr:uid="{38879059-40AD-4828-8E3C-8A1B4ADA5AFE}">
      <text>
        <r>
          <rPr>
            <sz val="9"/>
            <color indexed="81"/>
            <rFont val="Tahoma"/>
            <family val="2"/>
          </rPr>
          <t>estmated from figure 5 Fry et al. DOI:10.5194/acp-14-523-2014</t>
        </r>
      </text>
    </comment>
    <comment ref="E62" authorId="0" shapeId="0" xr:uid="{00000000-0006-0000-0A00-00006F000000}">
      <text>
        <r>
          <rPr>
            <sz val="9"/>
            <color indexed="81"/>
            <rFont val="Tahoma"/>
            <family val="2"/>
          </rPr>
          <t xml:space="preserve">0.75 - 0.87  according to Johanna Altenstedt and Karin Pleijel, IVL report B-1305 Göteborg, Sweden september 1998
</t>
        </r>
      </text>
    </comment>
    <comment ref="F62" authorId="0" shapeId="0" xr:uid="{02A73EAF-AD18-40C3-B792-7593107A655F}">
      <text>
        <r>
          <rPr>
            <sz val="9"/>
            <color indexed="81"/>
            <rFont val="Tahoma"/>
            <family val="2"/>
          </rPr>
          <t>0.75 to 0.87 for European conditions according to 
Johanna Altenstedt and Karin Pleijel, IVL report B-1305
Göteborg, september 1998</t>
        </r>
      </text>
    </comment>
    <comment ref="G62" authorId="0" shapeId="0" xr:uid="{D628A96F-C457-46C9-B63C-CA1D52660EF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2" authorId="0" shapeId="0" xr:uid="{035A6B50-F4C3-41C7-B76E-93C1ADFAA0DA}">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3" authorId="0" shapeId="0" xr:uid="{85AC736A-7C8C-490C-AA9E-C22DD11AF916}">
      <text>
        <r>
          <rPr>
            <sz val="9"/>
            <color indexed="81"/>
            <rFont val="Tahoma"/>
            <family val="2"/>
          </rPr>
          <t>Fry et al. Atmos. Chem. Phys., 14, 523–535, 2014
www.atmos-chem-phys.net/14/523/2014/</t>
        </r>
      </text>
    </comment>
    <comment ref="D63" authorId="0" shapeId="0" xr:uid="{BA1B2D74-BD18-402C-9D93-9C8D70626EAD}">
      <text>
        <r>
          <rPr>
            <sz val="9"/>
            <color indexed="81"/>
            <rFont val="Tahoma"/>
            <family val="2"/>
          </rPr>
          <t>estmated from figure 5 Fry et al. DOI:10.5194/acp-14-523-2014</t>
        </r>
      </text>
    </comment>
    <comment ref="E63" authorId="0" shapeId="0" xr:uid="{00000000-0006-0000-0A00-000071000000}">
      <text>
        <r>
          <rPr>
            <sz val="9"/>
            <color indexed="81"/>
            <rFont val="Tahoma"/>
            <family val="2"/>
          </rPr>
          <t xml:space="preserve">0.59 - 0.68  according to Johanna Altenstedt and Karin Pleijel, IVL report B-1305 Göteborg, Sweden september 1998
</t>
        </r>
      </text>
    </comment>
    <comment ref="F63" authorId="0" shapeId="0" xr:uid="{27951934-EED6-49A8-A1AA-A46682479306}">
      <text>
        <r>
          <rPr>
            <sz val="9"/>
            <color indexed="81"/>
            <rFont val="Tahoma"/>
            <family val="2"/>
          </rPr>
          <t>0.59 to 0.68 for European conditions according to 
Johanna Altenstedt and Karin Pleijel, IVL report B-1305
Göteborg, september 1998</t>
        </r>
      </text>
    </comment>
    <comment ref="G63" authorId="0" shapeId="0" xr:uid="{73DA220B-8D2C-4264-A7EB-69DD38F912FC}">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3" authorId="0" shapeId="0" xr:uid="{DBEB9D9A-CE2A-4FEC-B9D4-596600A8ED06}">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4" authorId="0" shapeId="0" xr:uid="{544BC444-BD2F-4E43-844B-34BFCACEE7BA}">
      <text>
        <r>
          <rPr>
            <sz val="9"/>
            <color indexed="81"/>
            <rFont val="Tahoma"/>
            <family val="2"/>
          </rPr>
          <t>Fry et al. Atmos. Chem. Phys., 14, 523–535, 2014
www.atmos-chem-phys.net/14/523/2014/</t>
        </r>
      </text>
    </comment>
    <comment ref="D64" authorId="0" shapeId="0" xr:uid="{3E2CDC9E-1687-4481-A394-0A843ACBF30D}">
      <text>
        <r>
          <rPr>
            <sz val="9"/>
            <color indexed="81"/>
            <rFont val="Tahoma"/>
            <family val="2"/>
          </rPr>
          <t>estmated from figure 5 Fry et al. DOI:10.5194/acp-14-523-2014</t>
        </r>
      </text>
    </comment>
    <comment ref="E64" authorId="0" shapeId="0" xr:uid="{00000000-0006-0000-0A00-000073000000}">
      <text>
        <r>
          <rPr>
            <sz val="9"/>
            <color indexed="81"/>
            <rFont val="Tahoma"/>
            <family val="2"/>
          </rPr>
          <t xml:space="preserve">0.94 - 1.08  according to Johanna Altenstedt and Karin Pleijel, IVL report B-1305 Göteborg, Sweden september 1998
</t>
        </r>
      </text>
    </comment>
    <comment ref="F64" authorId="0" shapeId="0" xr:uid="{732715FC-CE97-48CB-A604-64B706036C85}">
      <text>
        <r>
          <rPr>
            <sz val="9"/>
            <color indexed="81"/>
            <rFont val="Tahoma"/>
            <family val="2"/>
          </rPr>
          <t>0.94 to 1.08 for European conditions according to 
Johanna Altenstedt and Karin Pleijel, IVL report B-1305
Göteborg, september 1998</t>
        </r>
      </text>
    </comment>
    <comment ref="G64" authorId="0" shapeId="0" xr:uid="{8E1BB5B2-9E2D-4C60-B436-499F77B04BC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4" authorId="0" shapeId="0" xr:uid="{C7371A7F-0F46-4A36-8DCB-3CBA6051B72E}">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5" authorId="0" shapeId="0" xr:uid="{C7914A89-43BF-438D-817B-CA9C13803726}">
      <text>
        <r>
          <rPr>
            <sz val="9"/>
            <color indexed="81"/>
            <rFont val="Tahoma"/>
            <family val="2"/>
          </rPr>
          <t>Fry et al. Atmos. Chem. Phys., 14, 523–535, 2014
www.atmos-chem-phys.net/14/523/2014/</t>
        </r>
      </text>
    </comment>
    <comment ref="D65" authorId="0" shapeId="0" xr:uid="{52C827B4-9407-4397-96AA-B4B47F120F59}">
      <text>
        <r>
          <rPr>
            <sz val="9"/>
            <color indexed="81"/>
            <rFont val="Tahoma"/>
            <family val="2"/>
          </rPr>
          <t>estmated from figure 5 Fry et al. DOI:10.5194/acp-14-523-2014</t>
        </r>
      </text>
    </comment>
    <comment ref="E65" authorId="0" shapeId="0" xr:uid="{00000000-0006-0000-0A00-000075000000}">
      <text>
        <r>
          <rPr>
            <sz val="9"/>
            <color indexed="81"/>
            <rFont val="Tahoma"/>
            <family val="2"/>
          </rPr>
          <t xml:space="preserve">0.61 - 0.64  according to Johanna Altenstedt and Karin Pleijel, IVL report B-1305 Göteborg, Sweden september 1998
</t>
        </r>
      </text>
    </comment>
    <comment ref="F65" authorId="0" shapeId="0" xr:uid="{89B774A9-33FE-41A8-BA86-D2B367AD2CDA}">
      <text>
        <r>
          <rPr>
            <sz val="9"/>
            <color indexed="81"/>
            <rFont val="Tahoma"/>
            <family val="2"/>
          </rPr>
          <t>0.61 to 0.64 for European conditions according to 
Johanna Altenstedt and Karin Pleijel, IVL report B-1305
Göteborg, september 1998</t>
        </r>
      </text>
    </comment>
    <comment ref="G65" authorId="0" shapeId="0" xr:uid="{23F43AC9-012F-4B7C-92CD-0F618A8EE01F}">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5" authorId="0" shapeId="0" xr:uid="{EC114EA0-5620-4C9E-B39E-3D9DA5860C2B}">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6" authorId="0" shapeId="0" xr:uid="{3D217289-2E6A-4FFB-9221-7D47E6E80951}">
      <text>
        <r>
          <rPr>
            <sz val="9"/>
            <color indexed="81"/>
            <rFont val="Tahoma"/>
            <family val="2"/>
          </rPr>
          <t>Fry et al. Atmos. Chem. Phys., 14, 523–535, 2014
www.atmos-chem-phys.net/14/523/2014/</t>
        </r>
      </text>
    </comment>
    <comment ref="D66" authorId="0" shapeId="0" xr:uid="{EA1BCD42-DE65-4FA5-8981-87143830F229}">
      <text>
        <r>
          <rPr>
            <sz val="9"/>
            <color indexed="81"/>
            <rFont val="Tahoma"/>
            <family val="2"/>
          </rPr>
          <t>estmated from figure 5 Fry et al. DOI:10.5194/acp-14-523-2014</t>
        </r>
      </text>
    </comment>
    <comment ref="E66" authorId="0" shapeId="0" xr:uid="{00000000-0006-0000-0A00-000077000000}">
      <text>
        <r>
          <rPr>
            <sz val="9"/>
            <color indexed="81"/>
            <rFont val="Tahoma"/>
            <family val="2"/>
          </rPr>
          <t xml:space="preserve">0.94 - 0.97  according to Johanna Altenstedt and Karin Pleijel, IVL report B-1305 Göteborg, Sweden september 1998
</t>
        </r>
      </text>
    </comment>
    <comment ref="F66" authorId="0" shapeId="0" xr:uid="{0BB0D273-AA1E-44B9-9360-3F10902A4F8A}">
      <text>
        <r>
          <rPr>
            <sz val="9"/>
            <color indexed="81"/>
            <rFont val="Tahoma"/>
            <family val="2"/>
          </rPr>
          <t>0.94 to 0.97 for European conditions according to 
Johanna Altenstedt and Karin Pleijel, IVL report B-1305
Göteborg, september 1998</t>
        </r>
      </text>
    </comment>
    <comment ref="G66" authorId="0" shapeId="0" xr:uid="{1DB20A07-215A-49F2-81F4-11428638661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6" authorId="0" shapeId="0" xr:uid="{766450BD-CE2F-467F-A5CA-41D45CFA2E13}">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7" authorId="0" shapeId="0" xr:uid="{A90EBC57-9241-404E-AF73-405F334493A4}">
      <text>
        <r>
          <rPr>
            <sz val="9"/>
            <color indexed="81"/>
            <rFont val="Tahoma"/>
            <family val="2"/>
          </rPr>
          <t>Fry et al. Atmos. Chem. Phys., 14, 523–535, 2014
www.atmos-chem-phys.net/14/523/2014/</t>
        </r>
      </text>
    </comment>
    <comment ref="D67" authorId="0" shapeId="0" xr:uid="{06AF71BE-0FC9-42CB-A7D3-671B57FB88F8}">
      <text>
        <r>
          <rPr>
            <sz val="9"/>
            <color indexed="81"/>
            <rFont val="Tahoma"/>
            <family val="2"/>
          </rPr>
          <t>estmated from figure 5 Fry et al. DOI:10.5194/acp-14-523-2014</t>
        </r>
      </text>
    </comment>
    <comment ref="E67" authorId="0" shapeId="0" xr:uid="{00000000-0006-0000-0A00-000079000000}">
      <text>
        <r>
          <rPr>
            <sz val="9"/>
            <color indexed="81"/>
            <rFont val="Tahoma"/>
            <family val="2"/>
          </rPr>
          <t xml:space="preserve">0.70 -0.89  according to Johanna Altenstedt and Karin Pleijel, IVL report B-1305 Göteborg, Sweden september 1998
</t>
        </r>
      </text>
    </comment>
    <comment ref="F67" authorId="0" shapeId="0" xr:uid="{0DABCB75-28A0-46A2-A245-2B275E546CE9}">
      <text>
        <r>
          <rPr>
            <sz val="9"/>
            <color indexed="81"/>
            <rFont val="Tahoma"/>
            <family val="2"/>
          </rPr>
          <t>0.70 to 0.89 for European conditions according to 
Johanna Altenstedt and Karin Pleijel, IVL report B-1305
Göteborg, september 1998</t>
        </r>
      </text>
    </comment>
    <comment ref="G67" authorId="0" shapeId="0" xr:uid="{004E01EF-1FBE-4502-B9C7-EB750637AB4F}">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7" authorId="0" shapeId="0" xr:uid="{9BE507D3-1C28-438B-A84F-418B15E1ABCA}">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8" authorId="0" shapeId="0" xr:uid="{D85A6E68-5937-4F30-B0D3-7436D5257C86}">
      <text>
        <r>
          <rPr>
            <sz val="9"/>
            <color indexed="81"/>
            <rFont val="Tahoma"/>
            <family val="2"/>
          </rPr>
          <t>Fry et al. Atmos. Chem. Phys., 14, 523–535, 2014
www.atmos-chem-phys.net/14/523/2014/</t>
        </r>
      </text>
    </comment>
    <comment ref="D68" authorId="0" shapeId="0" xr:uid="{46A76FE7-B084-4F83-837B-35B510614196}">
      <text>
        <r>
          <rPr>
            <sz val="9"/>
            <color indexed="81"/>
            <rFont val="Tahoma"/>
            <family val="2"/>
          </rPr>
          <t>estmated from figure 5 Fry et al. DOI:10.5194/acp-14-523-2014</t>
        </r>
      </text>
    </comment>
    <comment ref="E68" authorId="0" shapeId="0" xr:uid="{00000000-0006-0000-0A00-00007B000000}">
      <text>
        <r>
          <rPr>
            <sz val="9"/>
            <color indexed="81"/>
            <rFont val="Tahoma"/>
            <family val="2"/>
          </rPr>
          <t xml:space="preserve">0.59 - 0.67  according to Johanna Altenstedt and Karin Pleijel, IVL report B-1305 Göteborg, Sweden september 1998
</t>
        </r>
      </text>
    </comment>
    <comment ref="F68" authorId="0" shapeId="0" xr:uid="{F7A470F1-0695-4B5B-B583-5541A57EAFEE}">
      <text>
        <r>
          <rPr>
            <sz val="9"/>
            <color indexed="81"/>
            <rFont val="Tahoma"/>
            <family val="2"/>
          </rPr>
          <t>0.59 to 0.67 for European conditions according to 
Johanna Altenstedt and Karin Pleijel, IVL report B-1305
Göteborg, september 1998</t>
        </r>
      </text>
    </comment>
    <comment ref="G68" authorId="0" shapeId="0" xr:uid="{E75930B3-E6A3-4455-96C0-CB507A37A12A}">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8" authorId="0" shapeId="0" xr:uid="{2542321C-5D97-43DF-9223-C262E145EF5D}">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69" authorId="0" shapeId="0" xr:uid="{CD595FB5-0789-4786-BC56-D3F09CC80B74}">
      <text>
        <r>
          <rPr>
            <sz val="9"/>
            <color indexed="81"/>
            <rFont val="Tahoma"/>
            <family val="2"/>
          </rPr>
          <t>Fry et al. Atmos. Chem. Phys., 14, 523–535, 2014
www.atmos-chem-phys.net/14/523/2014/</t>
        </r>
      </text>
    </comment>
    <comment ref="D69" authorId="0" shapeId="0" xr:uid="{43A89B7F-DEAF-49C7-A55B-1E8B457689BE}">
      <text>
        <r>
          <rPr>
            <sz val="9"/>
            <color indexed="81"/>
            <rFont val="Tahoma"/>
            <family val="2"/>
          </rPr>
          <t>estmated from figure 5 Fry et al. DOI:10.5194/acp-14-523-2014</t>
        </r>
      </text>
    </comment>
    <comment ref="E69" authorId="0" shapeId="0" xr:uid="{00000000-0006-0000-0A00-00007D000000}">
      <text>
        <r>
          <rPr>
            <sz val="9"/>
            <color indexed="81"/>
            <rFont val="Tahoma"/>
            <family val="2"/>
          </rPr>
          <t xml:space="preserve">Derwent et al. Atmospheric Environment Vol. 32, No. 14/15, pp. 2429Ð2441, 1998
</t>
        </r>
      </text>
    </comment>
    <comment ref="F69" authorId="0" shapeId="0" xr:uid="{66866357-BCC5-4645-9838-98FB59C02A27}">
      <text>
        <r>
          <rPr>
            <sz val="9"/>
            <color indexed="81"/>
            <rFont val="Tahoma"/>
            <family val="2"/>
          </rPr>
          <t xml:space="preserve">Only one trajectory were used </t>
        </r>
      </text>
    </comment>
    <comment ref="G69" authorId="0" shapeId="0" xr:uid="{FF7C6825-E727-44F8-9AD4-9067EC694AB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69" authorId="0" shapeId="0" xr:uid="{9449BE59-CFD0-43D9-9E73-3C657A2F40F7}">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0" authorId="0" shapeId="0" xr:uid="{2752DCB2-7885-432C-A0F9-0A90BD811483}">
      <text>
        <r>
          <rPr>
            <sz val="9"/>
            <color indexed="81"/>
            <rFont val="Tahoma"/>
            <family val="2"/>
          </rPr>
          <t>Fry et al. Atmos. Chem. Phys., 14, 523–535, 2014
www.atmos-chem-phys.net/14/523/2014/</t>
        </r>
      </text>
    </comment>
    <comment ref="D70" authorId="0" shapeId="0" xr:uid="{0420C2E8-C30D-42EF-AFE6-2CBFD8D9F9D9}">
      <text>
        <r>
          <rPr>
            <sz val="9"/>
            <color indexed="81"/>
            <rFont val="Tahoma"/>
            <family val="2"/>
          </rPr>
          <t>estmated from figure 5 Fry et al. DOI:10.5194/acp-14-523-2014</t>
        </r>
      </text>
    </comment>
    <comment ref="E70" authorId="0" shapeId="0" xr:uid="{00000000-0006-0000-0A00-00007F000000}">
      <text>
        <r>
          <rPr>
            <sz val="9"/>
            <color indexed="81"/>
            <rFont val="Tahoma"/>
            <family val="2"/>
          </rPr>
          <t xml:space="preserve">Derwent et al. Atmospheric Environment Vol. 32, No. 14/15, pp. 2429Ð2441, 1998
</t>
        </r>
      </text>
    </comment>
    <comment ref="F70" authorId="0" shapeId="0" xr:uid="{705A6D9B-128F-4766-9980-0962BEACE908}">
      <text>
        <r>
          <rPr>
            <sz val="9"/>
            <color indexed="81"/>
            <rFont val="Tahoma"/>
            <family val="2"/>
          </rPr>
          <t xml:space="preserve">Only one trajectory were used </t>
        </r>
      </text>
    </comment>
    <comment ref="G70" authorId="0" shapeId="0" xr:uid="{50F2CF26-8852-4811-B9C8-5EC09E82A004}">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0" authorId="0" shapeId="0" xr:uid="{CC43399D-5A71-477E-B9B8-3E80F265437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2" authorId="0" shapeId="0" xr:uid="{73088F5A-A574-4BBB-962B-C21E1D095229}">
      <text>
        <r>
          <rPr>
            <sz val="9"/>
            <color indexed="81"/>
            <rFont val="Tahoma"/>
            <family val="2"/>
          </rPr>
          <t>Fry et al. Atmos. Chem. Phys., 14, 523–535, 2014
www.atmos-chem-phys.net/14/523/2014/</t>
        </r>
      </text>
    </comment>
    <comment ref="D72" authorId="0" shapeId="0" xr:uid="{A720D094-E545-44C1-82A1-A0CDAEDF1A1C}">
      <text>
        <r>
          <rPr>
            <sz val="9"/>
            <color indexed="81"/>
            <rFont val="Tahoma"/>
            <family val="2"/>
          </rPr>
          <t>estmated from figure 5 Fry et al. DOI:10.5194/acp-14-523-2014</t>
        </r>
      </text>
    </comment>
    <comment ref="E72" authorId="0" shapeId="0" xr:uid="{00000000-0006-0000-0A00-000081000000}">
      <text>
        <r>
          <rPr>
            <sz val="9"/>
            <color indexed="81"/>
            <rFont val="Tahoma"/>
            <family val="2"/>
          </rPr>
          <t>0.13 - 0.21  according to Johanna Altenstedt and Karin Pleijel, IVL report B-1305 Göteborg, Sweden september 1998</t>
        </r>
      </text>
    </comment>
    <comment ref="F72" authorId="0" shapeId="0" xr:uid="{FBD28C3B-F5B0-46B3-AAEB-E295D4A8CBD3}">
      <text>
        <r>
          <rPr>
            <sz val="9"/>
            <color indexed="81"/>
            <rFont val="Tahoma"/>
            <family val="2"/>
          </rPr>
          <t>0.13 to 0.21 for European conditions according to 
Johanna Altenstedt and Karin Pleijel, IVL report B-1305
Göteborg, september 1998</t>
        </r>
      </text>
    </comment>
    <comment ref="G72" authorId="0" shapeId="0" xr:uid="{47D8E6B8-C0AE-4931-A304-7E82DC5EF6BA}">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2" authorId="0" shapeId="0" xr:uid="{FA1D9BB7-CFD2-4A4D-8045-316BF008CAB9}">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3" authorId="0" shapeId="0" xr:uid="{3B0E1B14-BBDD-4C29-9551-3FF1D3B36F61}">
      <text>
        <r>
          <rPr>
            <sz val="9"/>
            <color indexed="81"/>
            <rFont val="Tahoma"/>
            <family val="2"/>
          </rPr>
          <t>Fry et al. Atmos. Chem. Phys., 14, 523–535, 2014
www.atmos-chem-phys.net/14/523/2014/</t>
        </r>
      </text>
    </comment>
    <comment ref="D73" authorId="0" shapeId="0" xr:uid="{9E10BF12-4CBE-4346-842B-D929BE718504}">
      <text>
        <r>
          <rPr>
            <sz val="9"/>
            <color indexed="81"/>
            <rFont val="Tahoma"/>
            <family val="2"/>
          </rPr>
          <t>estmated from figure 5 Fry et al. DOI:10.5194/acp-14-523-2014</t>
        </r>
      </text>
    </comment>
    <comment ref="E73" authorId="0" shapeId="0" xr:uid="{00000000-0006-0000-0A00-000083000000}">
      <text>
        <r>
          <rPr>
            <sz val="9"/>
            <color indexed="81"/>
            <rFont val="Tahoma"/>
            <family val="2"/>
          </rPr>
          <t xml:space="preserve">0.44 - 0.63  according to Johanna Altenstedt and Karin Pleijel, IVL report B-1305 Göteborg, Sweden september 1998
</t>
        </r>
      </text>
    </comment>
    <comment ref="F73" authorId="0" shapeId="0" xr:uid="{3F24FE5E-06AA-4B51-A4B2-7A66F4631724}">
      <text>
        <r>
          <rPr>
            <sz val="9"/>
            <color indexed="81"/>
            <rFont val="Tahoma"/>
            <family val="2"/>
          </rPr>
          <t>0.44 to 0.63 for European conditions according to 
Johanna Altenstedt and Karin Pleijel, IVL report B-1305
Göteborg, september 1998</t>
        </r>
      </text>
    </comment>
    <comment ref="G73" authorId="0" shapeId="0" xr:uid="{DC84C502-922F-4185-85AD-47A3869B9F07}">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3" authorId="0" shapeId="0" xr:uid="{D2E9074B-829E-4C35-B2D5-D6F13661F3F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4" authorId="0" shapeId="0" xr:uid="{741D7A66-55DC-4484-87C3-9B181D4C7274}">
      <text>
        <r>
          <rPr>
            <sz val="9"/>
            <color indexed="81"/>
            <rFont val="Tahoma"/>
            <family val="2"/>
          </rPr>
          <t>Fry et al. Atmos. Chem. Phys., 14, 523–535, 2014
www.atmos-chem-phys.net/14/523/2014/</t>
        </r>
      </text>
    </comment>
    <comment ref="D74" authorId="0" shapeId="0" xr:uid="{31AB190B-A915-4FCD-BB34-5C4F1C823DA9}">
      <text>
        <r>
          <rPr>
            <sz val="9"/>
            <color indexed="81"/>
            <rFont val="Tahoma"/>
            <family val="2"/>
          </rPr>
          <t>estmated from figure 5 Fry et al. DOI:10.5194/acp-14-523-2014</t>
        </r>
      </text>
    </comment>
    <comment ref="E74" authorId="0" shapeId="0" xr:uid="{00000000-0006-0000-0A00-000085000000}">
      <text>
        <r>
          <rPr>
            <sz val="9"/>
            <color indexed="81"/>
            <rFont val="Tahoma"/>
            <family val="2"/>
          </rPr>
          <t xml:space="preserve">Derwent et al. Atmospheric Environment Vol. 32, No. 14/15, pp. 2429Ð2441, 1998
</t>
        </r>
      </text>
    </comment>
    <comment ref="F74" authorId="0" shapeId="0" xr:uid="{67188EB6-A8A0-42CD-9A8A-7384D7136AD3}">
      <text>
        <r>
          <rPr>
            <sz val="9"/>
            <color indexed="81"/>
            <rFont val="Tahoma"/>
            <family val="2"/>
          </rPr>
          <t xml:space="preserve">Only one trajectory were used </t>
        </r>
      </text>
    </comment>
    <comment ref="G74" authorId="0" shapeId="0" xr:uid="{F3112797-56B5-4041-857B-D8F5D731850C}">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4" authorId="0" shapeId="0" xr:uid="{80479FF4-6E4E-4C5B-8E97-1E49770954B5}">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5" authorId="0" shapeId="0" xr:uid="{C9CD5774-B1CE-4F2D-BD70-EC414AFD4182}">
      <text>
        <r>
          <rPr>
            <sz val="9"/>
            <color indexed="81"/>
            <rFont val="Tahoma"/>
            <family val="2"/>
          </rPr>
          <t>Fry et al. Atmos. Chem. Phys., 14, 523–535, 2014
www.atmos-chem-phys.net/14/523/2014/</t>
        </r>
      </text>
    </comment>
    <comment ref="D75" authorId="0" shapeId="0" xr:uid="{AEEAA0BB-444F-4773-BDDD-DDD93424079A}">
      <text>
        <r>
          <rPr>
            <sz val="9"/>
            <color indexed="81"/>
            <rFont val="Tahoma"/>
            <family val="2"/>
          </rPr>
          <t>estmated from figure 5 Fry et al. DOI:10.5194/acp-14-523-2014</t>
        </r>
      </text>
    </comment>
    <comment ref="E75" authorId="0" shapeId="0" xr:uid="{00000000-0006-0000-0A00-000087000000}">
      <text>
        <r>
          <rPr>
            <sz val="9"/>
            <color indexed="81"/>
            <rFont val="Tahoma"/>
            <family val="2"/>
          </rPr>
          <t xml:space="preserve">0.37 - 0.43  according to Johanna Altenstedt and Karin Pleijel, IVL report B-1305 Göteborg, Sweden september 1998
</t>
        </r>
      </text>
    </comment>
    <comment ref="F75" authorId="0" shapeId="0" xr:uid="{F5BCE2A1-B1CC-40C6-8634-32014209FD69}">
      <text>
        <r>
          <rPr>
            <sz val="9"/>
            <color indexed="81"/>
            <rFont val="Tahoma"/>
            <family val="2"/>
          </rPr>
          <t>0.37 to 0.43 for European conditions according to 
Johanna Altenstedt and Karin Pleijel, IVL report B-1305
Göteborg, september 1998</t>
        </r>
      </text>
    </comment>
    <comment ref="G75" authorId="0" shapeId="0" xr:uid="{4440BA59-3795-49AE-AFD1-193C7901DA56}">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5" authorId="0" shapeId="0" xr:uid="{CB9EDE7B-FA98-499E-88BC-820DE45F630E}">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6" authorId="0" shapeId="0" xr:uid="{8587DF85-A0D5-4966-9C57-ADCC599FB7C1}">
      <text>
        <r>
          <rPr>
            <sz val="9"/>
            <color indexed="81"/>
            <rFont val="Tahoma"/>
            <family val="2"/>
          </rPr>
          <t>Fry et al. Atmos. Chem. Phys., 14, 523–535, 2014
www.atmos-chem-phys.net/14/523/2014/</t>
        </r>
      </text>
    </comment>
    <comment ref="D76" authorId="0" shapeId="0" xr:uid="{94468213-E50D-4F92-8101-245D207C54E1}">
      <text>
        <r>
          <rPr>
            <sz val="9"/>
            <color indexed="81"/>
            <rFont val="Tahoma"/>
            <family val="2"/>
          </rPr>
          <t>estmated from figure 5 Fry et al. DOI:10.5194/acp-14-523-2014</t>
        </r>
      </text>
    </comment>
    <comment ref="E76" authorId="0" shapeId="0" xr:uid="{00000000-0006-0000-0A00-000089000000}">
      <text>
        <r>
          <rPr>
            <sz val="9"/>
            <color indexed="81"/>
            <rFont val="Tahoma"/>
            <family val="2"/>
          </rPr>
          <t xml:space="preserve">0.63 - 0.95  according to Johanna Altenstedt and Karin Pleijel, IVL report B-1305 Göteborg, Sweden september 1998
</t>
        </r>
      </text>
    </comment>
    <comment ref="F76" authorId="0" shapeId="0" xr:uid="{26943673-887F-40EB-B32E-54535B4EBEE6}">
      <text>
        <r>
          <rPr>
            <sz val="9"/>
            <color indexed="81"/>
            <rFont val="Tahoma"/>
            <family val="2"/>
          </rPr>
          <t>0.63 to 0.95 for European conditions according to 
Johanna Altenstedt and Karin Pleijel, IVL report B-1305
Göteborg, september 1998</t>
        </r>
      </text>
    </comment>
    <comment ref="G76" authorId="0" shapeId="0" xr:uid="{7B701792-4FAA-4DDC-A212-4D8F4CD87589}">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6" authorId="0" shapeId="0" xr:uid="{657BFEE8-41D2-4F5F-81F2-728A4FD93FBE}">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7" authorId="0" shapeId="0" xr:uid="{C5FA42FD-75A3-4A75-8F21-BF414639EE13}">
      <text>
        <r>
          <rPr>
            <sz val="9"/>
            <color indexed="81"/>
            <rFont val="Tahoma"/>
            <family val="2"/>
          </rPr>
          <t>Fry et al. Atmos. Chem. Phys., 14, 523–535, 2014
www.atmos-chem-phys.net/14/523/2014/</t>
        </r>
      </text>
    </comment>
    <comment ref="D77" authorId="0" shapeId="0" xr:uid="{6DCB0BCB-6BF3-4CB5-9E02-35830AA2C2A3}">
      <text>
        <r>
          <rPr>
            <sz val="9"/>
            <color indexed="81"/>
            <rFont val="Tahoma"/>
            <family val="2"/>
          </rPr>
          <t>estmated from figure 5 Fry et al. DOI:10.5194/acp-14-523-2014</t>
        </r>
      </text>
    </comment>
    <comment ref="E77" authorId="0" shapeId="0" xr:uid="{00000000-0006-0000-0A00-00008B000000}">
      <text>
        <r>
          <rPr>
            <sz val="9"/>
            <color indexed="81"/>
            <rFont val="Tahoma"/>
            <family val="2"/>
          </rPr>
          <t xml:space="preserve">Derwent et al. Atmospheric Environment Vol. 32, No. 14/15, pp. 2429Ð2441, 1998
</t>
        </r>
      </text>
    </comment>
    <comment ref="F77" authorId="0" shapeId="0" xr:uid="{4F495A66-9207-4D91-94BE-B326908EB816}">
      <text>
        <r>
          <rPr>
            <sz val="9"/>
            <color indexed="81"/>
            <rFont val="Tahoma"/>
            <family val="2"/>
          </rPr>
          <t xml:space="preserve">Only one trajectory were used </t>
        </r>
      </text>
    </comment>
    <comment ref="G77" authorId="0" shapeId="0" xr:uid="{9FB4EC53-72BA-463D-B675-B8FC5A4D8F4C}">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7" authorId="0" shapeId="0" xr:uid="{F1B7545D-B0E2-4F33-AF78-A73B3DB5D7CF}">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8" authorId="0" shapeId="0" xr:uid="{ED33BC99-ED8A-4F5F-8CC6-73416FE11E15}">
      <text>
        <r>
          <rPr>
            <sz val="9"/>
            <color indexed="81"/>
            <rFont val="Tahoma"/>
            <family val="2"/>
          </rPr>
          <t>Fry et al. Atmos. Chem. Phys., 14, 523–535, 2014
www.atmos-chem-phys.net/14/523/2014/</t>
        </r>
      </text>
    </comment>
    <comment ref="D78" authorId="0" shapeId="0" xr:uid="{D54C790C-C123-47DA-84FB-B3C66582CB9E}">
      <text>
        <r>
          <rPr>
            <sz val="9"/>
            <color indexed="81"/>
            <rFont val="Tahoma"/>
            <family val="2"/>
          </rPr>
          <t>estmated from figure 5 Fry et al. DOI:10.5194/acp-14-523-2014</t>
        </r>
      </text>
    </comment>
    <comment ref="E78" authorId="0" shapeId="0" xr:uid="{00000000-0006-0000-0A00-00008D000000}">
      <text>
        <r>
          <rPr>
            <sz val="9"/>
            <color indexed="81"/>
            <rFont val="Tahoma"/>
            <family val="2"/>
          </rPr>
          <t xml:space="preserve">Derwent et al. Atmospheric Environment Vol. 32, No. 14/15, pp. 2429Ð2441, 1998
</t>
        </r>
      </text>
    </comment>
    <comment ref="F78" authorId="0" shapeId="0" xr:uid="{62630F44-4EA0-423E-AAA0-F4DA16474A05}">
      <text>
        <r>
          <rPr>
            <sz val="9"/>
            <color indexed="81"/>
            <rFont val="Tahoma"/>
            <family val="2"/>
          </rPr>
          <t xml:space="preserve">Only one trajectory were used </t>
        </r>
      </text>
    </comment>
    <comment ref="G78" authorId="0" shapeId="0" xr:uid="{4BE9CCB5-6DFC-494F-BFF5-9CEF9E3F538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8" authorId="0" shapeId="0" xr:uid="{66C5B04A-8FAA-48F5-87C1-654956C043A7}">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79" authorId="0" shapeId="0" xr:uid="{E319758A-D664-447A-804B-A81137E10159}">
      <text>
        <r>
          <rPr>
            <sz val="9"/>
            <color indexed="81"/>
            <rFont val="Tahoma"/>
            <family val="2"/>
          </rPr>
          <t>Fry et al. Atmos. Chem. Phys., 14, 523–535, 2014
www.atmos-chem-phys.net/14/523/2014/</t>
        </r>
      </text>
    </comment>
    <comment ref="D79" authorId="0" shapeId="0" xr:uid="{40964BB0-18E7-43B9-822D-A9F889100878}">
      <text>
        <r>
          <rPr>
            <sz val="9"/>
            <color indexed="81"/>
            <rFont val="Tahoma"/>
            <family val="2"/>
          </rPr>
          <t>estmated from figure 5 Fry et al. DOI:10.5194/acp-14-523-2014</t>
        </r>
      </text>
    </comment>
    <comment ref="E79" authorId="0" shapeId="0" xr:uid="{00000000-0006-0000-0A00-00008F000000}">
      <text>
        <r>
          <rPr>
            <sz val="9"/>
            <color indexed="81"/>
            <rFont val="Tahoma"/>
            <family val="2"/>
          </rPr>
          <t xml:space="preserve">Derwent et al. Atmospheric Environment Vol. 32, No. 14/15, pp. 2429Ð2441, 1998
</t>
        </r>
      </text>
    </comment>
    <comment ref="F79" authorId="0" shapeId="0" xr:uid="{F410B9BE-6711-4AFD-9729-A06172F29C62}">
      <text>
        <r>
          <rPr>
            <sz val="9"/>
            <color indexed="81"/>
            <rFont val="Tahoma"/>
            <family val="2"/>
          </rPr>
          <t xml:space="preserve">Only one trajectory were used </t>
        </r>
      </text>
    </comment>
    <comment ref="G79" authorId="0" shapeId="0" xr:uid="{BEC727BB-C760-47A7-AA61-786524B6C5A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79" authorId="0" shapeId="0" xr:uid="{5C267B0A-5F2E-4BDE-B91D-224B3AFDE116}">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0" authorId="0" shapeId="0" xr:uid="{F7FD7D21-000B-4F65-ACB9-ADEC6C6B7532}">
      <text>
        <r>
          <rPr>
            <sz val="9"/>
            <color indexed="81"/>
            <rFont val="Tahoma"/>
            <family val="2"/>
          </rPr>
          <t>Fry et al. Atmos. Chem. Phys., 14, 523–535, 2014
www.atmos-chem-phys.net/14/523/2014/</t>
        </r>
      </text>
    </comment>
    <comment ref="D80" authorId="0" shapeId="0" xr:uid="{899668A4-3BB0-41ED-B862-8B3755EC2545}">
      <text>
        <r>
          <rPr>
            <sz val="9"/>
            <color indexed="81"/>
            <rFont val="Tahoma"/>
            <family val="2"/>
          </rPr>
          <t>estmated from figure 5 Fry et al. DOI:10.5194/acp-14-523-2014</t>
        </r>
      </text>
    </comment>
    <comment ref="E80" authorId="0" shapeId="0" xr:uid="{00000000-0006-0000-0A00-000091000000}">
      <text>
        <r>
          <rPr>
            <sz val="9"/>
            <color indexed="81"/>
            <rFont val="Tahoma"/>
            <family val="2"/>
          </rPr>
          <t xml:space="preserve">Derwent et al. Atmospheric Environment Vol. 32, No. 14/15, pp. 2429Ð2441, 1998
</t>
        </r>
      </text>
    </comment>
    <comment ref="F80" authorId="0" shapeId="0" xr:uid="{748861D1-D86A-4FE1-910F-EF80D6630577}">
      <text>
        <r>
          <rPr>
            <sz val="9"/>
            <color indexed="81"/>
            <rFont val="Tahoma"/>
            <family val="2"/>
          </rPr>
          <t xml:space="preserve">Only one trajectory were used </t>
        </r>
      </text>
    </comment>
    <comment ref="G80" authorId="0" shapeId="0" xr:uid="{BD5465B7-DABB-425C-9E02-7CEE01ECD58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0" authorId="0" shapeId="0" xr:uid="{061164FC-128B-4028-8DE5-8893AE16E865}">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1" authorId="0" shapeId="0" xr:uid="{12F95B5C-7950-4E11-A824-823FD1242076}">
      <text>
        <r>
          <rPr>
            <sz val="9"/>
            <color indexed="81"/>
            <rFont val="Tahoma"/>
            <family val="2"/>
          </rPr>
          <t>Fry et al. Atmos. Chem. Phys., 14, 523–535, 2014
www.atmos-chem-phys.net/14/523/2014/</t>
        </r>
      </text>
    </comment>
    <comment ref="D81" authorId="0" shapeId="0" xr:uid="{F46C9308-3A77-4AB7-81C5-8442CD784703}">
      <text>
        <r>
          <rPr>
            <sz val="9"/>
            <color indexed="81"/>
            <rFont val="Tahoma"/>
            <family val="2"/>
          </rPr>
          <t>estmated from figure 5 Fry et al. DOI:10.5194/acp-14-523-2014</t>
        </r>
      </text>
    </comment>
    <comment ref="E81" authorId="0" shapeId="0" xr:uid="{00000000-0006-0000-0A00-000093000000}">
      <text>
        <r>
          <rPr>
            <sz val="9"/>
            <color indexed="81"/>
            <rFont val="Tahoma"/>
            <family val="2"/>
          </rPr>
          <t xml:space="preserve">Derwent et al. Atmospheric Environment Vol. 32, No. 14/15, pp. 2429Ð2441, 1998
</t>
        </r>
      </text>
    </comment>
    <comment ref="F81" authorId="0" shapeId="0" xr:uid="{1A428B52-B81C-4B3F-A265-22E3A13DFB17}">
      <text>
        <r>
          <rPr>
            <sz val="9"/>
            <color indexed="81"/>
            <rFont val="Tahoma"/>
            <family val="2"/>
          </rPr>
          <t xml:space="preserve">Only one trajectory were used </t>
        </r>
      </text>
    </comment>
    <comment ref="G81" authorId="0" shapeId="0" xr:uid="{1AEB82AC-4E1B-460B-ADDE-958DFF3206D4}">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1" authorId="0" shapeId="0" xr:uid="{B8CE06AD-9C61-4449-AD5D-A2E5E4B22C91}">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2" authorId="0" shapeId="0" xr:uid="{8D4B2D55-6C5B-4A20-A04E-59FC22E7CF2B}">
      <text>
        <r>
          <rPr>
            <sz val="9"/>
            <color indexed="81"/>
            <rFont val="Tahoma"/>
            <family val="2"/>
          </rPr>
          <t>Fry et al. Atmos. Chem. Phys., 14, 523–535, 2014
www.atmos-chem-phys.net/14/523/2014/</t>
        </r>
      </text>
    </comment>
    <comment ref="D82" authorId="0" shapeId="0" xr:uid="{886941A5-5255-4544-B527-6125AC7A11E0}">
      <text>
        <r>
          <rPr>
            <sz val="9"/>
            <color indexed="81"/>
            <rFont val="Tahoma"/>
            <family val="2"/>
          </rPr>
          <t>estmated from figure 5 Fry et al. DOI:10.5194/acp-14-523-2014</t>
        </r>
      </text>
    </comment>
    <comment ref="E82" authorId="0" shapeId="0" xr:uid="{00000000-0006-0000-0A00-000095000000}">
      <text>
        <r>
          <rPr>
            <sz val="9"/>
            <color indexed="81"/>
            <rFont val="Tahoma"/>
            <family val="2"/>
          </rPr>
          <t xml:space="preserve">Derwent et al. Atmospheric Environment Vol. 32, No. 14/15, pp. 2429Ð2441, 1998
</t>
        </r>
      </text>
    </comment>
    <comment ref="F82" authorId="0" shapeId="0" xr:uid="{579345D0-4795-4653-878E-D1450A27D46B}">
      <text>
        <r>
          <rPr>
            <sz val="9"/>
            <color indexed="81"/>
            <rFont val="Tahoma"/>
            <family val="2"/>
          </rPr>
          <t xml:space="preserve">Only one trajectory were used </t>
        </r>
      </text>
    </comment>
    <comment ref="G82" authorId="0" shapeId="0" xr:uid="{2E248C68-C5F5-4C53-BFD2-383379A09771}">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2" authorId="0" shapeId="0" xr:uid="{54A54F2B-9B86-4C2E-B139-D94DB736E1B3}">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3" authorId="0" shapeId="0" xr:uid="{0541B240-DB84-4CFB-8561-6679B60C1EBF}">
      <text>
        <r>
          <rPr>
            <sz val="9"/>
            <color indexed="81"/>
            <rFont val="Tahoma"/>
            <family val="2"/>
          </rPr>
          <t>Fry et al. Atmos. Chem. Phys., 14, 523–535, 2014
www.atmos-chem-phys.net/14/523/2014/</t>
        </r>
      </text>
    </comment>
    <comment ref="D83" authorId="0" shapeId="0" xr:uid="{7F0FE8AE-5F46-47D6-BDE3-77BC1E77522A}">
      <text>
        <r>
          <rPr>
            <sz val="9"/>
            <color indexed="81"/>
            <rFont val="Tahoma"/>
            <family val="2"/>
          </rPr>
          <t>estmated from figure 5 Fry et al. DOI:10.5194/acp-14-523-2014</t>
        </r>
      </text>
    </comment>
    <comment ref="E83" authorId="0" shapeId="0" xr:uid="{00000000-0006-0000-0A00-000097000000}">
      <text>
        <r>
          <rPr>
            <sz val="9"/>
            <color indexed="81"/>
            <rFont val="Tahoma"/>
            <family val="2"/>
          </rPr>
          <t xml:space="preserve">Derwent et al. Atmospheric Environment Vol. 32, No. 14/15, pp. 2429Ð2441, 1998
</t>
        </r>
      </text>
    </comment>
    <comment ref="F83" authorId="0" shapeId="0" xr:uid="{D8D99AC5-141A-404A-B72D-F21FCD3E141C}">
      <text>
        <r>
          <rPr>
            <sz val="9"/>
            <color indexed="81"/>
            <rFont val="Tahoma"/>
            <family val="2"/>
          </rPr>
          <t xml:space="preserve">Only one trajectory were used </t>
        </r>
      </text>
    </comment>
    <comment ref="G83" authorId="0" shapeId="0" xr:uid="{FD07AF6A-29B1-45F4-B086-0ECB696AC62D}">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3" authorId="0" shapeId="0" xr:uid="{11802BBB-CE62-4E65-8F20-A6F17D45E769}">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4" authorId="0" shapeId="0" xr:uid="{075FB70D-58E2-4BF3-90A3-35E61E61E7BB}">
      <text>
        <r>
          <rPr>
            <sz val="9"/>
            <color indexed="81"/>
            <rFont val="Tahoma"/>
            <family val="2"/>
          </rPr>
          <t>Fry et al. Atmos. Chem. Phys., 14, 523–535, 2014
www.atmos-chem-phys.net/14/523/2014/</t>
        </r>
      </text>
    </comment>
    <comment ref="D84" authorId="0" shapeId="0" xr:uid="{7ADDF699-F5B2-419A-8C92-066C07B40FB7}">
      <text>
        <r>
          <rPr>
            <sz val="9"/>
            <color indexed="81"/>
            <rFont val="Tahoma"/>
            <family val="2"/>
          </rPr>
          <t>estmated from figure 5 Fry et al. DOI:10.5194/acp-14-523-2014</t>
        </r>
      </text>
    </comment>
    <comment ref="E84" authorId="0" shapeId="0" xr:uid="{00000000-0006-0000-0A00-000099000000}">
      <text>
        <r>
          <rPr>
            <sz val="9"/>
            <color indexed="81"/>
            <rFont val="Tahoma"/>
            <family val="2"/>
          </rPr>
          <t xml:space="preserve">Derwent et al. Atmospheric Environment Vol. 32, No. 14/15, pp. 2429Ð2441, 1998
</t>
        </r>
      </text>
    </comment>
    <comment ref="F84" authorId="0" shapeId="0" xr:uid="{892CD310-0C5F-4ED6-9F76-57CB74446461}">
      <text>
        <r>
          <rPr>
            <sz val="9"/>
            <color indexed="81"/>
            <rFont val="Tahoma"/>
            <family val="2"/>
          </rPr>
          <t xml:space="preserve">Only one trajectory were used </t>
        </r>
      </text>
    </comment>
    <comment ref="G84" authorId="0" shapeId="0" xr:uid="{5A9DA14C-932F-4C67-B8A4-867F8409710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4" authorId="0" shapeId="0" xr:uid="{CFAD9FD8-4BD3-46EB-BC3C-03D8F0AF642B}">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5" authorId="0" shapeId="0" xr:uid="{D1041A48-8F35-47EA-BD5B-AFCF2E42263A}">
      <text>
        <r>
          <rPr>
            <sz val="9"/>
            <color indexed="81"/>
            <rFont val="Tahoma"/>
            <family val="2"/>
          </rPr>
          <t>Fry et al. Atmos. Chem. Phys., 14, 523–535, 2014
www.atmos-chem-phys.net/14/523/2014/</t>
        </r>
      </text>
    </comment>
    <comment ref="D85" authorId="0" shapeId="0" xr:uid="{D3E8B2C5-3A35-4746-A260-257CA9BFB743}">
      <text>
        <r>
          <rPr>
            <sz val="9"/>
            <color indexed="81"/>
            <rFont val="Tahoma"/>
            <family val="2"/>
          </rPr>
          <t>estmated from figure 5 Fry et al. DOI:10.5194/acp-14-523-2014</t>
        </r>
      </text>
    </comment>
    <comment ref="E85" authorId="0" shapeId="0" xr:uid="{00000000-0006-0000-0A00-00009B000000}">
      <text>
        <r>
          <rPr>
            <sz val="9"/>
            <color indexed="81"/>
            <rFont val="Tahoma"/>
            <family val="2"/>
          </rPr>
          <t xml:space="preserve">Derwent et al. Atmospheric Environment Vol. 32, No. 14/15, pp. 2429Ð2441, 1998
</t>
        </r>
      </text>
    </comment>
    <comment ref="F85" authorId="0" shapeId="0" xr:uid="{850F6E95-1842-4FB7-9795-9111E2989664}">
      <text>
        <r>
          <rPr>
            <sz val="9"/>
            <color indexed="81"/>
            <rFont val="Tahoma"/>
            <family val="2"/>
          </rPr>
          <t xml:space="preserve">Only one trajectory were used </t>
        </r>
      </text>
    </comment>
    <comment ref="G85" authorId="0" shapeId="0" xr:uid="{9CB3F887-8FC7-465B-9D73-F47F5BBA5554}">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5" authorId="0" shapeId="0" xr:uid="{9F5615F8-F176-4476-90C5-54D1D59828A5}">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A86" authorId="0" shapeId="0" xr:uid="{D6A57C6A-B609-4ACD-8D3B-5D8B88A69512}">
      <text>
        <r>
          <rPr>
            <sz val="9"/>
            <color indexed="81"/>
            <rFont val="Tahoma"/>
            <family val="2"/>
          </rPr>
          <t xml:space="preserve">CH3CH2CH2CH=CHCH2OH
</t>
        </r>
      </text>
    </comment>
    <comment ref="C86" authorId="0" shapeId="0" xr:uid="{57D08138-9445-4357-8600-6F3A2DEE2BEB}">
      <text>
        <r>
          <rPr>
            <sz val="9"/>
            <color indexed="81"/>
            <rFont val="Tahoma"/>
            <family val="2"/>
          </rPr>
          <t>Fry et al. Atmos. Chem. Phys., 14, 523–535, 2014
www.atmos-chem-phys.net/14/523/2014/</t>
        </r>
      </text>
    </comment>
    <comment ref="D86" authorId="0" shapeId="0" xr:uid="{AB80FDD4-5306-4C93-B9E2-BD36DAA6649C}">
      <text>
        <r>
          <rPr>
            <sz val="9"/>
            <color indexed="81"/>
            <rFont val="Tahoma"/>
            <family val="2"/>
          </rPr>
          <t>estmated from figure 5 Fry et al. DOI:10.5194/acp-14-523-2014</t>
        </r>
      </text>
    </comment>
    <comment ref="E86" authorId="0" shapeId="0" xr:uid="{E3A53CC4-AD48-4A05-84E1-BB83DA50F573}">
      <text>
        <r>
          <rPr>
            <sz val="9"/>
            <color indexed="81"/>
            <rFont val="Tahoma"/>
            <family val="2"/>
          </rPr>
          <t xml:space="preserve">Median POCP for VOC
</t>
        </r>
      </text>
    </comment>
    <comment ref="F86" authorId="0" shapeId="0" xr:uid="{7D73B370-C563-419F-A9CC-AABC59C47301}">
      <text>
        <r>
          <rPr>
            <sz val="9"/>
            <color indexed="81"/>
            <rFont val="Tahoma"/>
            <family val="2"/>
          </rPr>
          <t xml:space="preserve">standard deviation of POCPs for VOCs
</t>
        </r>
      </text>
    </comment>
    <comment ref="G86" authorId="0" shapeId="0" xr:uid="{6EA841EC-B501-45C2-B692-57C200CB40FB}">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6" authorId="0" shapeId="0" xr:uid="{49E4D84B-D24B-46F5-8F56-D001B627DCB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A87" authorId="0" shapeId="0" xr:uid="{83C6E9C4-F8BA-44CA-A109-40817A505A9D}">
      <text>
        <r>
          <rPr>
            <sz val="9"/>
            <color indexed="81"/>
            <rFont val="Tahoma"/>
            <family val="2"/>
          </rPr>
          <t xml:space="preserve">CH3CH2CH2CH=CHCH2OH
</t>
        </r>
      </text>
    </comment>
    <comment ref="C87" authorId="0" shapeId="0" xr:uid="{70F6AB7A-A581-49B2-9813-2E203AFF7EDC}">
      <text>
        <r>
          <rPr>
            <sz val="9"/>
            <color indexed="81"/>
            <rFont val="Tahoma"/>
            <family val="2"/>
          </rPr>
          <t>Fry et al. Atmos. Chem. Phys., 14, 523–535, 2014
www.atmos-chem-phys.net/14/523/2014/</t>
        </r>
      </text>
    </comment>
    <comment ref="D87" authorId="0" shapeId="0" xr:uid="{277A7C36-803E-4C55-A593-5516760F0A7A}">
      <text>
        <r>
          <rPr>
            <sz val="9"/>
            <color indexed="81"/>
            <rFont val="Tahoma"/>
            <family val="2"/>
          </rPr>
          <t>estmated from figure 5 Fry et al. DOI:10.5194/acp-14-523-2014</t>
        </r>
      </text>
    </comment>
    <comment ref="E87" authorId="0" shapeId="0" xr:uid="{456FD2BF-EBE4-4091-80DA-3AADF677A2CE}">
      <text>
        <r>
          <rPr>
            <sz val="9"/>
            <color indexed="81"/>
            <rFont val="Tahoma"/>
            <family val="2"/>
          </rPr>
          <t xml:space="preserve">Median POCP for VOC
</t>
        </r>
      </text>
    </comment>
    <comment ref="F87" authorId="0" shapeId="0" xr:uid="{5B576F8A-C7F1-432A-A15A-0BF169BB2156}">
      <text>
        <r>
          <rPr>
            <sz val="9"/>
            <color indexed="81"/>
            <rFont val="Tahoma"/>
            <family val="2"/>
          </rPr>
          <t xml:space="preserve">standard deviation of POCPs for VOCs
</t>
        </r>
      </text>
    </comment>
    <comment ref="G87" authorId="0" shapeId="0" xr:uid="{D0F08BE9-A6F1-4E1E-BE7D-C8C8B979523E}">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87" authorId="0" shapeId="0" xr:uid="{A6CE4935-1250-477A-90E3-1A831F58FD2C}">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89" authorId="0" shapeId="0" xr:uid="{CE3CF87C-406F-44BD-9852-AE47C9B9F382}">
      <text>
        <r>
          <rPr>
            <sz val="9"/>
            <color indexed="81"/>
            <rFont val="Tahoma"/>
            <family val="2"/>
          </rPr>
          <t>Fry et al. Atmos. Chem. Phys., 14, 523–535, 2014
www.atmos-chem-phys.net/14/523/2014/</t>
        </r>
      </text>
    </comment>
    <comment ref="D89" authorId="0" shapeId="0" xr:uid="{18DA322B-BA43-48CE-AF66-ABCEF2BAB0AB}">
      <text>
        <r>
          <rPr>
            <sz val="9"/>
            <color indexed="81"/>
            <rFont val="Tahoma"/>
            <family val="2"/>
          </rPr>
          <t>estmated from figure 5 Fry et al. DOI:10.5194/acp-14-523-2014</t>
        </r>
      </text>
    </comment>
    <comment ref="E89" authorId="0" shapeId="0" xr:uid="{00000000-0006-0000-0A00-00009D000000}">
      <text>
        <r>
          <rPr>
            <sz val="9"/>
            <color indexed="81"/>
            <rFont val="Tahoma"/>
            <family val="2"/>
          </rPr>
          <t xml:space="preserve">Derwent et al. Atmospheric Environment Vol. 32, No. 14/15, pp. 2429Ð2441, 1998
</t>
        </r>
      </text>
    </comment>
    <comment ref="F89" authorId="0" shapeId="0" xr:uid="{1967A1D5-A946-4E3C-9A3B-435A2D3DF619}">
      <text>
        <r>
          <rPr>
            <sz val="9"/>
            <color indexed="81"/>
            <rFont val="Tahoma"/>
            <family val="2"/>
          </rPr>
          <t xml:space="preserve">Only one trajectory were used </t>
        </r>
      </text>
    </comment>
    <comment ref="G89" authorId="0" shapeId="0" xr:uid="{00000000-0006-0000-0A00-00009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89" authorId="0" shapeId="0" xr:uid="{A8A1A100-AB17-482A-B93E-3A868E4AB393}">
      <text>
        <r>
          <rPr>
            <sz val="9"/>
            <color indexed="81"/>
            <rFont val="Tahoma"/>
            <family val="2"/>
          </rPr>
          <t xml:space="preserve">PFP for different VOC is normlly between a few % and 20%
</t>
        </r>
      </text>
    </comment>
    <comment ref="C90" authorId="0" shapeId="0" xr:uid="{EA5584A0-D313-41AE-A87A-7BC14819AB42}">
      <text>
        <r>
          <rPr>
            <sz val="9"/>
            <color indexed="81"/>
            <rFont val="Tahoma"/>
            <family val="2"/>
          </rPr>
          <t>Fry et al. Atmos. Chem. Phys., 14, 523–535, 2014
www.atmos-chem-phys.net/14/523/2014/</t>
        </r>
      </text>
    </comment>
    <comment ref="D90" authorId="0" shapeId="0" xr:uid="{756A49AC-5B82-43AB-A500-7096F9B17F9C}">
      <text>
        <r>
          <rPr>
            <sz val="9"/>
            <color indexed="81"/>
            <rFont val="Tahoma"/>
            <family val="2"/>
          </rPr>
          <t>estmated from figure 5 Fry et al. DOI:10.5194/acp-14-523-2014</t>
        </r>
      </text>
    </comment>
    <comment ref="E90" authorId="0" shapeId="0" xr:uid="{00000000-0006-0000-0A00-00009F000000}">
      <text>
        <r>
          <rPr>
            <sz val="9"/>
            <color indexed="81"/>
            <rFont val="Tahoma"/>
            <family val="2"/>
          </rPr>
          <t xml:space="preserve">Derwent et al. Atmospheric Environment Vol. 32, No. 14/15, pp. 2429Ð2441, 1998
</t>
        </r>
      </text>
    </comment>
    <comment ref="F90" authorId="0" shapeId="0" xr:uid="{F13E8F5D-415F-4E5A-B68C-6EB0D9874A53}">
      <text>
        <r>
          <rPr>
            <sz val="9"/>
            <color indexed="81"/>
            <rFont val="Tahoma"/>
            <family val="2"/>
          </rPr>
          <t xml:space="preserve">Only one trajectory were used </t>
        </r>
      </text>
    </comment>
    <comment ref="G90" authorId="0" shapeId="0" xr:uid="{00000000-0006-0000-0A00-0000A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0" authorId="0" shapeId="0" xr:uid="{4D04906B-2CDA-4653-B79F-1383ADE54A70}">
      <text>
        <r>
          <rPr>
            <sz val="9"/>
            <color indexed="81"/>
            <rFont val="Tahoma"/>
            <family val="2"/>
          </rPr>
          <t xml:space="preserve">PFP for different VOC is normlly between a few % and 20%
</t>
        </r>
      </text>
    </comment>
    <comment ref="C92" authorId="0" shapeId="0" xr:uid="{870F5007-EA66-4254-A0AB-B4B7D07E4844}">
      <text>
        <r>
          <rPr>
            <sz val="9"/>
            <color indexed="81"/>
            <rFont val="Tahoma"/>
            <family val="2"/>
          </rPr>
          <t>Fry et al. Atmos. Chem. Phys., 14, 523–535, 2014
www.atmos-chem-phys.net/14/523/2014/</t>
        </r>
      </text>
    </comment>
    <comment ref="D92" authorId="0" shapeId="0" xr:uid="{A0681962-203A-4F82-AC56-32D718664847}">
      <text>
        <r>
          <rPr>
            <sz val="9"/>
            <color indexed="81"/>
            <rFont val="Tahoma"/>
            <family val="2"/>
          </rPr>
          <t>estmated from figure 5 Fry et al. DOI:10.5194/acp-14-523-2014</t>
        </r>
      </text>
    </comment>
    <comment ref="E92" authorId="0" shapeId="0" xr:uid="{00000000-0006-0000-0A00-0000A1000000}">
      <text>
        <r>
          <rPr>
            <sz val="9"/>
            <color indexed="81"/>
            <rFont val="Tahoma"/>
            <family val="2"/>
          </rPr>
          <t xml:space="preserve">0.35 - 0.53 according to Johanna Altenstedt and Karin Pleijel, IVL report B-1305 Göteborg, Sweden september 1998
</t>
        </r>
      </text>
    </comment>
    <comment ref="F92" authorId="0" shapeId="0" xr:uid="{00000000-0006-0000-0A00-0000A2000000}">
      <text>
        <r>
          <rPr>
            <sz val="9"/>
            <color indexed="81"/>
            <rFont val="Tahoma"/>
            <family val="2"/>
          </rPr>
          <t xml:space="preserve">Derwent et.al has a POCP of 0.094, which indicates a large uncertainty on a global level
</t>
        </r>
      </text>
    </comment>
    <comment ref="G92" authorId="0" shapeId="0" xr:uid="{00000000-0006-0000-0A00-0000A3000000}">
      <text>
        <r>
          <rPr>
            <sz val="9"/>
            <color indexed="81"/>
            <rFont val="Tahoma"/>
            <family val="2"/>
          </rPr>
          <t>too small a molecule to give a substancial contribution to particle formation</t>
        </r>
      </text>
    </comment>
    <comment ref="H92" authorId="0" shapeId="0" xr:uid="{538E6E0F-F48A-4F5A-9D13-3F4478F9B9C3}">
      <text>
        <r>
          <rPr>
            <sz val="9"/>
            <color indexed="81"/>
            <rFont val="Tahoma"/>
            <family val="2"/>
          </rPr>
          <t>A linear normal distribution is assumed with a standard devuation of 0.01. SOA from the the alkanes are probably negligable but reactions with Nox and Sox may occur and create SOA.</t>
        </r>
      </text>
    </comment>
    <comment ref="C93" authorId="0" shapeId="0" xr:uid="{048650D5-B535-4B4C-9563-8CDDB4EDAE22}">
      <text>
        <r>
          <rPr>
            <sz val="9"/>
            <color indexed="81"/>
            <rFont val="Tahoma"/>
            <family val="2"/>
          </rPr>
          <t>Fry et al. Atmos. Chem. Phys., 14, 523–535, 2014
www.atmos-chem-phys.net/14/523/2014/</t>
        </r>
      </text>
    </comment>
    <comment ref="D93" authorId="0" shapeId="0" xr:uid="{37A5471F-846B-4249-9E28-285B459876ED}">
      <text>
        <r>
          <rPr>
            <sz val="9"/>
            <color indexed="81"/>
            <rFont val="Tahoma"/>
            <family val="2"/>
          </rPr>
          <t>estmated from figure 5 Fry et al. DOI:10.5194/acp-14-523-2014</t>
        </r>
      </text>
    </comment>
    <comment ref="E93" authorId="0" shapeId="0" xr:uid="{00000000-0006-0000-0A00-0000A4000000}">
      <text>
        <r>
          <rPr>
            <sz val="9"/>
            <color indexed="81"/>
            <rFont val="Tahoma"/>
            <family val="2"/>
          </rPr>
          <t xml:space="preserve">0.57 - 0.61 according to Johanna Altenstedt and Karin Pleijel, IVL report B-1305 Göteborg, Sweden september 1998
</t>
        </r>
      </text>
    </comment>
    <comment ref="F93" authorId="0" shapeId="0" xr:uid="{A57EFCA1-853A-46D3-9E23-18D2DC32F654}">
      <text>
        <r>
          <rPr>
            <sz val="9"/>
            <color indexed="81"/>
            <rFont val="Tahoma"/>
            <family val="2"/>
          </rPr>
          <t>0.57 to 0.61 for European conditions according to 
Johanna Altenstedt and Karin Pleijel, IVL report B-1305
Göteborg, september 1998</t>
        </r>
      </text>
    </comment>
    <comment ref="G93" authorId="0" shapeId="0" xr:uid="{00000000-0006-0000-0A00-0000A5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3" authorId="0" shapeId="0" xr:uid="{198B3384-698E-483B-8627-B062FBC15FFB}">
      <text>
        <r>
          <rPr>
            <sz val="9"/>
            <color indexed="81"/>
            <rFont val="Tahoma"/>
            <family val="2"/>
          </rPr>
          <t xml:space="preserve">PFP for different VOC is normlly between a few % and 20%
</t>
        </r>
      </text>
    </comment>
    <comment ref="C94" authorId="0" shapeId="0" xr:uid="{0A7AC7C8-6A75-44F7-AC55-E548C4610E5C}">
      <text>
        <r>
          <rPr>
            <sz val="9"/>
            <color indexed="81"/>
            <rFont val="Tahoma"/>
            <family val="2"/>
          </rPr>
          <t>Fry et al. Atmos. Chem. Phys., 14, 523–535, 2014
www.atmos-chem-phys.net/14/523/2014/</t>
        </r>
      </text>
    </comment>
    <comment ref="D94" authorId="0" shapeId="0" xr:uid="{E2418BAC-EBD6-43D7-A79B-C93960C89DC2}">
      <text>
        <r>
          <rPr>
            <sz val="9"/>
            <color indexed="81"/>
            <rFont val="Tahoma"/>
            <family val="2"/>
          </rPr>
          <t>estmated from figure 5 Fry et al. DOI:10.5194/acp-14-523-2014</t>
        </r>
      </text>
    </comment>
    <comment ref="E94" authorId="0" shapeId="0" xr:uid="{00000000-0006-0000-0A00-0000A6000000}">
      <text>
        <r>
          <rPr>
            <sz val="9"/>
            <color indexed="81"/>
            <rFont val="Tahoma"/>
            <family val="2"/>
          </rPr>
          <t xml:space="preserve">0.65 - 0.89 according to Johanna Altenstedt and Karin Pleijel, IVL report B-1305 Göteborg, Sweden september 1998
</t>
        </r>
      </text>
    </comment>
    <comment ref="F94" authorId="0" shapeId="0" xr:uid="{434B600A-AC57-4F5A-B782-4308119D3563}">
      <text>
        <r>
          <rPr>
            <sz val="9"/>
            <color indexed="81"/>
            <rFont val="Tahoma"/>
            <family val="2"/>
          </rPr>
          <t>0.65 to 0.89 for European conditions according to 
Johanna Altenstedt and Karin Pleijel, IVL report B-1305
Göteborg, september 1998</t>
        </r>
      </text>
    </comment>
    <comment ref="G94" authorId="0" shapeId="0" xr:uid="{00000000-0006-0000-0A00-0000A7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4" authorId="0" shapeId="0" xr:uid="{B306DA02-20B8-4C4B-9205-DB56FD6ACC49}">
      <text>
        <r>
          <rPr>
            <sz val="9"/>
            <color indexed="81"/>
            <rFont val="Tahoma"/>
            <family val="2"/>
          </rPr>
          <t xml:space="preserve">PFP for different VOC is normlly between a few % and 20%
</t>
        </r>
      </text>
    </comment>
    <comment ref="C95" authorId="0" shapeId="0" xr:uid="{08A876BA-B589-43C1-A5A1-6E913D0E88F2}">
      <text>
        <r>
          <rPr>
            <sz val="9"/>
            <color indexed="81"/>
            <rFont val="Tahoma"/>
            <family val="2"/>
          </rPr>
          <t>Fry et al. Atmos. Chem. Phys., 14, 523–535, 2014
www.atmos-chem-phys.net/14/523/2014/</t>
        </r>
      </text>
    </comment>
    <comment ref="D95" authorId="0" shapeId="0" xr:uid="{2D66BBA0-269E-4A42-8706-393F21DF20B1}">
      <text>
        <r>
          <rPr>
            <sz val="9"/>
            <color indexed="81"/>
            <rFont val="Tahoma"/>
            <family val="2"/>
          </rPr>
          <t>estmated from figure 5 Fry et al. DOI:10.5194/acp-14-523-2014</t>
        </r>
      </text>
    </comment>
    <comment ref="E95" authorId="0" shapeId="0" xr:uid="{00000000-0006-0000-0A00-0000A8000000}">
      <text>
        <r>
          <rPr>
            <sz val="9"/>
            <color indexed="81"/>
            <rFont val="Tahoma"/>
            <family val="2"/>
          </rPr>
          <t xml:space="preserve">Derwent et al. Atmospheric Environment Vol. 32, No. 14/15, pp. 2429Ð2441, 1998
</t>
        </r>
      </text>
    </comment>
    <comment ref="F95" authorId="0" shapeId="0" xr:uid="{C6F29D5B-0E1C-42CA-9993-A4E60A3B7089}">
      <text>
        <r>
          <rPr>
            <sz val="9"/>
            <color indexed="81"/>
            <rFont val="Tahoma"/>
            <family val="2"/>
          </rPr>
          <t xml:space="preserve">Only one trajectory were used </t>
        </r>
      </text>
    </comment>
    <comment ref="G95" authorId="0" shapeId="0" xr:uid="{00000000-0006-0000-0A00-0000A9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5" authorId="0" shapeId="0" xr:uid="{7C5E8FD9-1DFC-42E0-969E-1AB0D47B6419}">
      <text>
        <r>
          <rPr>
            <sz val="9"/>
            <color indexed="81"/>
            <rFont val="Tahoma"/>
            <family val="2"/>
          </rPr>
          <t xml:space="preserve">PFP for different VOC is normlly between a few % and 20%
</t>
        </r>
      </text>
    </comment>
    <comment ref="C96" authorId="0" shapeId="0" xr:uid="{7CFB21FE-8162-4A49-9DCA-C607500BB53B}">
      <text>
        <r>
          <rPr>
            <sz val="9"/>
            <color indexed="81"/>
            <rFont val="Tahoma"/>
            <family val="2"/>
          </rPr>
          <t>Fry et al. Atmos. Chem. Phys., 14, 523–535, 2014
www.atmos-chem-phys.net/14/523/2014/</t>
        </r>
      </text>
    </comment>
    <comment ref="D96" authorId="0" shapeId="0" xr:uid="{F89D5A06-C677-4065-A2E1-A8B6FAEE7278}">
      <text>
        <r>
          <rPr>
            <sz val="9"/>
            <color indexed="81"/>
            <rFont val="Tahoma"/>
            <family val="2"/>
          </rPr>
          <t>estmated from figure 5 Fry et al. DOI:10.5194/acp-14-523-2014</t>
        </r>
      </text>
    </comment>
    <comment ref="E96" authorId="0" shapeId="0" xr:uid="{00000000-0006-0000-0A00-0000AA000000}">
      <text>
        <r>
          <rPr>
            <sz val="9"/>
            <color indexed="81"/>
            <rFont val="Tahoma"/>
            <family val="2"/>
          </rPr>
          <t xml:space="preserve">Derwent et al. Atmospheric Environment Vol. 32, No. 14/15, pp. 2429Ð2441, 1998
</t>
        </r>
      </text>
    </comment>
    <comment ref="F96" authorId="0" shapeId="0" xr:uid="{5DF1E8CF-BB12-40BD-B620-B3F9E6070D47}">
      <text>
        <r>
          <rPr>
            <sz val="9"/>
            <color indexed="81"/>
            <rFont val="Tahoma"/>
            <family val="2"/>
          </rPr>
          <t xml:space="preserve">Only one trajectory were used </t>
        </r>
      </text>
    </comment>
    <comment ref="G96" authorId="0" shapeId="0" xr:uid="{00000000-0006-0000-0A00-0000AB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6" authorId="0" shapeId="0" xr:uid="{6D9AB989-84D8-4672-A8FD-F64B4F70476D}">
      <text>
        <r>
          <rPr>
            <sz val="9"/>
            <color indexed="81"/>
            <rFont val="Tahoma"/>
            <family val="2"/>
          </rPr>
          <t xml:space="preserve">PFP for different VOC is normlly between a few % and 20%
</t>
        </r>
      </text>
    </comment>
    <comment ref="C97" authorId="0" shapeId="0" xr:uid="{B79CB284-AF10-47BB-A62C-1F8393182050}">
      <text>
        <r>
          <rPr>
            <sz val="9"/>
            <color indexed="81"/>
            <rFont val="Tahoma"/>
            <family val="2"/>
          </rPr>
          <t>Fry et al. Atmos. Chem. Phys., 14, 523–535, 2014
www.atmos-chem-phys.net/14/523/2014/</t>
        </r>
      </text>
    </comment>
    <comment ref="D97" authorId="0" shapeId="0" xr:uid="{0F441EA5-F244-420D-9AC3-2630995FFE4B}">
      <text>
        <r>
          <rPr>
            <sz val="9"/>
            <color indexed="81"/>
            <rFont val="Tahoma"/>
            <family val="2"/>
          </rPr>
          <t>estmated from figure 5 Fry et al. DOI:10.5194/acp-14-523-2014</t>
        </r>
      </text>
    </comment>
    <comment ref="E97" authorId="0" shapeId="0" xr:uid="{00000000-0006-0000-0A00-0000AC000000}">
      <text>
        <r>
          <rPr>
            <sz val="9"/>
            <color indexed="81"/>
            <rFont val="Tahoma"/>
            <family val="2"/>
          </rPr>
          <t xml:space="preserve">Derwent et al. Atmospheric Environment Vol. 32, No. 14/15, pp. 2429Ð2441, 1998
</t>
        </r>
      </text>
    </comment>
    <comment ref="F97" authorId="0" shapeId="0" xr:uid="{C245A44B-A471-468E-BCA7-D5CB61ECD6EB}">
      <text>
        <r>
          <rPr>
            <sz val="9"/>
            <color indexed="81"/>
            <rFont val="Tahoma"/>
            <family val="2"/>
          </rPr>
          <t xml:space="preserve">Only one trajectory were used </t>
        </r>
      </text>
    </comment>
    <comment ref="G97" authorId="0" shapeId="0" xr:uid="{00000000-0006-0000-0A00-0000AD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7" authorId="0" shapeId="0" xr:uid="{5E344F73-7C71-4CF9-AE67-0BFDF8FE4DFF}">
      <text>
        <r>
          <rPr>
            <sz val="9"/>
            <color indexed="81"/>
            <rFont val="Tahoma"/>
            <family val="2"/>
          </rPr>
          <t xml:space="preserve">PFP for different VOC is normlly between a few % and 20%
</t>
        </r>
      </text>
    </comment>
    <comment ref="C98" authorId="0" shapeId="0" xr:uid="{BC692DF0-61FB-41B6-A7B7-6E02E81E9B01}">
      <text>
        <r>
          <rPr>
            <sz val="9"/>
            <color indexed="81"/>
            <rFont val="Tahoma"/>
            <family val="2"/>
          </rPr>
          <t>Fry et al. Atmos. Chem. Phys., 14, 523–535, 2014
www.atmos-chem-phys.net/14/523/2014/</t>
        </r>
      </text>
    </comment>
    <comment ref="D98" authorId="0" shapeId="0" xr:uid="{6EC0B261-7267-4E15-8719-7FBB6621A53B}">
      <text>
        <r>
          <rPr>
            <sz val="9"/>
            <color indexed="81"/>
            <rFont val="Tahoma"/>
            <family val="2"/>
          </rPr>
          <t>estmated from figure 5 Fry et al. DOI:10.5194/acp-14-523-2014</t>
        </r>
      </text>
    </comment>
    <comment ref="E98" authorId="0" shapeId="0" xr:uid="{00000000-0006-0000-0A00-0000AE000000}">
      <text>
        <r>
          <rPr>
            <sz val="9"/>
            <color indexed="81"/>
            <rFont val="Tahoma"/>
            <family val="2"/>
          </rPr>
          <t xml:space="preserve">Derwent et al. Atmospheric Environment Vol. 32, No. 14/15, pp. 2429Ð2441, 1998
</t>
        </r>
      </text>
    </comment>
    <comment ref="F98" authorId="0" shapeId="0" xr:uid="{6765DD75-2524-4459-80E6-FEB62367AB70}">
      <text>
        <r>
          <rPr>
            <sz val="9"/>
            <color indexed="81"/>
            <rFont val="Tahoma"/>
            <family val="2"/>
          </rPr>
          <t xml:space="preserve">Only one trajectory were used </t>
        </r>
      </text>
    </comment>
    <comment ref="G98" authorId="0" shapeId="0" xr:uid="{00000000-0006-0000-0A00-0000AF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8" authorId="0" shapeId="0" xr:uid="{2C0766AA-E1C8-4E74-AA0D-71087D23AB0C}">
      <text>
        <r>
          <rPr>
            <sz val="9"/>
            <color indexed="81"/>
            <rFont val="Tahoma"/>
            <family val="2"/>
          </rPr>
          <t xml:space="preserve">PFP for different VOC is normlly between a few % and 20%
</t>
        </r>
      </text>
    </comment>
    <comment ref="C99" authorId="0" shapeId="0" xr:uid="{8643EB04-2760-4880-A32A-CB8B2F38DFC2}">
      <text>
        <r>
          <rPr>
            <sz val="9"/>
            <color indexed="81"/>
            <rFont val="Tahoma"/>
            <family val="2"/>
          </rPr>
          <t>Fry et al. Atmos. Chem. Phys., 14, 523–535, 2014
www.atmos-chem-phys.net/14/523/2014/</t>
        </r>
      </text>
    </comment>
    <comment ref="D99" authorId="0" shapeId="0" xr:uid="{98A4E08F-F013-4780-8464-E06373D4192B}">
      <text>
        <r>
          <rPr>
            <sz val="9"/>
            <color indexed="81"/>
            <rFont val="Tahoma"/>
            <family val="2"/>
          </rPr>
          <t>estmated from figure 5 Fry et al. DOI:10.5194/acp-14-523-2014</t>
        </r>
      </text>
    </comment>
    <comment ref="E99" authorId="0" shapeId="0" xr:uid="{00000000-0006-0000-0A00-0000B0000000}">
      <text>
        <r>
          <rPr>
            <sz val="9"/>
            <color indexed="81"/>
            <rFont val="Tahoma"/>
            <family val="2"/>
          </rPr>
          <t xml:space="preserve">Derwent et al. Atmospheric Environment Vol. 32, No. 14/15, pp. 2429Ð2441, 1998
</t>
        </r>
      </text>
    </comment>
    <comment ref="F99" authorId="0" shapeId="0" xr:uid="{653FFD46-5179-4BE9-AF5A-EBBCF83558A6}">
      <text>
        <r>
          <rPr>
            <sz val="9"/>
            <color indexed="81"/>
            <rFont val="Tahoma"/>
            <family val="2"/>
          </rPr>
          <t xml:space="preserve">Only one trajectory were used </t>
        </r>
      </text>
    </comment>
    <comment ref="G99" authorId="0" shapeId="0" xr:uid="{00000000-0006-0000-0A00-0000B1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99" authorId="0" shapeId="0" xr:uid="{1F26C5B6-3FF2-4A64-902F-4E30CD8A9DC4}">
      <text>
        <r>
          <rPr>
            <sz val="9"/>
            <color indexed="81"/>
            <rFont val="Tahoma"/>
            <family val="2"/>
          </rPr>
          <t xml:space="preserve">PFP for different VOC is normlly between a few % and 20%
</t>
        </r>
      </text>
    </comment>
    <comment ref="C100" authorId="0" shapeId="0" xr:uid="{2A6EAEC7-D326-48EA-83C2-CECB65AD196F}">
      <text>
        <r>
          <rPr>
            <sz val="9"/>
            <color indexed="81"/>
            <rFont val="Tahoma"/>
            <family val="2"/>
          </rPr>
          <t>Fry et al. Atmos. Chem. Phys., 14, 523–535, 2014
www.atmos-chem-phys.net/14/523/2014/</t>
        </r>
      </text>
    </comment>
    <comment ref="D100" authorId="0" shapeId="0" xr:uid="{777B8D0C-5F01-497E-B93D-A49D30B5CC0D}">
      <text>
        <r>
          <rPr>
            <sz val="9"/>
            <color indexed="81"/>
            <rFont val="Tahoma"/>
            <family val="2"/>
          </rPr>
          <t>estmated from figure 5 Fry et al. DOI:10.5194/acp-14-523-2014</t>
        </r>
      </text>
    </comment>
    <comment ref="E100" authorId="0" shapeId="0" xr:uid="{00000000-0006-0000-0A00-0000B2000000}">
      <text>
        <r>
          <rPr>
            <sz val="9"/>
            <color indexed="81"/>
            <rFont val="Tahoma"/>
            <family val="2"/>
          </rPr>
          <t xml:space="preserve">Derwent et al. Atmospheric Environment Vol. 32, No. 14/15, pp. 2429Ð2441, 1998
</t>
        </r>
      </text>
    </comment>
    <comment ref="F100" authorId="0" shapeId="0" xr:uid="{D22D8CA0-5558-42BD-832D-90D0D78A2173}">
      <text>
        <r>
          <rPr>
            <sz val="9"/>
            <color indexed="81"/>
            <rFont val="Tahoma"/>
            <family val="2"/>
          </rPr>
          <t xml:space="preserve">Only one trajectory were used </t>
        </r>
      </text>
    </comment>
    <comment ref="G100" authorId="0" shapeId="0" xr:uid="{00000000-0006-0000-0A00-0000B3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0" authorId="0" shapeId="0" xr:uid="{A10E4443-E7EE-47DA-9241-E27D95930D02}">
      <text>
        <r>
          <rPr>
            <sz val="9"/>
            <color indexed="81"/>
            <rFont val="Tahoma"/>
            <family val="2"/>
          </rPr>
          <t xml:space="preserve">PFP for different VOC is normlly between a few % and 20%
</t>
        </r>
      </text>
    </comment>
    <comment ref="C102" authorId="0" shapeId="0" xr:uid="{E3EC43C7-CDF4-411F-8A07-5278194A7F34}">
      <text>
        <r>
          <rPr>
            <sz val="9"/>
            <color indexed="81"/>
            <rFont val="Tahoma"/>
            <family val="2"/>
          </rPr>
          <t>Fry et al. Atmos. Chem. Phys., 14, 523–535, 2014
www.atmos-chem-phys.net/14/523/2014/</t>
        </r>
      </text>
    </comment>
    <comment ref="D102" authorId="0" shapeId="0" xr:uid="{2C1779E6-33F2-4B68-9572-694487EE46E5}">
      <text>
        <r>
          <rPr>
            <sz val="9"/>
            <color indexed="81"/>
            <rFont val="Tahoma"/>
            <family val="2"/>
          </rPr>
          <t>estmated from figure 5 Fry et al. DOI:10.5194/acp-14-523-2014</t>
        </r>
      </text>
    </comment>
    <comment ref="E102" authorId="0" shapeId="0" xr:uid="{00000000-0006-0000-0A00-0000B4000000}">
      <text>
        <r>
          <rPr>
            <sz val="9"/>
            <color indexed="81"/>
            <rFont val="Tahoma"/>
            <family val="2"/>
          </rPr>
          <t xml:space="preserve">0.18 - 0.55  according to Johanna Altenstedt and Karin Pleijel, IVL report B-1305 Göteborg, Sweden september 1998
</t>
        </r>
      </text>
    </comment>
    <comment ref="F102" authorId="0" shapeId="0" xr:uid="{EC07CDDB-D1B8-4A26-94BB-28B3B41628E9}">
      <text>
        <r>
          <rPr>
            <sz val="9"/>
            <color indexed="81"/>
            <rFont val="Tahoma"/>
            <family val="2"/>
          </rPr>
          <t>0.18 to 0.55 for European conditions according to 
Johanna Altenstedt and Karin Pleijel, IVL report B-1305
Göteborg, september 1998</t>
        </r>
      </text>
    </comment>
    <comment ref="G102" authorId="0" shapeId="0" xr:uid="{00000000-0006-0000-0A00-0000B5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2" authorId="0" shapeId="0" xr:uid="{FA6488B1-AD40-4E48-B2AF-E69090FF35CE}">
      <text>
        <r>
          <rPr>
            <sz val="9"/>
            <color indexed="81"/>
            <rFont val="Tahoma"/>
            <family val="2"/>
          </rPr>
          <t xml:space="preserve">PFP for different VOC is normlly between a few % and 20%
</t>
        </r>
      </text>
    </comment>
    <comment ref="C103" authorId="0" shapeId="0" xr:uid="{0A392828-A3AB-4A94-9F5C-F798D5ED6AEF}">
      <text>
        <r>
          <rPr>
            <sz val="9"/>
            <color indexed="81"/>
            <rFont val="Tahoma"/>
            <family val="2"/>
          </rPr>
          <t>Fry et al. Atmos. Chem. Phys., 14, 523–535, 2014
www.atmos-chem-phys.net/14/523/2014/</t>
        </r>
      </text>
    </comment>
    <comment ref="D103" authorId="0" shapeId="0" xr:uid="{77A41807-080C-4E6D-B715-A02E35D7F5A2}">
      <text>
        <r>
          <rPr>
            <sz val="9"/>
            <color indexed="81"/>
            <rFont val="Tahoma"/>
            <family val="2"/>
          </rPr>
          <t>estmated from figure 5 Fry et al. DOI:10.5194/acp-14-523-2014</t>
        </r>
      </text>
    </comment>
    <comment ref="E103" authorId="0" shapeId="0" xr:uid="{00000000-0006-0000-0A00-0000B6000000}">
      <text>
        <r>
          <rPr>
            <sz val="9"/>
            <color indexed="81"/>
            <rFont val="Tahoma"/>
            <family val="2"/>
          </rPr>
          <t xml:space="preserve">0.68 - 0.80  according to Johanna Altenstedt and Karin Pleijel, IVL report B-1305 Göteborg, Sweden september 1998
</t>
        </r>
      </text>
    </comment>
    <comment ref="F103" authorId="0" shapeId="0" xr:uid="{04DDDE7A-B940-4688-B27B-4A746E5EEE06}">
      <text>
        <r>
          <rPr>
            <sz val="9"/>
            <color indexed="81"/>
            <rFont val="Tahoma"/>
            <family val="2"/>
          </rPr>
          <t>0.68 to 0.80 for European conditions according to 
Johanna Altenstedt and Karin Pleijel, IVL report B-1305
Göteborg, september 1998</t>
        </r>
      </text>
    </comment>
    <comment ref="G103" authorId="0" shapeId="0" xr:uid="{00000000-0006-0000-0A00-0000B7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3" authorId="0" shapeId="0" xr:uid="{8EF5C694-20E2-4613-8701-EDB2668AA8F6}">
      <text>
        <r>
          <rPr>
            <sz val="9"/>
            <color indexed="81"/>
            <rFont val="Tahoma"/>
            <family val="2"/>
          </rPr>
          <t xml:space="preserve">PFP for different VOC is normlly between a few % and 20%
</t>
        </r>
      </text>
    </comment>
    <comment ref="C104" authorId="0" shapeId="0" xr:uid="{ACFD46DB-5B51-4F26-AD76-5944E60BE58D}">
      <text>
        <r>
          <rPr>
            <sz val="9"/>
            <color indexed="81"/>
            <rFont val="Tahoma"/>
            <family val="2"/>
          </rPr>
          <t>Fry et al. Atmos. Chem. Phys., 14, 523–535, 2014
www.atmos-chem-phys.net/14/523/2014/</t>
        </r>
      </text>
    </comment>
    <comment ref="D104" authorId="0" shapeId="0" xr:uid="{A91A3F19-3796-48A2-9591-F32EEC386E4A}">
      <text>
        <r>
          <rPr>
            <sz val="9"/>
            <color indexed="81"/>
            <rFont val="Tahoma"/>
            <family val="2"/>
          </rPr>
          <t>estmated from figure 5 Fry et al. DOI:10.5194/acp-14-523-2014</t>
        </r>
      </text>
    </comment>
    <comment ref="E104" authorId="0" shapeId="0" xr:uid="{00000000-0006-0000-0A00-0000B8000000}">
      <text>
        <r>
          <rPr>
            <sz val="9"/>
            <color indexed="81"/>
            <rFont val="Tahoma"/>
            <family val="2"/>
          </rPr>
          <t xml:space="preserve">0.74 - 0.99  according to Johanna Altenstedt and Karin Pleijel, IVL report B-1305 Göteborg, Sweden september 1998
</t>
        </r>
      </text>
    </comment>
    <comment ref="F104" authorId="0" shapeId="0" xr:uid="{4F750E6F-D972-40F0-8807-8CFE99E6A923}">
      <text>
        <r>
          <rPr>
            <sz val="9"/>
            <color indexed="81"/>
            <rFont val="Tahoma"/>
            <family val="2"/>
          </rPr>
          <t>0.674 to 0.99 for European conditions according to 
Johanna Altenstedt and Karin Pleijel, IVL report B-1305
Göteborg, september 1998</t>
        </r>
      </text>
    </comment>
    <comment ref="G104" authorId="0" shapeId="0" xr:uid="{00000000-0006-0000-0A00-0000B9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4" authorId="0" shapeId="0" xr:uid="{3DE22BA4-0E77-4E1C-A974-E82F63D75BEE}">
      <text>
        <r>
          <rPr>
            <sz val="9"/>
            <color indexed="81"/>
            <rFont val="Tahoma"/>
            <family val="2"/>
          </rPr>
          <t xml:space="preserve">PFP for different VOC is normlly between a few % and 20%
</t>
        </r>
      </text>
    </comment>
    <comment ref="C105" authorId="0" shapeId="0" xr:uid="{9A6D3C05-A6C7-4D5F-BF85-FD1F8CE5627A}">
      <text>
        <r>
          <rPr>
            <sz val="9"/>
            <color indexed="81"/>
            <rFont val="Tahoma"/>
            <family val="2"/>
          </rPr>
          <t>Fry et al. Atmos. Chem. Phys., 14, 523–535, 2014
www.atmos-chem-phys.net/14/523/2014/</t>
        </r>
      </text>
    </comment>
    <comment ref="D105" authorId="0" shapeId="0" xr:uid="{00352584-CC10-47B9-8043-EF8B284B4745}">
      <text>
        <r>
          <rPr>
            <sz val="9"/>
            <color indexed="81"/>
            <rFont val="Tahoma"/>
            <family val="2"/>
          </rPr>
          <t>estmated from figure 5 Fry et al. DOI:10.5194/acp-14-523-2014</t>
        </r>
      </text>
    </comment>
    <comment ref="E105" authorId="0" shapeId="0" xr:uid="{00000000-0006-0000-0A00-0000BA000000}">
      <text>
        <r>
          <rPr>
            <sz val="9"/>
            <color indexed="81"/>
            <rFont val="Tahoma"/>
            <family val="2"/>
          </rPr>
          <t xml:space="preserve">0.75 - 1.05  according to Johanna Altenstedt and Karin Pleijel, IVL report B-1305 Göteborg, Sweden september 1998
</t>
        </r>
      </text>
    </comment>
    <comment ref="F105" authorId="0" shapeId="0" xr:uid="{92E2EDFE-E2CF-4EE4-A6E0-69164124C574}">
      <text>
        <r>
          <rPr>
            <sz val="9"/>
            <color indexed="81"/>
            <rFont val="Tahoma"/>
            <family val="2"/>
          </rPr>
          <t>0.75 to 1.05 for European conditions according to 
Johanna Altenstedt and Karin Pleijel, IVL report B-1305
Göteborg, september 1998</t>
        </r>
      </text>
    </comment>
    <comment ref="G105" authorId="0" shapeId="0" xr:uid="{00000000-0006-0000-0A00-0000BB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5" authorId="0" shapeId="0" xr:uid="{82950447-6644-4C13-9AAF-33DAFB44FCC3}">
      <text>
        <r>
          <rPr>
            <sz val="9"/>
            <color indexed="81"/>
            <rFont val="Tahoma"/>
            <family val="2"/>
          </rPr>
          <t xml:space="preserve">PFP for different VOC is normlly between a few % and 20%
</t>
        </r>
      </text>
    </comment>
    <comment ref="C106" authorId="0" shapeId="0" xr:uid="{1E1E946B-2B12-420F-B1E5-235CDE4C0E6B}">
      <text>
        <r>
          <rPr>
            <sz val="9"/>
            <color indexed="81"/>
            <rFont val="Tahoma"/>
            <family val="2"/>
          </rPr>
          <t>Fry et al. Atmos. Chem. Phys., 14, 523–535, 2014
www.atmos-chem-phys.net/14/523/2014/</t>
        </r>
      </text>
    </comment>
    <comment ref="D106" authorId="0" shapeId="0" xr:uid="{3F040C87-F857-4FF9-827C-CF6CD7913993}">
      <text>
        <r>
          <rPr>
            <sz val="9"/>
            <color indexed="81"/>
            <rFont val="Tahoma"/>
            <family val="2"/>
          </rPr>
          <t>estmated from figure 5 Fry et al. DOI:10.5194/acp-14-523-2014</t>
        </r>
      </text>
    </comment>
    <comment ref="E106" authorId="0" shapeId="0" xr:uid="{00000000-0006-0000-0A00-0000BC000000}">
      <text>
        <r>
          <rPr>
            <sz val="9"/>
            <color indexed="81"/>
            <rFont val="Tahoma"/>
            <family val="2"/>
          </rPr>
          <t xml:space="preserve">0.53 - 0.65  according to Johanna Altenstedt and Karin Pleijel, IVL report B-1305 Göteborg, Sweden september 1998
</t>
        </r>
      </text>
    </comment>
    <comment ref="F106" authorId="0" shapeId="0" xr:uid="{37F71818-2D39-43DD-A3E1-B7230135BA72}">
      <text>
        <r>
          <rPr>
            <sz val="9"/>
            <color indexed="81"/>
            <rFont val="Tahoma"/>
            <family val="2"/>
          </rPr>
          <t>0.53 to 0.65 for European conditions according to 
Johanna Altenstedt and Karin Pleijel, IVL report B-1305
Göteborg, september 1998</t>
        </r>
      </text>
    </comment>
    <comment ref="G106" authorId="0" shapeId="0" xr:uid="{00000000-0006-0000-0A00-0000BD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6" authorId="0" shapeId="0" xr:uid="{C3DD61C0-4BAA-4B74-A9C4-7F56E626982E}">
      <text>
        <r>
          <rPr>
            <sz val="9"/>
            <color indexed="81"/>
            <rFont val="Tahoma"/>
            <family val="2"/>
          </rPr>
          <t xml:space="preserve">PFP for different VOC is normlly between a few % and 20%
</t>
        </r>
      </text>
    </comment>
    <comment ref="A107" authorId="0" shapeId="0" xr:uid="{00000000-0006-0000-0A00-0000BE000000}">
      <text>
        <r>
          <rPr>
            <sz val="9"/>
            <color indexed="81"/>
            <rFont val="Tahoma"/>
            <family val="2"/>
          </rPr>
          <t xml:space="preserve">= pentanaldehyde
</t>
        </r>
      </text>
    </comment>
    <comment ref="C107" authorId="0" shapeId="0" xr:uid="{5E8C4E3A-C0DE-4E0E-8A09-166ABBBEFC30}">
      <text>
        <r>
          <rPr>
            <sz val="9"/>
            <color indexed="81"/>
            <rFont val="Tahoma"/>
            <family val="2"/>
          </rPr>
          <t>Fry et al. Atmos. Chem. Phys., 14, 523–535, 2014
www.atmos-chem-phys.net/14/523/2014/</t>
        </r>
      </text>
    </comment>
    <comment ref="D107" authorId="0" shapeId="0" xr:uid="{E6A2BF02-12D5-4171-ACA3-CD90FA7F6D22}">
      <text>
        <r>
          <rPr>
            <sz val="9"/>
            <color indexed="81"/>
            <rFont val="Tahoma"/>
            <family val="2"/>
          </rPr>
          <t>estmated from figure 5 Fry et al. DOI:10.5194/acp-14-523-2014</t>
        </r>
      </text>
    </comment>
    <comment ref="E107" authorId="0" shapeId="0" xr:uid="{00000000-0006-0000-0A00-0000BF000000}">
      <text>
        <r>
          <rPr>
            <sz val="9"/>
            <color indexed="81"/>
            <rFont val="Tahoma"/>
            <family val="2"/>
          </rPr>
          <t xml:space="preserve">0.74 - 1.06  according to Johanna Altenstedt and Karin Pleijel, IVL report B-1305 Göteborg, Sweden september 1998
</t>
        </r>
      </text>
    </comment>
    <comment ref="F107" authorId="0" shapeId="0" xr:uid="{1210299F-89FE-44E8-8530-656D619A431E}">
      <text>
        <r>
          <rPr>
            <sz val="9"/>
            <color indexed="81"/>
            <rFont val="Tahoma"/>
            <family val="2"/>
          </rPr>
          <t>0.74 to 1.06 for European conditions according to 
Johanna Altenstedt and Karin Pleijel, IVL report B-1305
Göteborg, september 1998</t>
        </r>
      </text>
    </comment>
    <comment ref="G107" authorId="0" shapeId="0" xr:uid="{00000000-0006-0000-0A00-0000C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7" authorId="0" shapeId="0" xr:uid="{A53569DC-0911-4876-B6A8-0C0E4C987F6E}">
      <text>
        <r>
          <rPr>
            <sz val="9"/>
            <color indexed="81"/>
            <rFont val="Tahoma"/>
            <family val="2"/>
          </rPr>
          <t xml:space="preserve">PFP for different VOC is normlly between a few % and 20%
</t>
        </r>
      </text>
    </comment>
    <comment ref="C108" authorId="0" shapeId="0" xr:uid="{6F0E2D02-EC18-4602-823B-FB05734EE653}">
      <text>
        <r>
          <rPr>
            <sz val="9"/>
            <color indexed="81"/>
            <rFont val="Tahoma"/>
            <family val="2"/>
          </rPr>
          <t>Fry et al. Atmos. Chem. Phys., 14, 523–535, 2014
www.atmos-chem-phys.net/14/523/2014/</t>
        </r>
      </text>
    </comment>
    <comment ref="D108" authorId="0" shapeId="0" xr:uid="{F5634DA7-020B-4979-BE7C-7C59EF079B9D}">
      <text>
        <r>
          <rPr>
            <sz val="9"/>
            <color indexed="81"/>
            <rFont val="Tahoma"/>
            <family val="2"/>
          </rPr>
          <t>estmated from figure 5 Fry et al. DOI:10.5194/acp-14-523-2014</t>
        </r>
      </text>
    </comment>
    <comment ref="E108" authorId="0" shapeId="0" xr:uid="{00000000-0006-0000-0A00-0000C1000000}">
      <text>
        <r>
          <rPr>
            <sz val="9"/>
            <color indexed="81"/>
            <rFont val="Tahoma"/>
            <family val="2"/>
          </rPr>
          <t xml:space="preserve">0.17 - 0.22 according to Johanna Altenstedt and Karin Pleijel, IVL report B-1305 Göteborg, Sweden september 1998
</t>
        </r>
      </text>
    </comment>
    <comment ref="F108" authorId="0" shapeId="0" xr:uid="{A1CC9F0F-C0C3-43EA-ACDB-7E174E31171F}">
      <text>
        <r>
          <rPr>
            <sz val="9"/>
            <color indexed="81"/>
            <rFont val="Tahoma"/>
            <family val="2"/>
          </rPr>
          <t>0.17 to 0.22 for European conditions according to 
Johanna Altenstedt and Karin Pleijel, IVL report B-1305
Göteborg, september 1998</t>
        </r>
      </text>
    </comment>
    <comment ref="G108" authorId="0" shapeId="0" xr:uid="{00000000-0006-0000-0A00-0000C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8" authorId="0" shapeId="0" xr:uid="{B8FF6EA5-69F6-454E-AFDB-70C3613E1347}">
      <text>
        <r>
          <rPr>
            <sz val="9"/>
            <color indexed="81"/>
            <rFont val="Tahoma"/>
            <family val="2"/>
          </rPr>
          <t xml:space="preserve">PFP for different VOC is normlly between a few % and 20%
</t>
        </r>
      </text>
    </comment>
    <comment ref="C109" authorId="0" shapeId="0" xr:uid="{4E073881-14A3-45E0-B8C2-06C23431B3D8}">
      <text>
        <r>
          <rPr>
            <sz val="9"/>
            <color indexed="81"/>
            <rFont val="Tahoma"/>
            <family val="2"/>
          </rPr>
          <t>Fry et al. Atmos. Chem. Phys., 14, 523–535, 2014
www.atmos-chem-phys.net/14/523/2014/</t>
        </r>
      </text>
    </comment>
    <comment ref="D109" authorId="0" shapeId="0" xr:uid="{BA441437-93BA-4252-9623-CD55EECBE608}">
      <text>
        <r>
          <rPr>
            <sz val="9"/>
            <color indexed="81"/>
            <rFont val="Tahoma"/>
            <family val="2"/>
          </rPr>
          <t>estmated from figure 5 Fry et al. DOI:10.5194/acp-14-523-2014</t>
        </r>
      </text>
    </comment>
    <comment ref="E109" authorId="0" shapeId="0" xr:uid="{00000000-0006-0000-0A00-0000C3000000}">
      <text>
        <r>
          <rPr>
            <sz val="9"/>
            <color indexed="81"/>
            <rFont val="Tahoma"/>
            <family val="2"/>
          </rPr>
          <t xml:space="preserve">0.52 - 0.91 according to Johanna Altenstedt and Karin Pleijel, IVL report B-1305 Göteborg, Sweden september 1998
</t>
        </r>
      </text>
    </comment>
    <comment ref="F109" authorId="0" shapeId="0" xr:uid="{7C655A4A-4ED4-4C99-988D-0DF286A3F6D2}">
      <text>
        <r>
          <rPr>
            <sz val="9"/>
            <color indexed="81"/>
            <rFont val="Tahoma"/>
            <family val="2"/>
          </rPr>
          <t>0.52 to 0.91 for European conditions according to 
Johanna Altenstedt and Karin Pleijel, IVL report B-1305
Göteborg, september 1998</t>
        </r>
      </text>
    </comment>
    <comment ref="G109" authorId="0" shapeId="0" xr:uid="{00000000-0006-0000-0A00-0000C4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09" authorId="0" shapeId="0" xr:uid="{D5259765-DD55-40CE-AA63-EE0DB4289961}">
      <text>
        <r>
          <rPr>
            <sz val="9"/>
            <color indexed="81"/>
            <rFont val="Tahoma"/>
            <family val="2"/>
          </rPr>
          <t xml:space="preserve">PFP for different VOC is normlly between a few % and 20%
</t>
        </r>
      </text>
    </comment>
    <comment ref="C110" authorId="0" shapeId="0" xr:uid="{6F3CA8F8-7858-4DB6-8BE8-2B628EAE7D5C}">
      <text>
        <r>
          <rPr>
            <sz val="9"/>
            <color indexed="81"/>
            <rFont val="Tahoma"/>
            <family val="2"/>
          </rPr>
          <t>Fry et al. Atmos. Chem. Phys., 14, 523–535, 2014
www.atmos-chem-phys.net/14/523/2014/</t>
        </r>
      </text>
    </comment>
    <comment ref="D110" authorId="0" shapeId="0" xr:uid="{56FB13D6-8596-4056-A44A-BBE995A0A1BE}">
      <text>
        <r>
          <rPr>
            <sz val="9"/>
            <color indexed="81"/>
            <rFont val="Tahoma"/>
            <family val="2"/>
          </rPr>
          <t>estmated from figure 5 Fry et al. DOI:10.5194/acp-14-523-2014</t>
        </r>
      </text>
    </comment>
    <comment ref="E110" authorId="0" shapeId="0" xr:uid="{00000000-0006-0000-0A00-0000C5000000}">
      <text>
        <r>
          <rPr>
            <sz val="9"/>
            <color indexed="81"/>
            <rFont val="Tahoma"/>
            <family val="2"/>
          </rPr>
          <t xml:space="preserve">0.73 - 1.26 according to Johanna Altenstedt and Karin Pleijel, IVL report B-1305 Göteborg, Sweden september 1998
</t>
        </r>
      </text>
    </comment>
    <comment ref="F110" authorId="0" shapeId="0" xr:uid="{5C704ACF-C9C1-4BBF-AE44-380EEE3A0E37}">
      <text>
        <r>
          <rPr>
            <sz val="9"/>
            <color indexed="81"/>
            <rFont val="Tahoma"/>
            <family val="2"/>
          </rPr>
          <t>0.73 to 1.26 for European conditions according to 
Johanna Altenstedt and Karin Pleijel, IVL report B-1305
Göteborg, september 1998</t>
        </r>
      </text>
    </comment>
    <comment ref="G110" authorId="0" shapeId="0" xr:uid="{00000000-0006-0000-0A00-0000C6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0" authorId="0" shapeId="0" xr:uid="{377F3B4B-DE8C-4A5F-AEE3-7D9B4A7C3449}">
      <text>
        <r>
          <rPr>
            <sz val="9"/>
            <color indexed="81"/>
            <rFont val="Tahoma"/>
            <family val="2"/>
          </rPr>
          <t xml:space="preserve">PFP for different VOC is normlly between a few % and 20%
</t>
        </r>
      </text>
    </comment>
    <comment ref="C111" authorId="0" shapeId="0" xr:uid="{F2ACF851-CAE6-4F41-A88A-DEFF421D0588}">
      <text>
        <r>
          <rPr>
            <sz val="9"/>
            <color indexed="81"/>
            <rFont val="Tahoma"/>
            <family val="2"/>
          </rPr>
          <t>Fry et al. Atmos. Chem. Phys., 14, 523–535, 2014
www.atmos-chem-phys.net/14/523/2014/</t>
        </r>
      </text>
    </comment>
    <comment ref="D111" authorId="0" shapeId="0" xr:uid="{BB9B83D8-E663-4162-9E64-8B260EDCA56B}">
      <text>
        <r>
          <rPr>
            <sz val="9"/>
            <color indexed="81"/>
            <rFont val="Tahoma"/>
            <family val="2"/>
          </rPr>
          <t>estmated from figure 5 Fry et al. DOI:10.5194/acp-14-523-2014</t>
        </r>
      </text>
    </comment>
    <comment ref="E111" authorId="0" shapeId="0" xr:uid="{00000000-0006-0000-0A00-0000C7000000}">
      <text>
        <r>
          <rPr>
            <sz val="9"/>
            <color indexed="81"/>
            <rFont val="Tahoma"/>
            <family val="2"/>
          </rPr>
          <t>0.94 - 1.10 according to Johanna Altenstedt and Karin Pleijel, IVL report B-1305 Göteborg, Sweden september 1998</t>
        </r>
      </text>
    </comment>
    <comment ref="F111" authorId="0" shapeId="0" xr:uid="{E90BCF6D-48F3-4D2F-BA9C-1DA220FE8F03}">
      <text>
        <r>
          <rPr>
            <sz val="9"/>
            <color indexed="81"/>
            <rFont val="Tahoma"/>
            <family val="2"/>
          </rPr>
          <t>0.94 to 1.10 for European conditions according to 
Johanna Altenstedt and Karin Pleijel, IVL report B-1305
Göteborg, september 1998</t>
        </r>
      </text>
    </comment>
    <comment ref="G111" authorId="0" shapeId="0" xr:uid="{00000000-0006-0000-0A00-0000C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1" authorId="0" shapeId="0" xr:uid="{296D9921-C2C3-4ED9-91F0-2DCBB27E5F53}">
      <text>
        <r>
          <rPr>
            <sz val="9"/>
            <color indexed="81"/>
            <rFont val="Tahoma"/>
            <family val="2"/>
          </rPr>
          <t xml:space="preserve">PFP for different VOC is normlly between a few % and 20%
</t>
        </r>
      </text>
    </comment>
    <comment ref="C112" authorId="0" shapeId="0" xr:uid="{24C4BFA6-19B3-42DF-A35D-F904652BC00E}">
      <text>
        <r>
          <rPr>
            <sz val="9"/>
            <color indexed="81"/>
            <rFont val="Tahoma"/>
            <family val="2"/>
          </rPr>
          <t>Fry et al. Atmos. Chem. Phys., 14, 523–535, 2014
www.atmos-chem-phys.net/14/523/2014/</t>
        </r>
      </text>
    </comment>
    <comment ref="D112" authorId="0" shapeId="0" xr:uid="{6640FCE2-BBC1-414F-9994-95863B8A0ADC}">
      <text>
        <r>
          <rPr>
            <sz val="9"/>
            <color indexed="81"/>
            <rFont val="Tahoma"/>
            <family val="2"/>
          </rPr>
          <t>estmated from figure 5 Fry et al. DOI:10.5194/acp-14-523-2014</t>
        </r>
      </text>
    </comment>
    <comment ref="E112" authorId="0" shapeId="0" xr:uid="{00000000-0006-0000-0A00-0000C9000000}">
      <text>
        <r>
          <rPr>
            <sz val="9"/>
            <color indexed="81"/>
            <rFont val="Tahoma"/>
            <family val="2"/>
          </rPr>
          <t xml:space="preserve">0 according to Johanna Altenstedt and Karin Pleijel, IVL report B-1305 Göteborg, Sweden september 1998
</t>
        </r>
      </text>
    </comment>
    <comment ref="F112" authorId="0" shapeId="0" xr:uid="{D1E09F09-6CCA-4C93-B230-65F1A1D668C7}">
      <text>
        <r>
          <rPr>
            <sz val="9"/>
            <color indexed="81"/>
            <rFont val="Tahoma"/>
            <family val="2"/>
          </rPr>
          <t>0 for European conditions according to 
Johanna Altenstedt and Karin Pleijel, IVL report B-1305
Göteborg, september 1998</t>
        </r>
      </text>
    </comment>
    <comment ref="G112" authorId="0" shapeId="0" xr:uid="{F784725E-8025-4CCD-BED3-1D56EFCA01E3}">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112" authorId="0" shapeId="0" xr:uid="{47E39E98-B1C1-4C43-AD0F-31DD198DE507}">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A113" authorId="0" shapeId="0" xr:uid="{29090B0C-7E29-4462-842D-40F0B642CFF5}">
      <text>
        <r>
          <rPr>
            <sz val="9"/>
            <color indexed="81"/>
            <rFont val="Tahoma"/>
            <family val="2"/>
          </rPr>
          <t xml:space="preserve">CH3CH=CHCHO
</t>
        </r>
      </text>
    </comment>
    <comment ref="C113" authorId="0" shapeId="0" xr:uid="{ABCA05D8-2899-42A4-8DF1-3318DB7AE9A5}">
      <text>
        <r>
          <rPr>
            <sz val="9"/>
            <color indexed="81"/>
            <rFont val="Tahoma"/>
            <family val="2"/>
          </rPr>
          <t>Fry et al. Atmos. Chem. Phys., 14, 523–535, 2014
www.atmos-chem-phys.net/14/523/2014/</t>
        </r>
      </text>
    </comment>
    <comment ref="D113" authorId="0" shapeId="0" xr:uid="{61021BDC-8C75-451B-809A-55109BBD334E}">
      <text>
        <r>
          <rPr>
            <sz val="9"/>
            <color indexed="81"/>
            <rFont val="Tahoma"/>
            <family val="2"/>
          </rPr>
          <t>estmated from figure 5 Fry et al. DOI:10.5194/acp-14-523-2014</t>
        </r>
      </text>
    </comment>
    <comment ref="E113" authorId="0" shapeId="0" xr:uid="{CBBADE35-C0E2-4E81-B243-C4FF68980888}">
      <text>
        <r>
          <rPr>
            <sz val="9"/>
            <color indexed="81"/>
            <rFont val="Tahoma"/>
            <family val="2"/>
          </rPr>
          <t xml:space="preserve">Median POCP for VOC
</t>
        </r>
      </text>
    </comment>
    <comment ref="F113" authorId="0" shapeId="0" xr:uid="{B7184866-6946-41E5-A9B4-590C502D3B5B}">
      <text>
        <r>
          <rPr>
            <sz val="9"/>
            <color indexed="81"/>
            <rFont val="Tahoma"/>
            <family val="2"/>
          </rPr>
          <t xml:space="preserve">standard deviation of POCPs for VOCs
</t>
        </r>
      </text>
    </comment>
    <comment ref="G113" authorId="0" shapeId="0" xr:uid="{22BB8EB7-968B-4AD7-B56C-E9D875B08767}">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3" authorId="0" shapeId="0" xr:uid="{7E982FB9-1A97-47EA-B013-CA377D57BC96}">
      <text>
        <r>
          <rPr>
            <sz val="9"/>
            <color indexed="81"/>
            <rFont val="Tahoma"/>
            <family val="2"/>
          </rPr>
          <t xml:space="preserve">PFP for different VOC is normlly between a few % and 20%
</t>
        </r>
      </text>
    </comment>
    <comment ref="C115" authorId="0" shapeId="0" xr:uid="{7F452BF7-CB73-4A46-9C80-7246C5677DBD}">
      <text>
        <r>
          <rPr>
            <sz val="9"/>
            <color indexed="81"/>
            <rFont val="Tahoma"/>
            <family val="2"/>
          </rPr>
          <t>Fry et al. Atmos. Chem. Phys., 14, 523–535, 2014
www.atmos-chem-phys.net/14/523/2014/</t>
        </r>
      </text>
    </comment>
    <comment ref="D115" authorId="0" shapeId="0" xr:uid="{CB079099-0F29-478F-8423-AE1E235634A1}">
      <text>
        <r>
          <rPr>
            <sz val="9"/>
            <color indexed="81"/>
            <rFont val="Tahoma"/>
            <family val="2"/>
          </rPr>
          <t>estmated from figure 5 Fry et al. DOI:10.5194/acp-14-523-2014</t>
        </r>
      </text>
    </comment>
    <comment ref="E115" authorId="0" shapeId="0" xr:uid="{00000000-0006-0000-0A00-0000CB000000}">
      <text>
        <r>
          <rPr>
            <sz val="9"/>
            <color indexed="81"/>
            <rFont val="Tahoma"/>
            <family val="2"/>
          </rPr>
          <t xml:space="preserve">Derwent et al. Atmospheric Environment Vol. 32, No. 14/15, pp. 2429Ð2441, 1998
</t>
        </r>
      </text>
    </comment>
    <comment ref="F115" authorId="0" shapeId="0" xr:uid="{6BCBBA69-CF51-4CDC-AA03-A631C335F7CB}">
      <text>
        <r>
          <rPr>
            <sz val="9"/>
            <color indexed="81"/>
            <rFont val="Tahoma"/>
            <family val="2"/>
          </rPr>
          <t xml:space="preserve">Only one trajectory were used 
</t>
        </r>
      </text>
    </comment>
    <comment ref="G115" authorId="0" shapeId="0" xr:uid="{00000000-0006-0000-0A00-0000CC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5" authorId="0" shapeId="0" xr:uid="{6BAB8933-067D-43F7-9D79-082CC1875BDA}">
      <text>
        <r>
          <rPr>
            <sz val="9"/>
            <color indexed="81"/>
            <rFont val="Tahoma"/>
            <family val="2"/>
          </rPr>
          <t xml:space="preserve">PFP for different VOC is normlly between a few % and 20%
</t>
        </r>
      </text>
    </comment>
    <comment ref="C116" authorId="0" shapeId="0" xr:uid="{E23F1F4D-2CDA-4DE3-8281-111B2037115E}">
      <text>
        <r>
          <rPr>
            <sz val="9"/>
            <color indexed="81"/>
            <rFont val="Tahoma"/>
            <family val="2"/>
          </rPr>
          <t>Fry et al. Atmos. Chem. Phys., 14, 523–535, 2014
www.atmos-chem-phys.net/14/523/2014/</t>
        </r>
      </text>
    </comment>
    <comment ref="D116" authorId="0" shapeId="0" xr:uid="{C7BAE86E-021F-4AF8-83C4-BB940757C98F}">
      <text>
        <r>
          <rPr>
            <sz val="9"/>
            <color indexed="81"/>
            <rFont val="Tahoma"/>
            <family val="2"/>
          </rPr>
          <t>estmated from figure 5 Fry et al. DOI:10.5194/acp-14-523-2014</t>
        </r>
      </text>
    </comment>
    <comment ref="E116" authorId="0" shapeId="0" xr:uid="{00000000-0006-0000-0A00-0000CD000000}">
      <text>
        <r>
          <rPr>
            <sz val="9"/>
            <color indexed="81"/>
            <rFont val="Tahoma"/>
            <family val="2"/>
          </rPr>
          <t xml:space="preserve">0.041 - 0.096  according to Johanna Altenstedt and Karin Pleijel, IVL report B-1305 Göteborg, Sweden september 1998
</t>
        </r>
      </text>
    </comment>
    <comment ref="F116" authorId="0" shapeId="0" xr:uid="{3C85459B-79E2-4B2F-94ED-4526C4AEA53B}">
      <text>
        <r>
          <rPr>
            <sz val="9"/>
            <color indexed="81"/>
            <rFont val="Tahoma"/>
            <family val="2"/>
          </rPr>
          <t>0.041 to 0.096 for European conditions according to 
Johanna Altenstedt and Karin Pleijel, IVL report B-1305
Göteborg, september 1998</t>
        </r>
      </text>
    </comment>
    <comment ref="G116" authorId="0" shapeId="0" xr:uid="{00000000-0006-0000-0A00-0000C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6" authorId="0" shapeId="0" xr:uid="{60427E8E-4921-4B6B-8F11-E304DA88EA16}">
      <text>
        <r>
          <rPr>
            <sz val="9"/>
            <color indexed="81"/>
            <rFont val="Tahoma"/>
            <family val="2"/>
          </rPr>
          <t xml:space="preserve">PFP for different VOC is normlly between a few % and 20%
</t>
        </r>
      </text>
    </comment>
    <comment ref="C117" authorId="0" shapeId="0" xr:uid="{5AA9D63F-7F7F-4350-918D-A68C69B437BA}">
      <text>
        <r>
          <rPr>
            <sz val="9"/>
            <color indexed="81"/>
            <rFont val="Tahoma"/>
            <family val="2"/>
          </rPr>
          <t>Fry et al. Atmos. Chem. Phys., 14, 523–535, 2014
www.atmos-chem-phys.net/14/523/2014/</t>
        </r>
      </text>
    </comment>
    <comment ref="D117" authorId="0" shapeId="0" xr:uid="{85AA994D-0A10-4D64-A0D0-B5A4A666EAC1}">
      <text>
        <r>
          <rPr>
            <sz val="9"/>
            <color indexed="81"/>
            <rFont val="Tahoma"/>
            <family val="2"/>
          </rPr>
          <t>estmated from figure 5 Fry et al. DOI:10.5194/acp-14-523-2014</t>
        </r>
      </text>
    </comment>
    <comment ref="E117" authorId="0" shapeId="0" xr:uid="{00000000-0006-0000-0A00-0000CF000000}">
      <text>
        <r>
          <rPr>
            <sz val="9"/>
            <color indexed="81"/>
            <rFont val="Tahoma"/>
            <family val="2"/>
          </rPr>
          <t xml:space="preserve">0.074 - 0.40  according to Johanna Altenstedt and Karin Pleijel, IVL report B-1305 Göteborg, Sweden september 1998. 0.21 according to Derwent et al.
</t>
        </r>
      </text>
    </comment>
    <comment ref="F117" authorId="0" shapeId="0" xr:uid="{62A5E81D-779B-45D9-A171-0BFFF2C88675}">
      <text>
        <r>
          <rPr>
            <sz val="9"/>
            <color indexed="81"/>
            <rFont val="Tahoma"/>
            <family val="2"/>
          </rPr>
          <t>0.074 to 0.40 for European conditions according to 
Johanna Altenstedt and Karin Pleijel, IVL report B-1305
Göteborg, september 1998</t>
        </r>
      </text>
    </comment>
    <comment ref="G117" authorId="0" shapeId="0" xr:uid="{00000000-0006-0000-0A00-0000D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7" authorId="0" shapeId="0" xr:uid="{C76B4D46-ACA0-460F-A3F0-B04053DD9C2E}">
      <text>
        <r>
          <rPr>
            <sz val="9"/>
            <color indexed="81"/>
            <rFont val="Tahoma"/>
            <family val="2"/>
          </rPr>
          <t xml:space="preserve">PFP for different VOC is normlly between a few % and 20%
</t>
        </r>
      </text>
    </comment>
    <comment ref="C118" authorId="0" shapeId="0" xr:uid="{EDEB39CC-E9ED-4347-A8AC-E63BD9EF6BE0}">
      <text>
        <r>
          <rPr>
            <sz val="9"/>
            <color indexed="81"/>
            <rFont val="Tahoma"/>
            <family val="2"/>
          </rPr>
          <t>Fry et al. Atmos. Chem. Phys., 14, 523–535, 2014
www.atmos-chem-phys.net/14/523/2014/</t>
        </r>
      </text>
    </comment>
    <comment ref="D118" authorId="0" shapeId="0" xr:uid="{187C851F-8F9C-4E70-804D-0939AD9EE177}">
      <text>
        <r>
          <rPr>
            <sz val="9"/>
            <color indexed="81"/>
            <rFont val="Tahoma"/>
            <family val="2"/>
          </rPr>
          <t>estmated from figure 5 Fry et al. DOI:10.5194/acp-14-523-2014</t>
        </r>
      </text>
    </comment>
    <comment ref="E118" authorId="0" shapeId="0" xr:uid="{00000000-0006-0000-0A00-0000D1000000}">
      <text>
        <r>
          <rPr>
            <sz val="9"/>
            <color indexed="81"/>
            <rFont val="Tahoma"/>
            <family val="2"/>
          </rPr>
          <t xml:space="preserve">Derwent et al. Atmospheric Environment Vol. 32, No. 14/15, pp. 2429Ð2441, 1998
</t>
        </r>
      </text>
    </comment>
    <comment ref="F118" authorId="0" shapeId="0" xr:uid="{6542BB04-C043-4D8A-A7EC-B16BC8520277}">
      <text>
        <r>
          <rPr>
            <sz val="9"/>
            <color indexed="81"/>
            <rFont val="Tahoma"/>
            <family val="2"/>
          </rPr>
          <t xml:space="preserve">Only one trajectory were used 
</t>
        </r>
      </text>
    </comment>
    <comment ref="G118" authorId="0" shapeId="0" xr:uid="{00000000-0006-0000-0A00-0000D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8" authorId="0" shapeId="0" xr:uid="{5156A429-3040-43EC-9520-E8ED2CFF2C83}">
      <text>
        <r>
          <rPr>
            <sz val="9"/>
            <color indexed="81"/>
            <rFont val="Tahoma"/>
            <family val="2"/>
          </rPr>
          <t xml:space="preserve">PFP for different VOC is normlly between a few % and 20%
</t>
        </r>
      </text>
    </comment>
    <comment ref="C119" authorId="0" shapeId="0" xr:uid="{88944520-4FC5-4293-A231-7570A88DEE8C}">
      <text>
        <r>
          <rPr>
            <sz val="9"/>
            <color indexed="81"/>
            <rFont val="Tahoma"/>
            <family val="2"/>
          </rPr>
          <t>Fry et al. Atmos. Chem. Phys., 14, 523–535, 2014
www.atmos-chem-phys.net/14/523/2014/</t>
        </r>
      </text>
    </comment>
    <comment ref="D119" authorId="0" shapeId="0" xr:uid="{67AF2E7C-7E3C-4850-A2C3-4F5762D17969}">
      <text>
        <r>
          <rPr>
            <sz val="9"/>
            <color indexed="81"/>
            <rFont val="Tahoma"/>
            <family val="2"/>
          </rPr>
          <t>estmated from figure 5 Fry et al. DOI:10.5194/acp-14-523-2014</t>
        </r>
      </text>
    </comment>
    <comment ref="E119" authorId="0" shapeId="0" xr:uid="{00000000-0006-0000-0A00-0000D3000000}">
      <text>
        <r>
          <rPr>
            <sz val="9"/>
            <color indexed="81"/>
            <rFont val="Tahoma"/>
            <family val="2"/>
          </rPr>
          <t xml:space="preserve">Derwent et al. Atmospheric Environment Vol. 32, No. 14/15, pp. 2429Ð2441, 1998
</t>
        </r>
      </text>
    </comment>
    <comment ref="F119" authorId="0" shapeId="0" xr:uid="{C474C924-B407-419C-A7B9-4C4047D818CE}">
      <text>
        <r>
          <rPr>
            <sz val="9"/>
            <color indexed="81"/>
            <rFont val="Tahoma"/>
            <family val="2"/>
          </rPr>
          <t xml:space="preserve">Only one trajectory were used 
</t>
        </r>
      </text>
    </comment>
    <comment ref="G119" authorId="0" shapeId="0" xr:uid="{00000000-0006-0000-0A00-0000D4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19" authorId="0" shapeId="0" xr:uid="{08328985-982E-4FB7-8619-D963A94093E3}">
      <text>
        <r>
          <rPr>
            <sz val="9"/>
            <color indexed="81"/>
            <rFont val="Tahoma"/>
            <family val="2"/>
          </rPr>
          <t xml:space="preserve">PFP for different VOC is normlly between a few % and 20%
</t>
        </r>
      </text>
    </comment>
    <comment ref="C120" authorId="0" shapeId="0" xr:uid="{9E8E83AA-150B-4C6B-A284-6EA11FB6AA00}">
      <text>
        <r>
          <rPr>
            <sz val="9"/>
            <color indexed="81"/>
            <rFont val="Tahoma"/>
            <family val="2"/>
          </rPr>
          <t>Fry et al. Atmos. Chem. Phys., 14, 523–535, 2014
www.atmos-chem-phys.net/14/523/2014/</t>
        </r>
      </text>
    </comment>
    <comment ref="D120" authorId="0" shapeId="0" xr:uid="{CC55FA2A-933E-4181-AFBB-8ED83F762114}">
      <text>
        <r>
          <rPr>
            <sz val="9"/>
            <color indexed="81"/>
            <rFont val="Tahoma"/>
            <family val="2"/>
          </rPr>
          <t>estmated from figure 5 Fry et al. DOI:10.5194/acp-14-523-2014</t>
        </r>
      </text>
    </comment>
    <comment ref="E120" authorId="0" shapeId="0" xr:uid="{00000000-0006-0000-0A00-0000D5000000}">
      <text>
        <r>
          <rPr>
            <sz val="9"/>
            <color indexed="81"/>
            <rFont val="Tahoma"/>
            <family val="2"/>
          </rPr>
          <t xml:space="preserve">0.22 - 0.66 according to Johanna Altenstedt and Karin Pleijel, IVL report B-1305 Göteborg, Sweden september 1998
</t>
        </r>
      </text>
    </comment>
    <comment ref="F120" authorId="0" shapeId="0" xr:uid="{F74A38BB-3F5D-45C3-B010-8F8FCC06A00D}">
      <text>
        <r>
          <rPr>
            <sz val="9"/>
            <color indexed="81"/>
            <rFont val="Tahoma"/>
            <family val="2"/>
          </rPr>
          <t>0.041 to 0.096 for European conditions according to 
Johanna Altenstedt and Karin Pleijel, IVL report B-1305
Göteborg, september 1998</t>
        </r>
      </text>
    </comment>
    <comment ref="G120" authorId="0" shapeId="0" xr:uid="{00000000-0006-0000-0A00-0000D6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0" authorId="0" shapeId="0" xr:uid="{2E678B97-F9D0-486D-8EB2-E6462468D5EB}">
      <text>
        <r>
          <rPr>
            <sz val="9"/>
            <color indexed="81"/>
            <rFont val="Tahoma"/>
            <family val="2"/>
          </rPr>
          <t xml:space="preserve">PFP for different VOC is normlly between a few % and 20%
</t>
        </r>
      </text>
    </comment>
    <comment ref="C121" authorId="0" shapeId="0" xr:uid="{C5E62F1F-C00E-4D14-B509-644BEDD0C99B}">
      <text>
        <r>
          <rPr>
            <sz val="9"/>
            <color indexed="81"/>
            <rFont val="Tahoma"/>
            <family val="2"/>
          </rPr>
          <t>Fry et al. Atmos. Chem. Phys., 14, 523–535, 2014
www.atmos-chem-phys.net/14/523/2014/</t>
        </r>
      </text>
    </comment>
    <comment ref="D121" authorId="0" shapeId="0" xr:uid="{291A5ACF-C0DC-49C3-844A-A26E7329F610}">
      <text>
        <r>
          <rPr>
            <sz val="9"/>
            <color indexed="81"/>
            <rFont val="Tahoma"/>
            <family val="2"/>
          </rPr>
          <t>estmated from figure 5 Fry et al. DOI:10.5194/acp-14-523-2014</t>
        </r>
      </text>
    </comment>
    <comment ref="E121" authorId="0" shapeId="0" xr:uid="{00000000-0006-0000-0A00-0000D7000000}">
      <text>
        <r>
          <rPr>
            <sz val="9"/>
            <color indexed="81"/>
            <rFont val="Tahoma"/>
            <family val="2"/>
          </rPr>
          <t xml:space="preserve">0.12 - 0.49 according to Johanna Altenstedt and Karin Pleijel, IVL report B-1305 Göteborg, Sweden september 1998
</t>
        </r>
      </text>
    </comment>
    <comment ref="F121" authorId="0" shapeId="0" xr:uid="{FD6BA60A-3013-4D15-8C42-CBCFFEF8DD69}">
      <text>
        <r>
          <rPr>
            <sz val="9"/>
            <color indexed="81"/>
            <rFont val="Tahoma"/>
            <family val="2"/>
          </rPr>
          <t>0.12 to 0.49 for European conditions according to 
Johanna Altenstedt and Karin Pleijel, IVL report B-1305
Göteborg, september 1998</t>
        </r>
      </text>
    </comment>
    <comment ref="G121" authorId="0" shapeId="0" xr:uid="{00000000-0006-0000-0A00-0000D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1" authorId="0" shapeId="0" xr:uid="{2F231ADE-5C22-43C4-8810-619E0B444816}">
      <text>
        <r>
          <rPr>
            <sz val="9"/>
            <color indexed="81"/>
            <rFont val="Tahoma"/>
            <family val="2"/>
          </rPr>
          <t xml:space="preserve">PFP for different VOC is normlly between a few % and 20%
</t>
        </r>
      </text>
    </comment>
    <comment ref="C123" authorId="0" shapeId="0" xr:uid="{2A17F989-6F58-4A00-889E-BF6685532DBB}">
      <text>
        <r>
          <rPr>
            <sz val="9"/>
            <color indexed="81"/>
            <rFont val="Tahoma"/>
            <family val="2"/>
          </rPr>
          <t>Fry et al. Atmos. Chem. Phys., 14, 523–535, 2014
www.atmos-chem-phys.net/14/523/2014/</t>
        </r>
      </text>
    </comment>
    <comment ref="D123" authorId="0" shapeId="0" xr:uid="{1D89E5C8-82FB-4209-AB47-5CC03DE205B2}">
      <text>
        <r>
          <rPr>
            <sz val="9"/>
            <color indexed="81"/>
            <rFont val="Tahoma"/>
            <family val="2"/>
          </rPr>
          <t>estmated from figure 5 Fry et al. DOI:10.5194/acp-14-523-2014</t>
        </r>
      </text>
    </comment>
    <comment ref="E123" authorId="0" shapeId="0" xr:uid="{00000000-0006-0000-0A00-0000D9000000}">
      <text>
        <r>
          <rPr>
            <sz val="9"/>
            <color indexed="81"/>
            <rFont val="Tahoma"/>
            <family val="2"/>
          </rPr>
          <t xml:space="preserve">0.18 - 0.48  according to Johanna Altenstedt and Karin Pleijel, IVL report B-1305 Göteborg, Sweden september 1998
</t>
        </r>
      </text>
    </comment>
    <comment ref="F123" authorId="0" shapeId="0" xr:uid="{3D223A23-276F-4273-AB2A-E3B54A7186AC}">
      <text>
        <r>
          <rPr>
            <sz val="9"/>
            <color indexed="81"/>
            <rFont val="Tahoma"/>
            <family val="2"/>
          </rPr>
          <t>0.18 to 0.48 for European conditions according to 
Johanna Altenstedt and Karin Pleijel, IVL report B-1305
Göteborg, september 1998</t>
        </r>
      </text>
    </comment>
    <comment ref="G123" authorId="0" shapeId="0" xr:uid="{00000000-0006-0000-0A00-0000DA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3" authorId="0" shapeId="0" xr:uid="{953C9E5A-415F-44D4-88CB-451ED8E9DAC8}">
      <text>
        <r>
          <rPr>
            <sz val="9"/>
            <color indexed="81"/>
            <rFont val="Tahoma"/>
            <family val="2"/>
          </rPr>
          <t xml:space="preserve">PFP for different VOC is normlly between a few % and 20%
</t>
        </r>
      </text>
    </comment>
    <comment ref="A124" authorId="0" shapeId="0" xr:uid="{D9E108E3-FE71-463A-8757-E00753A8FCF8}">
      <text>
        <r>
          <rPr>
            <sz val="9"/>
            <color indexed="81"/>
            <rFont val="Tahoma"/>
            <family val="2"/>
          </rPr>
          <t xml:space="preserve">CH3CH2OCH3
</t>
        </r>
      </text>
    </comment>
    <comment ref="C124" authorId="0" shapeId="0" xr:uid="{C9C27A11-71C4-454F-9F11-A1CA11B305BA}">
      <text>
        <r>
          <rPr>
            <sz val="9"/>
            <color indexed="81"/>
            <rFont val="Tahoma"/>
            <family val="2"/>
          </rPr>
          <t>Fry et al. Atmos. Chem. Phys., 14, 523–535, 2014
www.atmos-chem-phys.net/14/523/2014/</t>
        </r>
      </text>
    </comment>
    <comment ref="D124" authorId="0" shapeId="0" xr:uid="{981BC8F3-67DE-4880-B9EC-00C7472172E0}">
      <text>
        <r>
          <rPr>
            <sz val="9"/>
            <color indexed="81"/>
            <rFont val="Tahoma"/>
            <family val="2"/>
          </rPr>
          <t>estmated from figure 5 Fry et al. DOI:10.5194/acp-14-523-2014</t>
        </r>
      </text>
    </comment>
    <comment ref="E124" authorId="0" shapeId="0" xr:uid="{54A9ED90-AC7E-4DA0-A01E-BD512F55C54F}">
      <text>
        <r>
          <rPr>
            <sz val="9"/>
            <color indexed="81"/>
            <rFont val="Tahoma"/>
            <family val="2"/>
          </rPr>
          <t xml:space="preserve">Median POCP for VOC
</t>
        </r>
      </text>
    </comment>
    <comment ref="F124" authorId="0" shapeId="0" xr:uid="{32329CAB-8680-49D6-8FA3-5D1FF4770953}">
      <text>
        <r>
          <rPr>
            <sz val="9"/>
            <color indexed="81"/>
            <rFont val="Tahoma"/>
            <family val="2"/>
          </rPr>
          <t xml:space="preserve">standard deviation of POCPs for VOCs
</t>
        </r>
      </text>
    </comment>
    <comment ref="G124" authorId="0" shapeId="0" xr:uid="{223CFAE2-9E35-41F0-84AB-8E1840B49BD5}">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4" authorId="0" shapeId="0" xr:uid="{60C7136C-7715-4467-860D-B8F0B18E7A75}">
      <text>
        <r>
          <rPr>
            <sz val="9"/>
            <color indexed="81"/>
            <rFont val="Tahoma"/>
            <family val="2"/>
          </rPr>
          <t xml:space="preserve">PFP for different VOC is normlly between a few % and 20%
</t>
        </r>
      </text>
    </comment>
    <comment ref="C125" authorId="0" shapeId="0" xr:uid="{96E6C703-C69D-454D-8061-259864D0D8C4}">
      <text>
        <r>
          <rPr>
            <sz val="9"/>
            <color indexed="81"/>
            <rFont val="Tahoma"/>
            <family val="2"/>
          </rPr>
          <t>Fry et al. Atmos. Chem. Phys., 14, 523–535, 2014
www.atmos-chem-phys.net/14/523/2014/</t>
        </r>
      </text>
    </comment>
    <comment ref="D125" authorId="0" shapeId="0" xr:uid="{9288C065-F74D-4EAB-99E6-4C962F877CCF}">
      <text>
        <r>
          <rPr>
            <sz val="9"/>
            <color indexed="81"/>
            <rFont val="Tahoma"/>
            <family val="2"/>
          </rPr>
          <t>estmated from figure 5 Fry et al. DOI:10.5194/acp-14-523-2014</t>
        </r>
      </text>
    </comment>
    <comment ref="E125" authorId="0" shapeId="0" xr:uid="{00000000-0006-0000-0A00-0000DB000000}">
      <text>
        <r>
          <rPr>
            <sz val="9"/>
            <color indexed="81"/>
            <rFont val="Tahoma"/>
            <family val="2"/>
          </rPr>
          <t xml:space="preserve">0.25 - 0.80 according to Johanna Altenstedt and Karin Pleijel, IVL report B-1305 Göteborg, Sweden september 1998
</t>
        </r>
      </text>
    </comment>
    <comment ref="F125" authorId="0" shapeId="0" xr:uid="{0FC4A0C7-9686-45EF-88EA-5B093440EB80}">
      <text>
        <r>
          <rPr>
            <sz val="9"/>
            <color indexed="81"/>
            <rFont val="Tahoma"/>
            <family val="2"/>
          </rPr>
          <t>0.25 to 0.80 for European conditions according to 
Johanna Altenstedt and Karin Pleijel, IVL report B-1305
Göteborg, september 1998</t>
        </r>
      </text>
    </comment>
    <comment ref="G125" authorId="0" shapeId="0" xr:uid="{00000000-0006-0000-0A00-0000DC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5" authorId="0" shapeId="0" xr:uid="{5F53680B-BD72-4620-9313-8255AA6C9A6E}">
      <text>
        <r>
          <rPr>
            <sz val="9"/>
            <color indexed="81"/>
            <rFont val="Tahoma"/>
            <family val="2"/>
          </rPr>
          <t xml:space="preserve">PFP for different VOC is normlly between a few % and 20%
</t>
        </r>
      </text>
    </comment>
    <comment ref="C126" authorId="0" shapeId="0" xr:uid="{441A81E5-BF1B-4A5B-A541-5C5D4C072726}">
      <text>
        <r>
          <rPr>
            <sz val="9"/>
            <color indexed="81"/>
            <rFont val="Tahoma"/>
            <family val="2"/>
          </rPr>
          <t>Fry et al. Atmos. Chem. Phys., 14, 523–535, 2014
www.atmos-chem-phys.net/14/523/2014/</t>
        </r>
      </text>
    </comment>
    <comment ref="D126" authorId="0" shapeId="0" xr:uid="{0E72943F-2752-4E61-A28A-0B4D87D6DECD}">
      <text>
        <r>
          <rPr>
            <sz val="9"/>
            <color indexed="81"/>
            <rFont val="Tahoma"/>
            <family val="2"/>
          </rPr>
          <t>estmated from figure 5 Fry et al. DOI:10.5194/acp-14-523-2014</t>
        </r>
      </text>
    </comment>
    <comment ref="E126" authorId="0" shapeId="0" xr:uid="{00000000-0006-0000-0A00-0000DD000000}">
      <text>
        <r>
          <rPr>
            <sz val="9"/>
            <color indexed="81"/>
            <rFont val="Tahoma"/>
            <family val="2"/>
          </rPr>
          <t xml:space="preserve">0.42 - 0.56 according to Johanna Altenstedt and Karin Pleijel, IVL report B-1305 Göteborg, Sweden september 1998
</t>
        </r>
      </text>
    </comment>
    <comment ref="F126" authorId="0" shapeId="0" xr:uid="{9E10AE62-CD32-40F5-80B7-2A209A9DD0A0}">
      <text>
        <r>
          <rPr>
            <sz val="9"/>
            <color indexed="81"/>
            <rFont val="Tahoma"/>
            <family val="2"/>
          </rPr>
          <t>0.42 to 0.56 for European conditions according to 
Johanna Altenstedt and Karin Pleijel, IVL report B-1305
Göteborg, september 1998</t>
        </r>
      </text>
    </comment>
    <comment ref="G126" authorId="0" shapeId="0" xr:uid="{00000000-0006-0000-0A00-0000D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6" authorId="0" shapeId="0" xr:uid="{57BD91CB-96FA-48E7-90E5-A982F23CF7AF}">
      <text>
        <r>
          <rPr>
            <sz val="9"/>
            <color indexed="81"/>
            <rFont val="Tahoma"/>
            <family val="2"/>
          </rPr>
          <t xml:space="preserve">PFP for different VOC is normlly between a few % and 20%
</t>
        </r>
      </text>
    </comment>
    <comment ref="C127" authorId="0" shapeId="0" xr:uid="{43BAE769-82F1-445F-AA90-B1ACC81BD572}">
      <text>
        <r>
          <rPr>
            <sz val="9"/>
            <color indexed="81"/>
            <rFont val="Tahoma"/>
            <family val="2"/>
          </rPr>
          <t>Fry et al. Atmos. Chem. Phys., 14, 523–535, 2014
www.atmos-chem-phys.net/14/523/2014/</t>
        </r>
      </text>
    </comment>
    <comment ref="D127" authorId="0" shapeId="0" xr:uid="{1D9909D2-01E8-4BC1-8C6E-AFDFF028E415}">
      <text>
        <r>
          <rPr>
            <sz val="9"/>
            <color indexed="81"/>
            <rFont val="Tahoma"/>
            <family val="2"/>
          </rPr>
          <t>estmated from figure 5 Fry et al. DOI:10.5194/acp-14-523-2014</t>
        </r>
      </text>
    </comment>
    <comment ref="E127" authorId="0" shapeId="0" xr:uid="{00000000-0006-0000-0A00-0000DF000000}">
      <text>
        <r>
          <rPr>
            <sz val="9"/>
            <color indexed="81"/>
            <rFont val="Tahoma"/>
            <family val="2"/>
          </rPr>
          <t xml:space="preserve">Derwent et al. Atmospheric Environment Vol. 32, No. 14/15, pp. 2429Ð2441, 1998
</t>
        </r>
      </text>
    </comment>
    <comment ref="F127" authorId="0" shapeId="0" xr:uid="{011C09BD-8CF1-4455-AE28-676CA2B1F91B}">
      <text>
        <r>
          <rPr>
            <sz val="9"/>
            <color indexed="81"/>
            <rFont val="Tahoma"/>
            <family val="2"/>
          </rPr>
          <t xml:space="preserve">Only one trajectory were used 
</t>
        </r>
      </text>
    </comment>
    <comment ref="G127" authorId="0" shapeId="0" xr:uid="{00000000-0006-0000-0A00-0000E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7" authorId="0" shapeId="0" xr:uid="{60CB76E5-33AD-4F48-BB41-79BC0EC0670D}">
      <text>
        <r>
          <rPr>
            <sz val="9"/>
            <color indexed="81"/>
            <rFont val="Tahoma"/>
            <family val="2"/>
          </rPr>
          <t xml:space="preserve">PFP for different VOC is normlly between a few % and 20%
</t>
        </r>
      </text>
    </comment>
    <comment ref="C128" authorId="0" shapeId="0" xr:uid="{F53FE838-B18B-4BBC-81C9-3F46FD3E54F3}">
      <text>
        <r>
          <rPr>
            <sz val="9"/>
            <color indexed="81"/>
            <rFont val="Tahoma"/>
            <family val="2"/>
          </rPr>
          <t>Fry et al. Atmos. Chem. Phys., 14, 523–535, 2014
www.atmos-chem-phys.net/14/523/2014/</t>
        </r>
      </text>
    </comment>
    <comment ref="D128" authorId="0" shapeId="0" xr:uid="{F0701F2D-6E73-4660-840F-CFCECE05334B}">
      <text>
        <r>
          <rPr>
            <sz val="9"/>
            <color indexed="81"/>
            <rFont val="Tahoma"/>
            <family val="2"/>
          </rPr>
          <t>estmated from figure 5 Fry et al. DOI:10.5194/acp-14-523-2014</t>
        </r>
      </text>
    </comment>
    <comment ref="E128" authorId="0" shapeId="0" xr:uid="{00000000-0006-0000-0A00-0000E1000000}">
      <text>
        <r>
          <rPr>
            <sz val="9"/>
            <color indexed="81"/>
            <rFont val="Tahoma"/>
            <family val="2"/>
          </rPr>
          <t xml:space="preserve">Derwent et al. Atmospheric Environment Vol. 32, No. 14/15, pp. 2429Ð2441, 1998
</t>
        </r>
      </text>
    </comment>
    <comment ref="F128" authorId="0" shapeId="0" xr:uid="{99F60052-E9C4-4CCF-947C-BE06012BB0DD}">
      <text>
        <r>
          <rPr>
            <sz val="9"/>
            <color indexed="81"/>
            <rFont val="Tahoma"/>
            <family val="2"/>
          </rPr>
          <t xml:space="preserve">Only one trajectory were used 
</t>
        </r>
      </text>
    </comment>
    <comment ref="G128" authorId="0" shapeId="0" xr:uid="{00000000-0006-0000-0A00-0000E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8" authorId="0" shapeId="0" xr:uid="{5BA6F326-521F-49A3-B000-430A11BA9E1E}">
      <text>
        <r>
          <rPr>
            <sz val="9"/>
            <color indexed="81"/>
            <rFont val="Tahoma"/>
            <family val="2"/>
          </rPr>
          <t xml:space="preserve">PFP for different VOC is normlly between a few % and 20%
</t>
        </r>
      </text>
    </comment>
    <comment ref="A129" authorId="0" shapeId="0" xr:uid="{D89A7D23-52F9-496A-BCA0-8FCAA0C06F56}">
      <text>
        <r>
          <rPr>
            <sz val="9"/>
            <color indexed="81"/>
            <rFont val="Tahoma"/>
            <family val="2"/>
          </rPr>
          <t xml:space="preserve">(CH2=CHCH2)2O
</t>
        </r>
      </text>
    </comment>
    <comment ref="C129" authorId="0" shapeId="0" xr:uid="{3079F31B-415D-4119-8D11-76B515493B1F}">
      <text>
        <r>
          <rPr>
            <sz val="9"/>
            <color indexed="81"/>
            <rFont val="Tahoma"/>
            <family val="2"/>
          </rPr>
          <t>Fry et al. Atmos. Chem. Phys., 14, 523–535, 2014
www.atmos-chem-phys.net/14/523/2014/</t>
        </r>
      </text>
    </comment>
    <comment ref="D129" authorId="0" shapeId="0" xr:uid="{ED91DBF8-FF1D-4D66-B6FB-29C120A19E2F}">
      <text>
        <r>
          <rPr>
            <sz val="9"/>
            <color indexed="81"/>
            <rFont val="Tahoma"/>
            <family val="2"/>
          </rPr>
          <t>estmated from figure 5 Fry et al. DOI:10.5194/acp-14-523-2014</t>
        </r>
      </text>
    </comment>
    <comment ref="E129" authorId="0" shapeId="0" xr:uid="{2657C627-CAE1-40CA-8DCB-3F1D09670855}">
      <text>
        <r>
          <rPr>
            <sz val="9"/>
            <color indexed="81"/>
            <rFont val="Tahoma"/>
            <family val="2"/>
          </rPr>
          <t xml:space="preserve">Median POCP for VOC
</t>
        </r>
      </text>
    </comment>
    <comment ref="F129" authorId="0" shapeId="0" xr:uid="{CF316BEE-750C-4BF4-AAAE-C0DAFE1E5520}">
      <text>
        <r>
          <rPr>
            <sz val="9"/>
            <color indexed="81"/>
            <rFont val="Tahoma"/>
            <family val="2"/>
          </rPr>
          <t xml:space="preserve">standard deviation of POCPs for VOCs
</t>
        </r>
      </text>
    </comment>
    <comment ref="G129" authorId="0" shapeId="0" xr:uid="{BEEA7F86-4D98-470C-8481-AB1B8216823C}">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29" authorId="0" shapeId="0" xr:uid="{71CD2F68-C565-477F-9D1B-017D17450EB7}">
      <text>
        <r>
          <rPr>
            <sz val="9"/>
            <color indexed="81"/>
            <rFont val="Tahoma"/>
            <family val="2"/>
          </rPr>
          <t xml:space="preserve">PFP for different VOC is normlly between a few % and 20%
</t>
        </r>
      </text>
    </comment>
    <comment ref="A130" authorId="0" shapeId="0" xr:uid="{721B7BDF-457D-49B2-BC4B-08F7E8636F19}">
      <text>
        <r>
          <rPr>
            <sz val="9"/>
            <color indexed="81"/>
            <rFont val="Tahoma"/>
            <family val="2"/>
          </rPr>
          <t xml:space="preserve">CH3CH2OCH2CH=CH2
</t>
        </r>
      </text>
    </comment>
    <comment ref="C130" authorId="0" shapeId="0" xr:uid="{6237B8E3-C4A7-4824-B167-5FD71FDCE05C}">
      <text>
        <r>
          <rPr>
            <sz val="9"/>
            <color indexed="81"/>
            <rFont val="Tahoma"/>
            <family val="2"/>
          </rPr>
          <t>Fry et al. Atmos. Chem. Phys., 14, 523–535, 2014
www.atmos-chem-phys.net/14/523/2014/</t>
        </r>
      </text>
    </comment>
    <comment ref="D130" authorId="0" shapeId="0" xr:uid="{DFC9D62E-6789-4161-87B0-99A81E8786CB}">
      <text>
        <r>
          <rPr>
            <sz val="9"/>
            <color indexed="81"/>
            <rFont val="Tahoma"/>
            <family val="2"/>
          </rPr>
          <t>estmated from figure 5 Fry et al. DOI:10.5194/acp-14-523-2014</t>
        </r>
      </text>
    </comment>
    <comment ref="E130" authorId="0" shapeId="0" xr:uid="{AA1CFE62-7B48-46CF-8FE6-3DCF5C4E126F}">
      <text>
        <r>
          <rPr>
            <sz val="9"/>
            <color indexed="81"/>
            <rFont val="Tahoma"/>
            <family val="2"/>
          </rPr>
          <t xml:space="preserve">Median POCP for VOC
</t>
        </r>
      </text>
    </comment>
    <comment ref="F130" authorId="0" shapeId="0" xr:uid="{3D7FAD7B-1235-411B-A869-6A911A3C4188}">
      <text>
        <r>
          <rPr>
            <sz val="9"/>
            <color indexed="81"/>
            <rFont val="Tahoma"/>
            <family val="2"/>
          </rPr>
          <t xml:space="preserve">standard deviation of POCPs for VOCs
</t>
        </r>
      </text>
    </comment>
    <comment ref="G130" authorId="0" shapeId="0" xr:uid="{A268B403-E472-4ACC-A833-395389D76B5C}">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0" authorId="0" shapeId="0" xr:uid="{7E554680-A2EC-46A7-899D-223BB216853D}">
      <text>
        <r>
          <rPr>
            <sz val="9"/>
            <color indexed="81"/>
            <rFont val="Tahoma"/>
            <family val="2"/>
          </rPr>
          <t xml:space="preserve">PFP for different VOC is normlly between a few % and 20%
</t>
        </r>
      </text>
    </comment>
    <comment ref="C132" authorId="0" shapeId="0" xr:uid="{38B2632D-7273-4B31-AA66-CD66CBD61353}">
      <text>
        <r>
          <rPr>
            <sz val="9"/>
            <color indexed="81"/>
            <rFont val="Tahoma"/>
            <family val="2"/>
          </rPr>
          <t>Fry et al. Atmos. Chem. Phys., 14, 523–535, 2014
www.atmos-chem-phys.net/14/523/2014/</t>
        </r>
      </text>
    </comment>
    <comment ref="D132" authorId="0" shapeId="0" xr:uid="{9EFDB30E-7802-47F3-B30F-A67AE83F1915}">
      <text>
        <r>
          <rPr>
            <sz val="9"/>
            <color indexed="81"/>
            <rFont val="Tahoma"/>
            <family val="2"/>
          </rPr>
          <t>estmated from figure 5 Fry et al. DOI:10.5194/acp-14-523-2014</t>
        </r>
      </text>
    </comment>
    <comment ref="E132" authorId="0" shapeId="0" xr:uid="{00000000-0006-0000-0A00-0000E3000000}">
      <text>
        <r>
          <rPr>
            <sz val="9"/>
            <color indexed="81"/>
            <rFont val="Tahoma"/>
            <family val="2"/>
          </rPr>
          <t xml:space="preserve">Derwent et al. Atmospheric Environment Vol. 32, No. 14/15, pp. 2429Ð2441, 1998
</t>
        </r>
      </text>
    </comment>
    <comment ref="F132" authorId="0" shapeId="0" xr:uid="{ED3E51FA-7A17-4404-B0C9-358EF0B7F3AC}">
      <text>
        <r>
          <rPr>
            <sz val="9"/>
            <color indexed="81"/>
            <rFont val="Tahoma"/>
            <family val="2"/>
          </rPr>
          <t xml:space="preserve">Only one trajectory were used 
</t>
        </r>
      </text>
    </comment>
    <comment ref="G132" authorId="0" shapeId="0" xr:uid="{00000000-0006-0000-0A00-0000E4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2" authorId="0" shapeId="0" xr:uid="{57CD96F9-9B54-40DE-A503-5F6F735A3088}">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133" authorId="0" shapeId="0" xr:uid="{875EF1A4-240F-4A44-B42A-28D371A3A066}">
      <text>
        <r>
          <rPr>
            <sz val="9"/>
            <color indexed="81"/>
            <rFont val="Tahoma"/>
            <family val="2"/>
          </rPr>
          <t>Fry et al. Atmos. Chem. Phys., 14, 523–535, 2014
www.atmos-chem-phys.net/14/523/2014/</t>
        </r>
      </text>
    </comment>
    <comment ref="D133" authorId="0" shapeId="0" xr:uid="{71AE65CB-7AD0-436B-AA4B-691DAF07BBE4}">
      <text>
        <r>
          <rPr>
            <sz val="9"/>
            <color indexed="81"/>
            <rFont val="Tahoma"/>
            <family val="2"/>
          </rPr>
          <t>estmated from figure 5 Fry et al. DOI:10.5194/acp-14-523-2014</t>
        </r>
      </text>
    </comment>
    <comment ref="E133" authorId="0" shapeId="0" xr:uid="{00000000-0006-0000-0A00-0000E5000000}">
      <text>
        <r>
          <rPr>
            <sz val="9"/>
            <color indexed="81"/>
            <rFont val="Tahoma"/>
            <family val="2"/>
          </rPr>
          <t xml:space="preserve">Derwent et al. Atmospheric Environment Vol. 32, No. 14/15, pp. 2429Ð2441, 1998
</t>
        </r>
      </text>
    </comment>
    <comment ref="F133" authorId="0" shapeId="0" xr:uid="{E8981250-7C4A-4BDA-BE28-4496BA7E0132}">
      <text>
        <r>
          <rPr>
            <sz val="9"/>
            <color indexed="81"/>
            <rFont val="Tahoma"/>
            <family val="2"/>
          </rPr>
          <t xml:space="preserve">Only one trajectory were used 
</t>
        </r>
      </text>
    </comment>
    <comment ref="G133" authorId="0" shapeId="0" xr:uid="{00000000-0006-0000-0A00-0000E6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3" authorId="0" shapeId="0" xr:uid="{E88A539A-41C8-462D-AC83-1A58D6916F46}">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134" authorId="0" shapeId="0" xr:uid="{C60E4D4D-C930-44FB-A6D5-E789C6082F9C}">
      <text>
        <r>
          <rPr>
            <sz val="9"/>
            <color indexed="81"/>
            <rFont val="Tahoma"/>
            <family val="2"/>
          </rPr>
          <t>Fry et al. Atmos. Chem. Phys., 14, 523–535, 2014
www.atmos-chem-phys.net/14/523/2014/</t>
        </r>
      </text>
    </comment>
    <comment ref="D134" authorId="0" shapeId="0" xr:uid="{86D61E33-4B3F-4D2D-9D82-76C778264323}">
      <text>
        <r>
          <rPr>
            <sz val="9"/>
            <color indexed="81"/>
            <rFont val="Tahoma"/>
            <family val="2"/>
          </rPr>
          <t>estmated from figure 5 Fry et al. DOI:10.5194/acp-14-523-2014</t>
        </r>
      </text>
    </comment>
    <comment ref="E134" authorId="0" shapeId="0" xr:uid="{00000000-0006-0000-0A00-0000E7000000}">
      <text>
        <r>
          <rPr>
            <sz val="9"/>
            <color indexed="81"/>
            <rFont val="Tahoma"/>
            <family val="2"/>
          </rPr>
          <t xml:space="preserve">Derwent et al. Atmospheric Environment Vol. 32, No. 14/15, pp. 2429Ð2441, 1998
</t>
        </r>
      </text>
    </comment>
    <comment ref="F134" authorId="0" shapeId="0" xr:uid="{30BF6AD3-55CB-4BC6-A038-C256E34FF172}">
      <text>
        <r>
          <rPr>
            <sz val="9"/>
            <color indexed="81"/>
            <rFont val="Tahoma"/>
            <family val="2"/>
          </rPr>
          <t xml:space="preserve">Only one trajectory were used 
</t>
        </r>
      </text>
    </comment>
    <comment ref="G134" authorId="0" shapeId="0" xr:uid="{00000000-0006-0000-0A00-0000E8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4" authorId="0" shapeId="0" xr:uid="{1C73F1D2-F7DC-4984-8FB8-2012B554479E}">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135" authorId="0" shapeId="0" xr:uid="{C720283A-F041-40CB-9D22-7369ACA21D84}">
      <text>
        <r>
          <rPr>
            <sz val="9"/>
            <color indexed="81"/>
            <rFont val="Tahoma"/>
            <family val="2"/>
          </rPr>
          <t>Fry et al. Atmos. Chem. Phys., 14, 523–535, 2014
www.atmos-chem-phys.net/14/523/2014/</t>
        </r>
      </text>
    </comment>
    <comment ref="D135" authorId="0" shapeId="0" xr:uid="{975C1959-3E88-4886-9765-5F273FC8E74A}">
      <text>
        <r>
          <rPr>
            <sz val="9"/>
            <color indexed="81"/>
            <rFont val="Tahoma"/>
            <family val="2"/>
          </rPr>
          <t>estmated from figure 5 Fry et al. DOI:10.5194/acp-14-523-2014</t>
        </r>
      </text>
    </comment>
    <comment ref="E135" authorId="0" shapeId="0" xr:uid="{00000000-0006-0000-0A00-0000E9000000}">
      <text>
        <r>
          <rPr>
            <sz val="9"/>
            <color indexed="81"/>
            <rFont val="Tahoma"/>
            <family val="2"/>
          </rPr>
          <t xml:space="preserve">Derwent et al. Atmospheric Environment Vol. 32, No. 14/15, pp. 2429Ð2441, 1998
</t>
        </r>
      </text>
    </comment>
    <comment ref="F135" authorId="0" shapeId="0" xr:uid="{FEA0C82C-0930-4904-8A26-3E4379DCA056}">
      <text>
        <r>
          <rPr>
            <sz val="9"/>
            <color indexed="81"/>
            <rFont val="Tahoma"/>
            <family val="2"/>
          </rPr>
          <t xml:space="preserve">Only one trajectory were used 
</t>
        </r>
      </text>
    </comment>
    <comment ref="G135" authorId="0" shapeId="0" xr:uid="{00000000-0006-0000-0A00-0000EA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5" authorId="0" shapeId="0" xr:uid="{1E412058-22E0-462B-9B5C-526BCF6F56E6}">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136" authorId="0" shapeId="0" xr:uid="{55D0E0B7-8850-4F3F-A77C-81F797A793A9}">
      <text>
        <r>
          <rPr>
            <sz val="9"/>
            <color indexed="81"/>
            <rFont val="Tahoma"/>
            <family val="2"/>
          </rPr>
          <t>Fry et al. Atmos. Chem. Phys., 14, 523–535, 2014
www.atmos-chem-phys.net/14/523/2014/</t>
        </r>
      </text>
    </comment>
    <comment ref="D136" authorId="0" shapeId="0" xr:uid="{5BA78739-8DF3-4EC9-B476-137CCBE25668}">
      <text>
        <r>
          <rPr>
            <sz val="9"/>
            <color indexed="81"/>
            <rFont val="Tahoma"/>
            <family val="2"/>
          </rPr>
          <t>estmated from figure 5 Fry et al. DOI:10.5194/acp-14-523-2014</t>
        </r>
      </text>
    </comment>
    <comment ref="E136" authorId="0" shapeId="0" xr:uid="{00000000-0006-0000-0A00-0000EB000000}">
      <text>
        <r>
          <rPr>
            <sz val="9"/>
            <color indexed="81"/>
            <rFont val="Tahoma"/>
            <family val="2"/>
          </rPr>
          <t xml:space="preserve">Derwent et al. Atmospheric Environment Vol. 32, No. 14/15, pp. 2429Ð2441, 1998
</t>
        </r>
      </text>
    </comment>
    <comment ref="F136" authorId="0" shapeId="0" xr:uid="{75FF14EE-FC46-4FBC-B02A-1BD582114E38}">
      <text>
        <r>
          <rPr>
            <sz val="9"/>
            <color indexed="81"/>
            <rFont val="Tahoma"/>
            <family val="2"/>
          </rPr>
          <t xml:space="preserve">Only one trajectory were used 
</t>
        </r>
      </text>
    </comment>
    <comment ref="G136" authorId="0" shapeId="0" xr:uid="{00000000-0006-0000-0A00-0000EC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6" authorId="0" shapeId="0" xr:uid="{D3E3A37B-5923-484D-A43B-58AD5099EEC2}">
      <text>
        <r>
          <rPr>
            <sz val="9"/>
            <color indexed="81"/>
            <rFont val="Tahoma"/>
            <family val="2"/>
          </rPr>
          <t xml:space="preserve">Discussion on sources of uncertainty in Henze, D.K. et al., Global modelling of secondary aerosol formation from aromatic 
hydrocarbons: high- vs. low-yield pathways. Atmospheric Chemistry and Physics, 2008. 
8: 2405–2421
</t>
        </r>
      </text>
    </comment>
    <comment ref="C138" authorId="0" shapeId="0" xr:uid="{F5E61C16-A070-44F4-82EF-AA389FD485AF}">
      <text>
        <r>
          <rPr>
            <sz val="9"/>
            <color indexed="81"/>
            <rFont val="Tahoma"/>
            <family val="2"/>
          </rPr>
          <t>Fry et al. Atmos. Chem. Phys., 14, 523–535, 2014
www.atmos-chem-phys.net/14/523/2014/</t>
        </r>
      </text>
    </comment>
    <comment ref="D138" authorId="0" shapeId="0" xr:uid="{B4AD638E-2AE7-488A-BD42-F61074CE382A}">
      <text>
        <r>
          <rPr>
            <sz val="9"/>
            <color indexed="81"/>
            <rFont val="Tahoma"/>
            <family val="2"/>
          </rPr>
          <t>estmated from figure 5 Fry et al. DOI:10.5194/acp-14-523-2014</t>
        </r>
      </text>
    </comment>
    <comment ref="E138" authorId="0" shapeId="0" xr:uid="{00000000-0006-0000-0A00-0000ED000000}">
      <text>
        <r>
          <rPr>
            <sz val="9"/>
            <color indexed="81"/>
            <rFont val="Tahoma"/>
            <family val="2"/>
          </rPr>
          <t xml:space="preserve">Derwent et al. Atmospheric Environment Vol. 32, No. 14/15, pp. 2429Ð2441, 1998
</t>
        </r>
      </text>
    </comment>
    <comment ref="F138" authorId="0" shapeId="0" xr:uid="{B5363AFC-BD90-4E62-B239-1EEB25082774}">
      <text>
        <r>
          <rPr>
            <sz val="9"/>
            <color indexed="81"/>
            <rFont val="Tahoma"/>
            <family val="2"/>
          </rPr>
          <t xml:space="preserve">Only one trajectory were used 
</t>
        </r>
      </text>
    </comment>
    <comment ref="G138" authorId="0" shapeId="0" xr:uid="{00000000-0006-0000-0A00-0000EE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8" authorId="0" shapeId="0" xr:uid="{A08D0E3D-12B6-4A49-8E8F-CA3354C93D8F}">
      <text>
        <r>
          <rPr>
            <sz val="9"/>
            <color indexed="81"/>
            <rFont val="Tahoma"/>
            <family val="2"/>
          </rPr>
          <t xml:space="preserve">PFP for different VOC is normlly between a few % and 20%
</t>
        </r>
      </text>
    </comment>
    <comment ref="C139" authorId="0" shapeId="0" xr:uid="{86ABA3B9-74CA-420E-9D95-0DD2116505B0}">
      <text>
        <r>
          <rPr>
            <sz val="9"/>
            <color indexed="81"/>
            <rFont val="Tahoma"/>
            <family val="2"/>
          </rPr>
          <t>Fry et al. Atmos. Chem. Phys., 14, 523–535, 2014
www.atmos-chem-phys.net/14/523/2014/</t>
        </r>
      </text>
    </comment>
    <comment ref="D139" authorId="0" shapeId="0" xr:uid="{60E5DBEA-812F-479E-81D9-C9D1D0002C27}">
      <text>
        <r>
          <rPr>
            <sz val="9"/>
            <color indexed="81"/>
            <rFont val="Tahoma"/>
            <family val="2"/>
          </rPr>
          <t>estmated from figure 5 Fry et al. DOI:10.5194/acp-14-523-2014</t>
        </r>
      </text>
    </comment>
    <comment ref="E139" authorId="0" shapeId="0" xr:uid="{00000000-0006-0000-0A00-0000EF000000}">
      <text>
        <r>
          <rPr>
            <sz val="9"/>
            <color indexed="81"/>
            <rFont val="Tahoma"/>
            <family val="2"/>
          </rPr>
          <t xml:space="preserve">0.11 - 0.20 according to Johanna Altenstedt and Karin Pleijel, IVL report B-1305 Göteborg, Sweden september 1998
</t>
        </r>
      </text>
    </comment>
    <comment ref="F139" authorId="0" shapeId="0" xr:uid="{BD4BFB62-984C-4439-BCDA-DA23FB504A1F}">
      <text>
        <r>
          <rPr>
            <sz val="9"/>
            <color indexed="81"/>
            <rFont val="Tahoma"/>
            <family val="2"/>
          </rPr>
          <t>0.11 to 0.20 for European conditions according to 
Johanna Altenstedt and Karin Pleijel, IVL report B-1305
Göteborg, september 1998</t>
        </r>
      </text>
    </comment>
    <comment ref="G139" authorId="0" shapeId="0" xr:uid="{00000000-0006-0000-0A00-0000F0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39" authorId="0" shapeId="0" xr:uid="{2E8ECE71-5968-4422-BD11-7000CE2FBC14}">
      <text>
        <r>
          <rPr>
            <sz val="9"/>
            <color indexed="81"/>
            <rFont val="Tahoma"/>
            <family val="2"/>
          </rPr>
          <t xml:space="preserve">PFP for different VOC is normlly between a few % and 20%
</t>
        </r>
      </text>
    </comment>
    <comment ref="C140" authorId="0" shapeId="0" xr:uid="{CFC93A60-33B2-4B2C-8AA9-BB8003CD755C}">
      <text>
        <r>
          <rPr>
            <sz val="9"/>
            <color indexed="81"/>
            <rFont val="Tahoma"/>
            <family val="2"/>
          </rPr>
          <t>Fry et al. Atmos. Chem. Phys., 14, 523–535, 2014
www.atmos-chem-phys.net/14/523/2014/</t>
        </r>
      </text>
    </comment>
    <comment ref="D140" authorId="0" shapeId="0" xr:uid="{7AF27959-F465-4482-AC5B-65CAB3D38F55}">
      <text>
        <r>
          <rPr>
            <sz val="9"/>
            <color indexed="81"/>
            <rFont val="Tahoma"/>
            <family val="2"/>
          </rPr>
          <t>estmated from figure 5 Fry et al. DOI:10.5194/acp-14-523-2014</t>
        </r>
      </text>
    </comment>
    <comment ref="E140" authorId="0" shapeId="0" xr:uid="{00000000-0006-0000-0A00-0000F1000000}">
      <text>
        <r>
          <rPr>
            <sz val="9"/>
            <color indexed="81"/>
            <rFont val="Tahoma"/>
            <family val="2"/>
          </rPr>
          <t xml:space="preserve">Derwent et al. Atmospheric Environment Vol. 32, No. 14/15, pp. 2429Ð2441, 1998
</t>
        </r>
      </text>
    </comment>
    <comment ref="F140" authorId="0" shapeId="0" xr:uid="{707F4712-8E3A-4823-899A-66674787E40A}">
      <text>
        <r>
          <rPr>
            <sz val="9"/>
            <color indexed="81"/>
            <rFont val="Tahoma"/>
            <family val="2"/>
          </rPr>
          <t xml:space="preserve">Only one trajectory were used 
</t>
        </r>
      </text>
    </comment>
    <comment ref="G140" authorId="0" shapeId="0" xr:uid="{00000000-0006-0000-0A00-0000F200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0" authorId="0" shapeId="0" xr:uid="{58953A1A-B868-4804-B4E1-23FF9F6B509F}">
      <text>
        <r>
          <rPr>
            <sz val="9"/>
            <color indexed="81"/>
            <rFont val="Tahoma"/>
            <family val="2"/>
          </rPr>
          <t xml:space="preserve">PFP for different VOC is normlly between a few % and 20%
</t>
        </r>
      </text>
    </comment>
    <comment ref="A142" authorId="0" shapeId="0" xr:uid="{67929C7C-8608-421A-B4C3-2BF889858043}">
      <text>
        <r>
          <rPr>
            <sz val="9"/>
            <color indexed="81"/>
            <rFont val="Tahoma"/>
            <family val="2"/>
          </rPr>
          <t xml:space="preserve">α-pinen, β-caren etc.
</t>
        </r>
      </text>
    </comment>
    <comment ref="C142" authorId="0" shapeId="0" xr:uid="{C065FC54-F019-4484-B4FF-3CD7C5131935}">
      <text>
        <r>
          <rPr>
            <sz val="9"/>
            <color indexed="81"/>
            <rFont val="Tahoma"/>
            <family val="2"/>
          </rPr>
          <t>Fry et al. Atmos. Chem. Phys., 14, 523–535, 2014
www.atmos-chem-phys.net/14/523/2014/</t>
        </r>
      </text>
    </comment>
    <comment ref="D142" authorId="0" shapeId="0" xr:uid="{789423F8-FAFE-4E9E-8BC5-299CAC4D3006}">
      <text>
        <r>
          <rPr>
            <sz val="9"/>
            <color indexed="81"/>
            <rFont val="Tahoma"/>
            <family val="2"/>
          </rPr>
          <t>estmated from figure 5 Fry et al. DOI:10.5194/acp-14-523-2014</t>
        </r>
      </text>
    </comment>
    <comment ref="E142" authorId="0" shapeId="0" xr:uid="{39333C51-4034-43FA-8B5A-C59867E0A797}">
      <text>
        <r>
          <rPr>
            <sz val="9"/>
            <color indexed="81"/>
            <rFont val="Tahoma"/>
            <family val="2"/>
          </rPr>
          <t xml:space="preserve">Assumed to be the same as for isoprene
</t>
        </r>
      </text>
    </comment>
    <comment ref="F142" authorId="0" shapeId="0" xr:uid="{37622358-34F9-4E7D-A4A3-875BADF6F16E}">
      <text>
        <r>
          <rPr>
            <sz val="9"/>
            <color indexed="81"/>
            <rFont val="Tahoma"/>
            <family val="2"/>
          </rPr>
          <t xml:space="preserve">Assumed to be similar but somewhat higher than for isoprene
</t>
        </r>
      </text>
    </comment>
    <comment ref="G142" authorId="0" shapeId="0" xr:uid="{D7566B82-21C5-4101-A332-B790F3D7C8A3}">
      <text>
        <r>
          <rPr>
            <sz val="9"/>
            <color indexed="81"/>
            <rFont val="Tahoma"/>
            <family val="2"/>
          </rPr>
          <t xml:space="preserve">Henze, D.K. et al., Global modelling of secondary aerosol formation from aromatic 
hydrocarbons: high- vs. low-yield pathways. Atmospheric Chemistry and Physics, 2008. 
8: 2405–2421
</t>
        </r>
      </text>
    </comment>
    <comment ref="H142" authorId="0" shapeId="0" xr:uid="{00F27F5A-E3CB-4BE1-995C-1EE28711A79D}">
      <text>
        <r>
          <rPr>
            <sz val="9"/>
            <color indexed="81"/>
            <rFont val="Tahoma"/>
            <family val="2"/>
          </rPr>
          <t xml:space="preserve">PFP for different VOC is normlly between a few % and 20%
</t>
        </r>
      </text>
    </comment>
    <comment ref="C143" authorId="0" shapeId="0" xr:uid="{817A787F-4683-4EBF-8F04-8FA3D5D41CF8}">
      <text>
        <r>
          <rPr>
            <sz val="9"/>
            <color indexed="81"/>
            <rFont val="Tahoma"/>
            <family val="2"/>
          </rPr>
          <t>Fry et al. Atmos. Chem. Phys., 14, 523–535, 2014
www.atmos-chem-phys.net/14/523/2014/</t>
        </r>
      </text>
    </comment>
    <comment ref="D143" authorId="0" shapeId="0" xr:uid="{649625DD-5FC1-493F-BD3F-9B01FF7C1606}">
      <text>
        <r>
          <rPr>
            <sz val="9"/>
            <color indexed="81"/>
            <rFont val="Tahoma"/>
            <family val="2"/>
          </rPr>
          <t>estmated from figure 5 Fry et al. DOI:10.5194/acp-14-523-2014</t>
        </r>
      </text>
    </comment>
    <comment ref="E143" authorId="0" shapeId="0" xr:uid="{00000000-0006-0000-0A00-00000F010000}">
      <text>
        <r>
          <rPr>
            <sz val="9"/>
            <color indexed="81"/>
            <rFont val="Tahoma"/>
            <family val="2"/>
          </rPr>
          <t xml:space="preserve">0.60 - 0.64 according to Johanna Altenstedt and Karin Pleijel, IVL report B-1305 Göteborg, Sweden september 1998
</t>
        </r>
      </text>
    </comment>
    <comment ref="G143" authorId="0" shapeId="0" xr:uid="{00000000-0006-0000-0A00-00001001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3" authorId="0" shapeId="0" xr:uid="{38C923E8-CB70-4954-96A6-E252CB2CF6EC}">
      <text>
        <r>
          <rPr>
            <sz val="9"/>
            <color indexed="81"/>
            <rFont val="Tahoma"/>
            <family val="2"/>
          </rPr>
          <t xml:space="preserve">PFP for different VOC is normlly between a few % and 20%
</t>
        </r>
      </text>
    </comment>
    <comment ref="C144" authorId="0" shapeId="0" xr:uid="{EA89ED9C-9A89-4699-9387-8B3F56F4EB9F}">
      <text>
        <r>
          <rPr>
            <sz val="9"/>
            <color indexed="81"/>
            <rFont val="Tahoma"/>
            <family val="2"/>
          </rPr>
          <t>Fry et al. Atmos. Chem. Phys., 14, 523–535, 2014
www.atmos-chem-phys.net/14/523/2014/</t>
        </r>
      </text>
    </comment>
    <comment ref="D144" authorId="0" shapeId="0" xr:uid="{6F558D09-B617-449B-8EC4-780581106985}">
      <text>
        <r>
          <rPr>
            <sz val="9"/>
            <color indexed="81"/>
            <rFont val="Tahoma"/>
            <family val="2"/>
          </rPr>
          <t>estmated from figure 5 Fry et al. DOI:10.5194/acp-14-523-2014</t>
        </r>
      </text>
    </comment>
    <comment ref="E144" authorId="0" shapeId="0" xr:uid="{00000000-0006-0000-0A00-000011010000}">
      <text>
        <r>
          <rPr>
            <sz val="9"/>
            <color indexed="81"/>
            <rFont val="Tahoma"/>
            <family val="2"/>
          </rPr>
          <t xml:space="preserve">0.50 - 0.74 according to Johanna Altenstedt and Karin Pleijel, IVL report B-1305 Göteborg, Sweden september 1998
</t>
        </r>
      </text>
    </comment>
    <comment ref="G144" authorId="0" shapeId="0" xr:uid="{00000000-0006-0000-0A00-00001201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4" authorId="0" shapeId="0" xr:uid="{C0988079-05E9-42E6-B293-3827772B89C9}">
      <text>
        <r>
          <rPr>
            <sz val="9"/>
            <color indexed="81"/>
            <rFont val="Tahoma"/>
            <family val="2"/>
          </rPr>
          <t xml:space="preserve">PFP for different VOC is normlly between a few % and 20%
</t>
        </r>
      </text>
    </comment>
    <comment ref="C145" authorId="0" shapeId="0" xr:uid="{8499DAEC-464E-4317-BDAD-613858202975}">
      <text>
        <r>
          <rPr>
            <sz val="9"/>
            <color indexed="81"/>
            <rFont val="Tahoma"/>
            <family val="2"/>
          </rPr>
          <t>Fry et al. Atmos. Chem. Phys., 14, 523–535, 2014
www.atmos-chem-phys.net/14/523/2014/</t>
        </r>
      </text>
    </comment>
    <comment ref="D145" authorId="0" shapeId="0" xr:uid="{E813DD68-DE41-40E1-B9CB-F33BE9BE5CD6}">
      <text>
        <r>
          <rPr>
            <sz val="9"/>
            <color indexed="81"/>
            <rFont val="Tahoma"/>
            <family val="2"/>
          </rPr>
          <t>estmated from figure 5 Fry et al. DOI:10.5194/acp-14-523-2014</t>
        </r>
      </text>
    </comment>
    <comment ref="E145" authorId="0" shapeId="0" xr:uid="{00000000-0006-0000-0A00-000013010000}">
      <text>
        <r>
          <rPr>
            <sz val="9"/>
            <color indexed="81"/>
            <rFont val="Tahoma"/>
            <family val="2"/>
          </rPr>
          <t xml:space="preserve">0.34 - 0.38 according to Johanna Altenstedt and Karin Pleijel, IVL report B-1305 Göteborg, Sweden september 1998
</t>
        </r>
      </text>
    </comment>
    <comment ref="G145" authorId="0" shapeId="0" xr:uid="{00000000-0006-0000-0A00-00001401000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5" authorId="0" shapeId="0" xr:uid="{0B5C65F4-175C-4B77-8704-514661472335}">
      <text>
        <r>
          <rPr>
            <sz val="9"/>
            <color indexed="81"/>
            <rFont val="Tahoma"/>
            <family val="2"/>
          </rPr>
          <t xml:space="preserve">PFP for different VOC is normlly between a few % and 20%
</t>
        </r>
      </text>
    </comment>
    <comment ref="A146" authorId="0" shapeId="0" xr:uid="{37123603-F72A-41B1-B07D-C8562EEC6568}">
      <text>
        <r>
          <rPr>
            <sz val="9"/>
            <color indexed="81"/>
            <rFont val="Tahoma"/>
            <family val="2"/>
          </rPr>
          <t xml:space="preserve">CH2=CHCH2CN
</t>
        </r>
      </text>
    </comment>
    <comment ref="C146" authorId="0" shapeId="0" xr:uid="{64902A8D-B7BA-4723-A0A2-BADB5FB29C16}">
      <text>
        <r>
          <rPr>
            <sz val="9"/>
            <color indexed="81"/>
            <rFont val="Tahoma"/>
            <family val="2"/>
          </rPr>
          <t>IPCC, AR6, Table 7, SM7
N.b only for direct radiative forcing</t>
        </r>
      </text>
    </comment>
    <comment ref="D146" authorId="0" shapeId="0" xr:uid="{702863BE-3535-431C-A4A6-635D815EDBFA}">
      <text>
        <r>
          <rPr>
            <sz val="9"/>
            <color indexed="81"/>
            <rFont val="Tahoma"/>
            <family val="2"/>
          </rPr>
          <t>based on IPCC AR6 WG1 
table 7.SM.8-13</t>
        </r>
      </text>
    </comment>
    <comment ref="E146" authorId="0" shapeId="0" xr:uid="{0C5844A2-C82E-4BDE-BF4E-913CF8D1959F}">
      <text>
        <r>
          <rPr>
            <sz val="9"/>
            <color indexed="81"/>
            <rFont val="Tahoma"/>
            <family val="2"/>
          </rPr>
          <t xml:space="preserve">Median POCP for VOC
</t>
        </r>
      </text>
    </comment>
    <comment ref="F146" authorId="0" shapeId="0" xr:uid="{4A8C3644-45EA-4D39-93F2-5046E469F8D0}">
      <text>
        <r>
          <rPr>
            <sz val="9"/>
            <color indexed="81"/>
            <rFont val="Tahoma"/>
            <family val="2"/>
          </rPr>
          <t xml:space="preserve">standard deviation of POCPs for VOCs
</t>
        </r>
      </text>
    </comment>
    <comment ref="G146" authorId="0" shapeId="0" xr:uid="{A20D1C6E-8048-4FA2-A9E4-D0E37E9EF114}">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6" authorId="0" shapeId="0" xr:uid="{70FEE3EC-BBCF-4082-A44A-061E1F0273C5}">
      <text>
        <r>
          <rPr>
            <sz val="9"/>
            <color indexed="81"/>
            <rFont val="Tahoma"/>
            <family val="2"/>
          </rPr>
          <t xml:space="preserve">PFP for different VOC is normlly between a few % and 20%
</t>
        </r>
      </text>
    </comment>
    <comment ref="A147" authorId="0" shapeId="0" xr:uid="{3781ABE7-4462-4DD5-BEAC-0ADD4B125C98}">
      <text>
        <r>
          <rPr>
            <sz val="9"/>
            <color indexed="81"/>
            <rFont val="Tahoma"/>
            <family val="2"/>
          </rPr>
          <t xml:space="preserve">C6H18OSi2
</t>
        </r>
      </text>
    </comment>
    <comment ref="C147" authorId="0" shapeId="0" xr:uid="{22AD264D-DDB1-4A0A-8637-B1C8FCC02BD1}">
      <text>
        <r>
          <rPr>
            <sz val="9"/>
            <color indexed="81"/>
            <rFont val="Tahoma"/>
            <family val="2"/>
          </rPr>
          <t>IPCC, AR6, Table 7, SM7
N.b only for direct radiative forcing</t>
        </r>
      </text>
    </comment>
    <comment ref="D147" authorId="0" shapeId="0" xr:uid="{7791C887-A856-46BD-A35E-A0F9B1CF0CA3}">
      <text>
        <r>
          <rPr>
            <sz val="9"/>
            <color indexed="81"/>
            <rFont val="Tahoma"/>
            <family val="2"/>
          </rPr>
          <t>based on IPCC AR6 WG1 
table 7.SM.8-13</t>
        </r>
      </text>
    </comment>
    <comment ref="E147" authorId="0" shapeId="0" xr:uid="{272217C4-03A4-4E92-AEC7-151FFB2C6586}">
      <text>
        <r>
          <rPr>
            <sz val="9"/>
            <color indexed="81"/>
            <rFont val="Tahoma"/>
            <family val="2"/>
          </rPr>
          <t xml:space="preserve">Median POCP for VOC
</t>
        </r>
      </text>
    </comment>
    <comment ref="F147" authorId="0" shapeId="0" xr:uid="{B6CA70A3-8F65-405F-ADF5-FF6C2043CEDF}">
      <text>
        <r>
          <rPr>
            <sz val="9"/>
            <color indexed="81"/>
            <rFont val="Tahoma"/>
            <family val="2"/>
          </rPr>
          <t xml:space="preserve">standard deviation of POCPs for VOCs
</t>
        </r>
      </text>
    </comment>
    <comment ref="G147" authorId="0" shapeId="0" xr:uid="{BC46CCF2-3892-467B-990C-F95553B74EFB}">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7" authorId="0" shapeId="0" xr:uid="{C682E7D6-2B19-4000-8314-111AAAE0B083}">
      <text>
        <r>
          <rPr>
            <sz val="9"/>
            <color indexed="81"/>
            <rFont val="Tahoma"/>
            <family val="2"/>
          </rPr>
          <t xml:space="preserve">PFP for different VOC is normlly between a few % and 20%
</t>
        </r>
      </text>
    </comment>
    <comment ref="A148" authorId="0" shapeId="0" xr:uid="{484322CA-3171-415E-9DB6-0E3FCA64A4C0}">
      <text>
        <r>
          <rPr>
            <sz val="9"/>
            <color indexed="81"/>
            <rFont val="Tahoma"/>
            <family val="2"/>
          </rPr>
          <t xml:space="preserve">C8H24O2Si3
</t>
        </r>
      </text>
    </comment>
    <comment ref="C148" authorId="0" shapeId="0" xr:uid="{0FDAC5FC-0EB4-4E49-8635-C35DF228D484}">
      <text>
        <r>
          <rPr>
            <sz val="9"/>
            <color indexed="81"/>
            <rFont val="Tahoma"/>
            <family val="2"/>
          </rPr>
          <t>IPCC, AR6, Table 7, SM7
N.b only for direct radiative forcing</t>
        </r>
      </text>
    </comment>
    <comment ref="D148" authorId="0" shapeId="0" xr:uid="{6F7079A7-0BA4-4E8E-91A0-6D575C56FDD1}">
      <text>
        <r>
          <rPr>
            <sz val="9"/>
            <color indexed="81"/>
            <rFont val="Tahoma"/>
            <family val="2"/>
          </rPr>
          <t>based on IPCC AR6 WG1 
table 7.SM.8-13</t>
        </r>
      </text>
    </comment>
    <comment ref="E148" authorId="0" shapeId="0" xr:uid="{3F59EC2E-2705-47E0-A3EC-563D00819071}">
      <text>
        <r>
          <rPr>
            <sz val="9"/>
            <color indexed="81"/>
            <rFont val="Tahoma"/>
            <family val="2"/>
          </rPr>
          <t xml:space="preserve">Median POCP for VOC
</t>
        </r>
      </text>
    </comment>
    <comment ref="F148" authorId="0" shapeId="0" xr:uid="{3156A2A5-1551-49FC-83B3-15D7BCFBB26B}">
      <text>
        <r>
          <rPr>
            <sz val="9"/>
            <color indexed="81"/>
            <rFont val="Tahoma"/>
            <family val="2"/>
          </rPr>
          <t xml:space="preserve">standard deviation of POCPs for VOCs
</t>
        </r>
      </text>
    </comment>
    <comment ref="G148" authorId="0" shapeId="0" xr:uid="{B809BF40-AD78-469E-A453-61C31B493C69}">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8" authorId="0" shapeId="0" xr:uid="{A76F302B-BC7A-479A-97A5-6CF2532C16AD}">
      <text>
        <r>
          <rPr>
            <sz val="9"/>
            <color indexed="81"/>
            <rFont val="Tahoma"/>
            <family val="2"/>
          </rPr>
          <t xml:space="preserve">PFP for different VOC is normlly between a few % and 20%
</t>
        </r>
      </text>
    </comment>
    <comment ref="A149" authorId="0" shapeId="0" xr:uid="{DFDEBC42-3031-4F79-9078-58EF7A663059}">
      <text>
        <r>
          <rPr>
            <sz val="9"/>
            <color indexed="81"/>
            <rFont val="Tahoma"/>
            <family val="2"/>
          </rPr>
          <t xml:space="preserve">C10H30O3Si4
</t>
        </r>
      </text>
    </comment>
    <comment ref="C149" authorId="0" shapeId="0" xr:uid="{3EE29A3F-10AF-408E-B368-4C0872667307}">
      <text>
        <r>
          <rPr>
            <sz val="9"/>
            <color indexed="81"/>
            <rFont val="Tahoma"/>
            <family val="2"/>
          </rPr>
          <t>IPCC, AR6, Table 7, SM7
N.b only for direct radiative forcing</t>
        </r>
      </text>
    </comment>
    <comment ref="D149" authorId="0" shapeId="0" xr:uid="{8CD105FC-C2CD-43F3-82F6-5E6CD571D65F}">
      <text>
        <r>
          <rPr>
            <sz val="9"/>
            <color indexed="81"/>
            <rFont val="Tahoma"/>
            <family val="2"/>
          </rPr>
          <t>based on IPCC AR6 WG1 
table 7.SM.8-13</t>
        </r>
      </text>
    </comment>
    <comment ref="E149" authorId="0" shapeId="0" xr:uid="{F1C0F62B-14C0-41BB-A66D-DF7245C7F96C}">
      <text>
        <r>
          <rPr>
            <sz val="9"/>
            <color indexed="81"/>
            <rFont val="Tahoma"/>
            <family val="2"/>
          </rPr>
          <t xml:space="preserve">Median POCP for VOC
</t>
        </r>
      </text>
    </comment>
    <comment ref="F149" authorId="0" shapeId="0" xr:uid="{49990ADB-0034-4921-9495-0A0AC447C4F3}">
      <text>
        <r>
          <rPr>
            <sz val="9"/>
            <color indexed="81"/>
            <rFont val="Tahoma"/>
            <family val="2"/>
          </rPr>
          <t xml:space="preserve">standard deviation of POCPs for VOCs
</t>
        </r>
      </text>
    </comment>
    <comment ref="G149" authorId="0" shapeId="0" xr:uid="{7B37C5AD-9714-4970-AF5F-8C6AF92D7580}">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49" authorId="0" shapeId="0" xr:uid="{B6597664-9AA2-4323-9136-DB805B348012}">
      <text>
        <r>
          <rPr>
            <sz val="9"/>
            <color indexed="81"/>
            <rFont val="Tahoma"/>
            <family val="2"/>
          </rPr>
          <t xml:space="preserve">PFP for different VOC is normlly between a few % and 20%
</t>
        </r>
      </text>
    </comment>
    <comment ref="A150" authorId="0" shapeId="0" xr:uid="{5F40A016-5A55-4BFE-BB27-3511FDA82440}">
      <text>
        <r>
          <rPr>
            <sz val="9"/>
            <color indexed="81"/>
            <rFont val="Tahoma"/>
            <family val="2"/>
          </rPr>
          <t xml:space="preserve">C12H36O4Si5
</t>
        </r>
      </text>
    </comment>
    <comment ref="C150" authorId="0" shapeId="0" xr:uid="{EEB9E2B3-F040-4528-A212-CD7283669BEF}">
      <text>
        <r>
          <rPr>
            <sz val="9"/>
            <color indexed="81"/>
            <rFont val="Tahoma"/>
            <family val="2"/>
          </rPr>
          <t>IPCC, AR6, Table 7, SM7
N.b only for direct radiative forcing</t>
        </r>
      </text>
    </comment>
    <comment ref="D150" authorId="0" shapeId="0" xr:uid="{E1F54339-5278-458C-9BFF-088289E40985}">
      <text>
        <r>
          <rPr>
            <sz val="9"/>
            <color indexed="81"/>
            <rFont val="Tahoma"/>
            <family val="2"/>
          </rPr>
          <t>based on IPCC AR6 WG1 
table 7.SM.8-13</t>
        </r>
      </text>
    </comment>
    <comment ref="E150" authorId="0" shapeId="0" xr:uid="{103530FF-B717-4126-8AA4-CA64EF9A1E7A}">
      <text>
        <r>
          <rPr>
            <sz val="9"/>
            <color indexed="81"/>
            <rFont val="Tahoma"/>
            <family val="2"/>
          </rPr>
          <t xml:space="preserve">Median POCP for VOC
</t>
        </r>
      </text>
    </comment>
    <comment ref="F150" authorId="0" shapeId="0" xr:uid="{3CEAA986-A9A5-40FC-8FE7-341F34F40B6A}">
      <text>
        <r>
          <rPr>
            <sz val="9"/>
            <color indexed="81"/>
            <rFont val="Tahoma"/>
            <family val="2"/>
          </rPr>
          <t xml:space="preserve">standard deviation of POCPs for VOCs
</t>
        </r>
      </text>
    </comment>
    <comment ref="G150" authorId="0" shapeId="0" xr:uid="{36F4B686-489B-4ABB-ABDC-B32D0779DAA1}">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50" authorId="0" shapeId="0" xr:uid="{2C98DE01-E4F0-4FF9-A77B-257BB0CC7331}">
      <text>
        <r>
          <rPr>
            <sz val="9"/>
            <color indexed="81"/>
            <rFont val="Tahoma"/>
            <family val="2"/>
          </rPr>
          <t xml:space="preserve">PFP for different VOC is normlly between a few % and 20%
</t>
        </r>
      </text>
    </comment>
    <comment ref="A151" authorId="0" shapeId="0" xr:uid="{085F4A6E-144B-4374-89E2-DD4A57E82B5F}">
      <text>
        <r>
          <rPr>
            <sz val="9"/>
            <color indexed="81"/>
            <rFont val="Tahoma"/>
            <family val="2"/>
          </rPr>
          <t xml:space="preserve">C6H18O3Si3
</t>
        </r>
      </text>
    </comment>
    <comment ref="C151" authorId="0" shapeId="0" xr:uid="{78EDF4BA-056F-4803-960A-2237AC1ED4F2}">
      <text>
        <r>
          <rPr>
            <sz val="9"/>
            <color indexed="81"/>
            <rFont val="Tahoma"/>
            <family val="2"/>
          </rPr>
          <t>IPCC, AR6, Table 7, SM7
N.b only for direct radiative forcing</t>
        </r>
      </text>
    </comment>
    <comment ref="D151" authorId="0" shapeId="0" xr:uid="{8A88D494-E9C8-44C7-A8FD-7045C0F837B8}">
      <text>
        <r>
          <rPr>
            <sz val="9"/>
            <color indexed="81"/>
            <rFont val="Tahoma"/>
            <family val="2"/>
          </rPr>
          <t>based on IPCC AR6 WG1 
table 7.SM.8-13</t>
        </r>
      </text>
    </comment>
    <comment ref="E151" authorId="0" shapeId="0" xr:uid="{E1CC9243-B8D2-4BC3-9880-2D017A0407C8}">
      <text>
        <r>
          <rPr>
            <sz val="9"/>
            <color indexed="81"/>
            <rFont val="Tahoma"/>
            <family val="2"/>
          </rPr>
          <t xml:space="preserve">Median POCP for VOC
</t>
        </r>
      </text>
    </comment>
    <comment ref="F151" authorId="0" shapeId="0" xr:uid="{414687F6-4312-46B6-B128-052AADC00B14}">
      <text>
        <r>
          <rPr>
            <sz val="9"/>
            <color indexed="81"/>
            <rFont val="Tahoma"/>
            <family val="2"/>
          </rPr>
          <t xml:space="preserve">standard deviation of POCPs for VOCs
</t>
        </r>
      </text>
    </comment>
    <comment ref="G151" authorId="0" shapeId="0" xr:uid="{AA77D9D6-0C08-48B6-A03C-4F7497957C59}">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51" authorId="0" shapeId="0" xr:uid="{7103967E-8865-409B-8910-7DBD0E08BE74}">
      <text>
        <r>
          <rPr>
            <sz val="9"/>
            <color indexed="81"/>
            <rFont val="Tahoma"/>
            <family val="2"/>
          </rPr>
          <t xml:space="preserve">PFP for different VOC is normlly between a few % and 20%
</t>
        </r>
      </text>
    </comment>
    <comment ref="A152" authorId="0" shapeId="0" xr:uid="{1FD11625-E0AB-44E0-B301-AECB84E097F5}">
      <text>
        <r>
          <rPr>
            <sz val="9"/>
            <color indexed="81"/>
            <rFont val="Tahoma"/>
            <family val="2"/>
          </rPr>
          <t>C8H24O4Si4</t>
        </r>
      </text>
    </comment>
    <comment ref="C152" authorId="0" shapeId="0" xr:uid="{00CDDAC9-D2CC-40D8-AD7F-86E445FC64E2}">
      <text>
        <r>
          <rPr>
            <sz val="9"/>
            <color indexed="81"/>
            <rFont val="Tahoma"/>
            <family val="2"/>
          </rPr>
          <t>IPCC, AR6, Table 7, SM7
N.b only for direct radiative forcing</t>
        </r>
      </text>
    </comment>
    <comment ref="D152" authorId="0" shapeId="0" xr:uid="{2151E88B-E6F2-4553-BDB8-B167A756EE46}">
      <text>
        <r>
          <rPr>
            <sz val="9"/>
            <color indexed="81"/>
            <rFont val="Tahoma"/>
            <family val="2"/>
          </rPr>
          <t>based on IPCC AR6 WG1 
table 7.SM.8-13</t>
        </r>
      </text>
    </comment>
    <comment ref="E152" authorId="0" shapeId="0" xr:uid="{A9FBFD03-06C3-45BC-BFA8-23836F99A9CC}">
      <text>
        <r>
          <rPr>
            <sz val="9"/>
            <color indexed="81"/>
            <rFont val="Tahoma"/>
            <family val="2"/>
          </rPr>
          <t xml:space="preserve">Median POCP for VOC
</t>
        </r>
      </text>
    </comment>
    <comment ref="F152" authorId="0" shapeId="0" xr:uid="{31C34960-A4DF-4AF1-94F3-C58ECF447B51}">
      <text>
        <r>
          <rPr>
            <sz val="9"/>
            <color indexed="81"/>
            <rFont val="Tahoma"/>
            <family val="2"/>
          </rPr>
          <t xml:space="preserve">standard deviation of POCPs for VOCs
</t>
        </r>
      </text>
    </comment>
    <comment ref="G152" authorId="0" shapeId="0" xr:uid="{FDA9899F-5851-4FE5-8697-CF97E86A637A}">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52" authorId="0" shapeId="0" xr:uid="{F16F6812-3D3B-426E-ACC1-560F590D3F0E}">
      <text>
        <r>
          <rPr>
            <sz val="9"/>
            <color indexed="81"/>
            <rFont val="Tahoma"/>
            <family val="2"/>
          </rPr>
          <t xml:space="preserve">PFP for different VOC is normlly between a few % and 20%
</t>
        </r>
      </text>
    </comment>
    <comment ref="A153" authorId="0" shapeId="0" xr:uid="{10293CC8-AB4D-4A8A-9DFF-4428E49AE184}">
      <text>
        <r>
          <rPr>
            <sz val="9"/>
            <color indexed="81"/>
            <rFont val="Tahoma"/>
            <family val="2"/>
          </rPr>
          <t xml:space="preserve">C10H30O5Si5
</t>
        </r>
      </text>
    </comment>
    <comment ref="C153" authorId="0" shapeId="0" xr:uid="{7BB11ABB-DBE2-42C1-BEEA-4F80FCCE2A32}">
      <text>
        <r>
          <rPr>
            <sz val="9"/>
            <color indexed="81"/>
            <rFont val="Tahoma"/>
            <family val="2"/>
          </rPr>
          <t>IPCC, AR6, Table 7, SM7
N.b only for direct radiative forcing</t>
        </r>
      </text>
    </comment>
    <comment ref="D153" authorId="0" shapeId="0" xr:uid="{14453C3F-4FB0-4A54-ADFC-2B8233071708}">
      <text>
        <r>
          <rPr>
            <sz val="9"/>
            <color indexed="81"/>
            <rFont val="Tahoma"/>
            <family val="2"/>
          </rPr>
          <t>based on IPCC AR6 WG1 
table 7.SM.8-13</t>
        </r>
      </text>
    </comment>
    <comment ref="E153" authorId="0" shapeId="0" xr:uid="{60A7928F-032A-4B4E-AB3D-4AD4B462C2EF}">
      <text>
        <r>
          <rPr>
            <sz val="9"/>
            <color indexed="81"/>
            <rFont val="Tahoma"/>
            <family val="2"/>
          </rPr>
          <t xml:space="preserve">Median POCP for VOC
</t>
        </r>
      </text>
    </comment>
    <comment ref="F153" authorId="0" shapeId="0" xr:uid="{937D7F16-9770-4ACA-AF6F-82CC92E4FC0A}">
      <text>
        <r>
          <rPr>
            <sz val="9"/>
            <color indexed="81"/>
            <rFont val="Tahoma"/>
            <family val="2"/>
          </rPr>
          <t xml:space="preserve">standard deviation of POCPs for VOCs
</t>
        </r>
      </text>
    </comment>
    <comment ref="G153" authorId="0" shapeId="0" xr:uid="{CF1D7A6C-F280-469C-97DC-7A105B4F6775}">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53" authorId="0" shapeId="0" xr:uid="{22118A9A-69FB-4C58-A4B7-E4EB99F3619E}">
      <text>
        <r>
          <rPr>
            <sz val="9"/>
            <color indexed="81"/>
            <rFont val="Tahoma"/>
            <family val="2"/>
          </rPr>
          <t xml:space="preserve">PFP for different VOC is normlly between a few % and 20%
</t>
        </r>
      </text>
    </comment>
    <comment ref="A154" authorId="0" shapeId="0" xr:uid="{90984182-96E3-4355-93D6-E4A5F669E351}">
      <text>
        <r>
          <rPr>
            <sz val="9"/>
            <color indexed="81"/>
            <rFont val="Tahoma"/>
            <family val="2"/>
          </rPr>
          <t>C12H36O6Si6</t>
        </r>
      </text>
    </comment>
    <comment ref="C154" authorId="0" shapeId="0" xr:uid="{63F765F3-1410-4402-BE1D-E3B8CE6A761D}">
      <text>
        <r>
          <rPr>
            <sz val="9"/>
            <color indexed="81"/>
            <rFont val="Tahoma"/>
            <family val="2"/>
          </rPr>
          <t>IPCC, AR6, Table 7, SM7
N.b only for direct radiative forcing</t>
        </r>
      </text>
    </comment>
    <comment ref="D154" authorId="0" shapeId="0" xr:uid="{92CC3C5A-7B72-4D1C-A299-AC1D3DD2C193}">
      <text>
        <r>
          <rPr>
            <sz val="9"/>
            <color indexed="81"/>
            <rFont val="Tahoma"/>
            <family val="2"/>
          </rPr>
          <t>based on IPCC AR6 WG1 
table 7.SM.8-13</t>
        </r>
      </text>
    </comment>
    <comment ref="E154" authorId="0" shapeId="0" xr:uid="{09714A43-0E20-418C-BAA9-A307D573A620}">
      <text>
        <r>
          <rPr>
            <sz val="9"/>
            <color indexed="81"/>
            <rFont val="Tahoma"/>
            <family val="2"/>
          </rPr>
          <t xml:space="preserve">Median POCP for VOC
</t>
        </r>
      </text>
    </comment>
    <comment ref="F154" authorId="0" shapeId="0" xr:uid="{4578916D-C55F-442C-A5C6-0D08DB6EF03A}">
      <text>
        <r>
          <rPr>
            <sz val="9"/>
            <color indexed="81"/>
            <rFont val="Tahoma"/>
            <family val="2"/>
          </rPr>
          <t xml:space="preserve">standard deviation of POCPs for VOCs
</t>
        </r>
      </text>
    </comment>
    <comment ref="G154" authorId="0" shapeId="0" xr:uid="{5B78FC46-9465-4064-89C6-EF4DD8773454}">
      <text>
        <r>
          <rPr>
            <sz val="9"/>
            <color indexed="81"/>
            <rFont val="Tahoma"/>
            <family val="2"/>
          </rPr>
          <t>Estimated global secondary organic aerosol flux divided by total VOC emission. Hallquist, M., et al., 2009: The formation, properties and impact of secondary organic
aerosol: Current and emerging issues. Atmos. Chem. Phys., 9, 5155–5236.</t>
        </r>
      </text>
    </comment>
    <comment ref="H154" authorId="0" shapeId="0" xr:uid="{8AAF72A1-A3FF-4563-8879-6CAEFE22685B}">
      <text>
        <r>
          <rPr>
            <sz val="9"/>
            <color indexed="81"/>
            <rFont val="Tahoma"/>
            <family val="2"/>
          </rPr>
          <t xml:space="preserve">PFP for different VOC is normlly between a few % and 20%
</t>
        </r>
      </text>
    </comment>
    <comment ref="C156" authorId="0" shapeId="0" xr:uid="{AF502BFC-2C9E-4D76-8BE6-E8040D22A72D}">
      <text>
        <r>
          <rPr>
            <sz val="9"/>
            <color indexed="81"/>
            <rFont val="Tahoma"/>
            <family val="2"/>
          </rPr>
          <t>Fry et al. Atmos. Chem. Phys., 14, 523–535, 2014
www.atmos-chem-phys.net/14/523/2014/</t>
        </r>
      </text>
    </comment>
    <comment ref="D156" authorId="0" shapeId="0" xr:uid="{004C18EC-9F84-4973-978C-DC1E57A71EB7}">
      <text>
        <r>
          <rPr>
            <sz val="9"/>
            <color indexed="81"/>
            <rFont val="Tahoma"/>
            <family val="2"/>
          </rPr>
          <t xml:space="preserve">Interpreted from Fry et al. Atmos. Chem. Phys., 14, 523–535, 2014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F1" authorId="0" shapeId="0" xr:uid="{00000000-0006-0000-0C00-000001000000}">
      <text>
        <r>
          <rPr>
            <sz val="9"/>
            <color indexed="81"/>
            <rFont val="Tahoma"/>
            <family val="2"/>
          </rPr>
          <t xml:space="preserve">Either the total decrease (+) or decrease (-) of indicator units due to the emission (=substance flow group)
or
decrease or increase of indicator units from 1 kg of a reference substance. The latter is used to model the characterisation factors, when  equivalency factors are available. </t>
        </r>
      </text>
    </comment>
    <comment ref="G1" authorId="0" shapeId="0" xr:uid="{00000000-0006-0000-0C00-000002000000}">
      <text>
        <r>
          <rPr>
            <sz val="9"/>
            <color indexed="81"/>
            <rFont val="Tahoma"/>
            <family val="2"/>
          </rPr>
          <t>If not specifically noted, the uncertaitny is expressed as a factor equal ti one standard deviation in a log normal distribution</t>
        </r>
      </text>
    </comment>
    <comment ref="I1" authorId="0" shapeId="0" xr:uid="{00000000-0006-0000-0C00-000003000000}">
      <text>
        <r>
          <rPr>
            <sz val="9"/>
            <color indexed="81"/>
            <rFont val="Tahoma"/>
            <family val="2"/>
          </rPr>
          <t>If not specifically noted, the uncertaitny is expressed as a factor equal ti one standard deviation in a log normal distribution</t>
        </r>
      </text>
    </comment>
    <comment ref="A4" authorId="0" shapeId="0" xr:uid="{00000000-0006-0000-0C00-000004000000}">
      <text>
        <r>
          <rPr>
            <sz val="9"/>
            <color indexed="81"/>
            <rFont val="Tahoma"/>
            <family val="2"/>
          </rPr>
          <t>A linear model of contributions from noise emissions to exposure levels is problematic as the dB measure is a logarithmic one. 
The number of decibels is ten times the logarithm to base 10 of the ratio of two power quantities, i.e. 10*log(W1/W2)
A change in power by a factor of 10 corresponds to a 10 dB change in level.
Threfore the noise emissions need to be expressed in power measures, i.e. 10^(dBA/10) times the time it lasts (or km driven, which is used here as it is more practical) in order to be added in a linear model.</t>
        </r>
      </text>
    </comment>
    <comment ref="F4" authorId="0" shapeId="0" xr:uid="{00000000-0006-0000-0C00-000005000000}">
      <text>
        <r>
          <rPr>
            <sz val="9"/>
            <color indexed="81"/>
            <rFont val="Tahoma"/>
            <family val="2"/>
          </rPr>
          <t xml:space="preserve">2021 188.3 million DALYs is attributed to ischaemic heart disease and 160.4 million DALYs to stroke globally according to Ferrari et al., The Lancet 2024, i.e.totally 348.7 million DALYs.
According to EEA Report 05/2025 1.3 million healthy life years are lost each year in Europe due to noise from traffic. Scaled up to global conditions there will be 1.3*8.26/0.56 = 19.175 million DALYs.
</t>
        </r>
      </text>
    </comment>
    <comment ref="G4" authorId="0" shapeId="0" xr:uid="{4E72CBC8-E178-4643-AD8B-E0A9E4F32C03}">
      <text>
        <r>
          <rPr>
            <sz val="9"/>
            <color indexed="81"/>
            <rFont val="Tahoma"/>
            <family val="2"/>
          </rPr>
          <t xml:space="preserve">There is an uncertainty in the epidemiological risk assessment, partly from confounding factors such as particle exposure and social issues. A standard deviation of a factor of 2 is assumed. </t>
        </r>
      </text>
    </comment>
    <comment ref="H4" authorId="0" shapeId="0" xr:uid="{00000000-0006-0000-0C00-000006000000}">
      <text>
        <r>
          <rPr>
            <sz val="9"/>
            <color indexed="81"/>
            <rFont val="Tahoma"/>
            <family val="2"/>
          </rPr>
          <t>The global car fleet consists of 1645 million vehicles. Assuming an average noise emission of 70 dBA, this will give 1.64E+13*10E+07 = 1.645E+20
 emission units.</t>
        </r>
      </text>
    </comment>
    <comment ref="I4" authorId="0" shapeId="0" xr:uid="{56BCC29D-70D8-45FC-BD5D-87579CAA9AAA}">
      <text>
        <r>
          <rPr>
            <sz val="9"/>
            <color indexed="81"/>
            <rFont val="Tahoma"/>
            <family val="2"/>
          </rPr>
          <t xml:space="preserve">There is a large variation in contribitions to health effects due to variation in urban structure, roughly a factor 10 is assumedindicating a standard de viation of a factor of 3. For a product system with 10 emission points this would mean a factor of EXP(LN(3)/3.6) = 1.4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Bengt Steen</author>
  </authors>
  <commentList>
    <comment ref="E3" authorId="0" shapeId="0" xr:uid="{52B28805-0883-43E6-B87D-64075FC4D121}">
      <text>
        <r>
          <rPr>
            <sz val="9"/>
            <color indexed="81"/>
            <rFont val="Tahoma"/>
            <family val="2"/>
          </rPr>
          <t>Only impacts on working capacity from heat stress is modeled here as decreased life expectancy is less important (see impact models for CO2 on the sheet inprganic gases)</t>
        </r>
      </text>
    </comment>
    <comment ref="A5" authorId="0" shapeId="0" xr:uid="{C3E79A58-E393-45A5-979C-1EEA7A5D2067}">
      <text>
        <r>
          <rPr>
            <sz val="9"/>
            <color indexed="81"/>
            <rFont val="Tahoma"/>
            <family val="2"/>
          </rPr>
          <t xml:space="preserve">Cities are urban areas with &gt;50000 inhabitants
(UN classification)
</t>
        </r>
      </text>
    </comment>
    <comment ref="C6" authorId="0" shapeId="0" xr:uid="{E0ECB084-35FD-4F73-BD86-3DAA56F8AEE9}">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6" authorId="0" shapeId="0" xr:uid="{20888F83-54B2-424E-BBDE-775F779D3B42}">
      <text>
        <r>
          <rPr>
            <sz val="9"/>
            <color indexed="81"/>
            <rFont val="Tahoma"/>
            <family val="2"/>
          </rPr>
          <t>Linear normal distribution assumed. Standard deviation is estimated from figure 2 in Wang et al  https://doi.org/10.1038/s41558-025-02303-3
Estimations are based on relations between daily temperatures and mortality. It is unclear how many YLL there is per case, to what extent the mortality data represents cronic effects, and if the absolute risk in DALY corresponds to the relative risk in mortality.</t>
        </r>
      </text>
    </comment>
    <comment ref="E6" authorId="0" shapeId="0" xr:uid="{00000000-0006-0000-0E00-000001000000}">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6" authorId="0" shapeId="0" xr:uid="{00000000-0006-0000-0E00-000002000000}">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G6" authorId="0" shapeId="0" xr:uid="{71C0D226-49F0-44C3-8A14-D594870DEA72}">
      <text>
        <r>
          <rPr>
            <sz val="9"/>
            <color indexed="81"/>
            <rFont val="Tahoma"/>
            <family val="2"/>
          </rPr>
          <t>The global harvested area of the main primary crops reached 1.5 billion hectares in 2024 resulting in 6.5 bllion tons and an average production of 0.43 kg per m2 of crops (oil, cereals and sugar) 2024. FAO 
https://www.fao.org/statistics/highlights-archive/highlights-detail/agricultural-production-statistics-2010-2024/en</t>
        </r>
      </text>
    </comment>
    <comment ref="H6" authorId="0" shapeId="0" xr:uid="{C93D1041-5588-4E06-B363-69E86448A1BE}">
      <text>
        <r>
          <rPr>
            <sz val="9"/>
            <color indexed="81"/>
            <rFont val="Tahoma"/>
            <family val="2"/>
          </rPr>
          <t xml:space="preserve">There is a large variation in production capacity due to climate and soil fertility, roughly a factor 10 between low and high, indicating a standard devition of a factor of 3. For a product system with 10 emission points this would mean a factor of EXP(LN(3)/3.6) = 1.4
</t>
        </r>
      </text>
    </comment>
    <comment ref="K6" authorId="0" shapeId="0" xr:uid="{00000000-0006-0000-0E00-000004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6" authorId="0" shapeId="0" xr:uid="{7C8142C4-1E6C-4A39-944A-E8F3E05BC0CE}">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6" authorId="0" shapeId="0" xr:uid="{00000000-0006-0000-0E00-000005000000}">
      <text>
        <r>
          <rPr>
            <sz val="9"/>
            <color indexed="81"/>
            <rFont val="Tahoma"/>
            <family val="2"/>
          </rPr>
          <t>Total urban area globally is 400000 km2  http://www.fao.org/docrep/010/ag049e/AG049E03.htm
The number of redlisted species threatened by housing and urban areas is 25534 of of a total of 245313, which is a share of  0.104 (IUCN, extracted from http://www.iucnredlist.org/search, 2026-01-07)</t>
        </r>
      </text>
    </comment>
    <comment ref="N6" authorId="0" shapeId="0" xr:uid="{94674B83-97E6-48AC-811C-78C37B7F5DA6}">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C7" authorId="0" shapeId="0" xr:uid="{C1306679-1932-48AA-AE5F-267895E4F5B2}">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7" authorId="0" shapeId="0" xr:uid="{7A32C885-684E-4554-9A2F-3BC517A7C7F0}">
      <text>
        <r>
          <rPr>
            <sz val="9"/>
            <color indexed="81"/>
            <rFont val="Tahoma"/>
            <family val="2"/>
          </rPr>
          <t>Linear normal distribution assumed. Standard deviation estimated from figure 2 in Wang et al  https://doi.org/10.1038/s41558-025-02303-3
Estimations are based on relations between daily temperatures and mortality. It is unclear how many YLL there is per case, and to what extent the mortality data repreents cronic effects.</t>
        </r>
      </text>
    </comment>
    <comment ref="E7" authorId="0" shapeId="0" xr:uid="{34A402F0-4F4C-4442-8F7F-9BDFA7A25FC2}">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7" authorId="0" shapeId="0" xr:uid="{FB84A715-0413-4DEC-9056-546FF58E63EE}">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I7" authorId="0" shapeId="0" xr:uid="{00000000-0006-0000-0E00-000008000000}">
      <text>
        <r>
          <rPr>
            <sz val="9"/>
            <color indexed="81"/>
            <rFont val="Tahoma"/>
            <family val="2"/>
          </rPr>
          <t xml:space="preserve">An average growth capacity of 5 tons per hectare and years is assumed.
</t>
        </r>
      </text>
    </comment>
    <comment ref="J7" authorId="0" shapeId="0" xr:uid="{D2758137-01CD-42E4-B0B6-4FD4F88D09F3}">
      <text>
        <r>
          <rPr>
            <sz val="9"/>
            <color indexed="81"/>
            <rFont val="Tahoma"/>
            <family val="2"/>
          </rPr>
          <t xml:space="preserve">There is a large variation in production capacity due to climate and soil fertility, roughly a factor 5 between low and high, indicating a standard deviaiton of a factor of 2.2. For a product system with 10 emission points this would mean a factor of  EXP(LN(3)/3.6) = 1.4
</t>
        </r>
      </text>
    </comment>
    <comment ref="K7" authorId="0" shapeId="0" xr:uid="{00000000-0006-0000-0E00-000009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7" authorId="0" shapeId="0" xr:uid="{CE7E62F6-E583-4044-B095-9D69F130692B}">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7" authorId="0" shapeId="0" xr:uid="{9B78A63F-E32B-42B0-97A8-12B18B5CB3DF}">
      <text>
        <r>
          <rPr>
            <sz val="9"/>
            <color indexed="81"/>
            <rFont val="Tahoma"/>
            <family val="2"/>
          </rPr>
          <t>Total urban area globally is 400000 km2  http://www.fao.org/docrep/010/ag049e/AG049E03.htm
The number of redlisted species threatened by housing and urban areas is 25534 of of a total of 245313, which is a share of  0.121 (IUCN, extracted from http://www.iucnredlist.org/search, 2026-01-07)</t>
        </r>
      </text>
    </comment>
    <comment ref="N7" authorId="0" shapeId="0" xr:uid="{250DCE93-5D8F-4137-8B44-A3FAEA799D18}">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C8" authorId="0" shapeId="0" xr:uid="{71AD8B3B-D08C-4472-9919-23B6BCDBF0AC}">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8" authorId="0" shapeId="0" xr:uid="{035E412B-A46C-44A8-90BC-4EEEAE65D29B}">
      <text>
        <r>
          <rPr>
            <sz val="9"/>
            <color indexed="81"/>
            <rFont val="Tahoma"/>
            <family val="2"/>
          </rPr>
          <t>Linear normal distribution assumed. Standard deviation estimated from figure 2 in Wang et al  https://doi.org/10.1038/s41558-025-02303-3
Estimations are based on relations between daily temperatures and mortality. It is unclear how many YLL there is per case, and to what extent the mortality data repreents cronic effects.</t>
        </r>
      </text>
    </comment>
    <comment ref="E8" authorId="0" shapeId="0" xr:uid="{A51C8792-EF8D-45E3-817F-18FD33A6F6E3}">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8" authorId="0" shapeId="0" xr:uid="{EC7F1C2C-A9B5-4C43-9786-433353DB9688}">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K8" authorId="0" shapeId="0" xr:uid="{00000000-0006-0000-0E00-00000D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8" authorId="0" shapeId="0" xr:uid="{5D980ADB-FF66-481C-BF31-85DD27E1FC55}">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8" authorId="0" shapeId="0" xr:uid="{45A80CD0-F6CC-4F5B-9417-7262F88E1150}">
      <text>
        <r>
          <rPr>
            <sz val="9"/>
            <color indexed="81"/>
            <rFont val="Tahoma"/>
            <family val="2"/>
          </rPr>
          <t>Total urban area globally is 400000 km2  http://www.fao.org/docrep/010/ag049e/AG049E03.htm
The number of redlisted species threatened by housing and urban areas is 25534 of of a total of 245313, which is a share of  0.121 (IUCN, extracted from http://www.iucnredlist.org/search, 2026-01-07)</t>
        </r>
      </text>
    </comment>
    <comment ref="N8" authorId="0" shapeId="0" xr:uid="{002A7744-8097-4BEC-A4B5-04370C22EEDF}">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C9" authorId="0" shapeId="0" xr:uid="{D2E41D87-D738-439A-BDF1-BAFD3A4235ED}">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9" authorId="0" shapeId="0" xr:uid="{66B701F4-C687-4239-BB0E-AEB4DE4DC4F8}">
      <text>
        <r>
          <rPr>
            <sz val="9"/>
            <color indexed="81"/>
            <rFont val="Tahoma"/>
            <family val="2"/>
          </rPr>
          <t>Linear normal distribution assumed. Standard deviation estimated from figure 2 in Wang et al  https://doi.org/10.1038/s41558-025-02303-3
Estimations are based on relations between daily temperatures and mortality. It is unclear how many YLL there is per case, and to what extent the mortality data repreents cronic effects.</t>
        </r>
      </text>
    </comment>
    <comment ref="E9" authorId="0" shapeId="0" xr:uid="{752550AC-8514-4B7F-A434-BB109EF37FB9}">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9" authorId="0" shapeId="0" xr:uid="{4055B6C4-5C24-46A6-B02F-66E507ED632F}">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G9" authorId="0" shapeId="0" xr:uid="{90B2211D-EF3D-409D-9894-E077710B6BA0}">
      <text>
        <r>
          <rPr>
            <sz val="9"/>
            <color indexed="81"/>
            <rFont val="Tahoma"/>
            <family val="2"/>
          </rPr>
          <t>The global harvested area of the main primary crops reached 1.5 billion hectares in 2024 resulting in 6.5 bllion tons and an average production of 0.43 kg per m2 of crops (oil, cereals and sugar) 2024. FAO 
https://www.fao.org/statistics/highlights-archive/highlights-detail/agricultural-production-statistics-2010-2024/en</t>
        </r>
      </text>
    </comment>
    <comment ref="H9" authorId="0" shapeId="0" xr:uid="{E334F08E-AD83-4E2F-8C18-0EFBF43DA71B}">
      <text>
        <r>
          <rPr>
            <sz val="9"/>
            <color indexed="81"/>
            <rFont val="Tahoma"/>
            <family val="2"/>
          </rPr>
          <t xml:space="preserve">There is a large variation in production capacity due to climate and soil fertility, roughly a factor 10 between low and high, indicating a standard devition of a factor of 3. For a product system with 10 emission points this would mean a factor of EXP(LN(3)/3.6) = 1.4
</t>
        </r>
      </text>
    </comment>
    <comment ref="K9" authorId="0" shapeId="0" xr:uid="{00000000-0006-0000-0E00-000012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9" authorId="0" shapeId="0" xr:uid="{E6A10C9C-E85D-4213-B3C4-5EC355DC49CD}">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9" authorId="0" shapeId="0" xr:uid="{00000000-0006-0000-0E00-000013000000}">
      <text>
        <r>
          <rPr>
            <sz val="9"/>
            <color indexed="81"/>
            <rFont val="Tahoma"/>
            <family val="2"/>
          </rPr>
          <t xml:space="preserve">The share of redlisted species due to commercial and industrial areas are 0.023. (IUCN, extracted from http://www.iucnredlist.org/search, 2026-01-07)The total area of commercial and industrial activities is estimated to 200000 km2.
</t>
        </r>
      </text>
    </comment>
    <comment ref="N9" authorId="0" shapeId="0" xr:uid="{9A1673B4-4631-4C5B-BA6A-937CBF2BF72F}">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C10" authorId="0" shapeId="0" xr:uid="{8C9E5CB3-7745-42AD-941B-F05D4EF6B819}">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10" authorId="0" shapeId="0" xr:uid="{F970A06D-03E4-4EF8-9E96-BA4CF3784876}">
      <text>
        <r>
          <rPr>
            <sz val="9"/>
            <color indexed="81"/>
            <rFont val="Tahoma"/>
            <family val="2"/>
          </rPr>
          <t>Linear normal distribution assumed. Standard deviation estimated from figure 2 in Wang et al  https://doi.org/10.1038/s41558-025-02303-3
Estimations are based on relations between daily temperatures and mortality. It is unclear how many YLL there is per case, and to what extent the mortality data repreents cronic effects.</t>
        </r>
      </text>
    </comment>
    <comment ref="E10" authorId="0" shapeId="0" xr:uid="{C24BE9C8-138A-40B0-92EC-289A1EDB3E40}">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10" authorId="0" shapeId="0" xr:uid="{0AB8B23C-A14A-4147-92A4-8A4CC393C951}">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I10" authorId="0" shapeId="0" xr:uid="{5564D855-2B57-4CC4-AF04-2F57342A4343}">
      <text>
        <r>
          <rPr>
            <sz val="9"/>
            <color indexed="81"/>
            <rFont val="Tahoma"/>
            <family val="2"/>
          </rPr>
          <t xml:space="preserve">An average growth capacity of 5 tons per hectare and years is assumed.
</t>
        </r>
      </text>
    </comment>
    <comment ref="J10" authorId="0" shapeId="0" xr:uid="{AD9F4BA6-8160-45E9-AE14-03DB57EFDFDB}">
      <text>
        <r>
          <rPr>
            <sz val="9"/>
            <color indexed="81"/>
            <rFont val="Tahoma"/>
            <family val="2"/>
          </rPr>
          <t xml:space="preserve">There is a large variation in production capacity due to climate and soil fertility, roughly a factor 5 between low and high, indicating a standard deviaiton of a factor of 2.2. For a product system with 10 emission points this would mean a factor of  EXP(LN(3)/3.6) = 1.4
</t>
        </r>
      </text>
    </comment>
    <comment ref="K10" authorId="0" shapeId="0" xr:uid="{00000000-0006-0000-0E00-000017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0" authorId="0" shapeId="0" xr:uid="{27ACB959-7C3A-42DE-9E28-686C8552E105}">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0" authorId="0" shapeId="0" xr:uid="{09400EA7-F267-4C0A-BEA5-C606697D9E9C}">
      <text>
        <r>
          <rPr>
            <sz val="9"/>
            <color indexed="81"/>
            <rFont val="Tahoma"/>
            <family val="2"/>
          </rPr>
          <t xml:space="preserve">The share of redlisted species due to commercial and industrial areas are 0.023. (IUCN, extracted from http://www.iucnredlist.org/search, 2026-01-07)The total area of commercial and industrial activities is estimated to 200000 km2.
</t>
        </r>
      </text>
    </comment>
    <comment ref="N10" authorId="0" shapeId="0" xr:uid="{8FE17228-EC7B-4BFF-B914-DE618BF22B04}">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C11" authorId="0" shapeId="0" xr:uid="{8B33D393-3263-4F82-8192-8EC34E31876B}">
      <text>
        <r>
          <rPr>
            <sz val="9"/>
            <color indexed="81"/>
            <rFont val="Tahoma"/>
            <family val="2"/>
          </rPr>
          <t>Average RR for dying from heat related diseases decreases by 39.8% due to urban heat islands according to Wang et al.
https://doi.org/10.1038/s41558-025-02303-3. The absolute health risk for CVD deseases is 248 million DALY per year on a global basis (Lancet 2024; 403: 2133–6). 3.5 billion live in cities (=urban areas with more than 50000 inhabitants). The average area per person is 38 m2. (United Nations Department of Economic and Social Affairs, World Urbanization Prospects 2025) This  corresponds to an area of 38*3.5E+9 m2 
= 1.33E+11 m2 and an impact of -0.398*24800000*3.5/8.2*1/1.33E+11 = -3.17E-05 DALY/m2year</t>
        </r>
      </text>
    </comment>
    <comment ref="D11" authorId="0" shapeId="0" xr:uid="{343A5E20-95D8-49B3-BF4A-FA7377FF9701}">
      <text>
        <r>
          <rPr>
            <sz val="9"/>
            <color indexed="81"/>
            <rFont val="Tahoma"/>
            <family val="2"/>
          </rPr>
          <t>Linear normal distribution assumed. Standard deviation estimated from figure 2 in Wang et al  https://doi.org/10.1038/s41558-025-02303-3
Estimations are based on relations between daily temperatures and mortality. It is unclear how many YLL there is per case, and to what extent the mortality data repreents cronic effects.</t>
        </r>
      </text>
    </comment>
    <comment ref="E11" authorId="0" shapeId="0" xr:uid="{B26C1F6D-5A65-4538-BE46-E2FA861BE68C}">
      <text>
        <r>
          <rPr>
            <sz val="9"/>
            <color indexed="81"/>
            <rFont val="Tahoma"/>
            <family val="2"/>
          </rPr>
          <t>The average population density in cites is 38m2/person (https://population.un.org/wup/assets/Publications/undesa_pd_2025_wup2025_summary_of_results_final.pdf)
3.5 billion people live in cities. This  corresponds to an area of 38*3.5E+9 m2 
= 1.33E+11 m2. In big cities, the urban heat island adds 1.5 degrees on top of RCP6 (Shushi Peng et al, Surface heat islands across 419 global big cities, Environmental science and technology, 2012, 46,696-703), This results in an RCP8.5 scenario, which will decrease working capacity with an extra 5% (estimated from Dunnes et al. Nature Climate Change 3, 563–566 (2013)). For other cities we assume a less than 1 degree heat island and an average reduction of working capacity for all cities of 3%. As 3.5/8.2 of the global population live in cities, the global average reduction of working capacty in  cities will be 3*3.5/8.2 = 1.28 % decrease and =1/38*0.0128*2000 personhours/m2yr, where 2000 is the estimated time per year and person influenced by decreased working capacity.</t>
        </r>
      </text>
    </comment>
    <comment ref="F11" authorId="0" shapeId="0" xr:uid="{097ACC27-E992-4EB4-B227-1D911C88E9E1}">
      <text>
        <r>
          <rPr>
            <sz val="9"/>
            <color indexed="81"/>
            <rFont val="Tahoma"/>
            <family val="2"/>
          </rPr>
          <t xml:space="preserve">There is a large variation in climate sensitivity depending on latitude, roughly a factor 10 as standard deviation. For a product system with 10 emission points this would mean a factor of EXP(LN(10)/3.6) = 1.9
</t>
        </r>
      </text>
    </comment>
    <comment ref="K11" authorId="0" shapeId="0" xr:uid="{00000000-0006-0000-0E00-00001B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1" authorId="0" shapeId="0" xr:uid="{41478E8D-51C8-4A1C-884F-49BA5830563E}">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1" authorId="0" shapeId="0" xr:uid="{44C9F6CA-BEC4-49D2-B76A-F7B8658FFB02}">
      <text>
        <r>
          <rPr>
            <sz val="9"/>
            <color indexed="81"/>
            <rFont val="Tahoma"/>
            <family val="2"/>
          </rPr>
          <t xml:space="preserve">The share of redlisted species due to commercial and industrial areas are 0.023. (IUCN, extracted from http://www.iucnredlist.org/search, 2026-01-07)The total area of commercial and industrial activities is estimated to 200000 km2.
</t>
        </r>
      </text>
    </comment>
    <comment ref="N11" authorId="0" shapeId="0" xr:uid="{62CFB534-170E-49DF-BC50-2CAE7ACCF3F9}">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A12" authorId="0" shapeId="0" xr:uid="{F44977DE-A211-4C20-B0C4-3788CC64150C}">
      <text>
        <r>
          <rPr>
            <sz val="9"/>
            <color indexed="81"/>
            <rFont val="Tahoma"/>
            <family val="2"/>
          </rPr>
          <t>Towns are urban areas with 5000 - 50000 inhabitants according to
UN classification</t>
        </r>
      </text>
    </comment>
    <comment ref="G13" authorId="0" shapeId="0" xr:uid="{73BA2552-C531-41EF-A880-B22E938B6794}">
      <text>
        <r>
          <rPr>
            <sz val="9"/>
            <color indexed="81"/>
            <rFont val="Tahoma"/>
            <family val="2"/>
          </rPr>
          <t>The global harvested area of the main primary crops reached 1.5 billion hectares in 2024 resulting in 6.5 bllion tons and an average production of 0.43 kg per m2 of crops (oil, cereals and sugar) 2024. FAO 
https://www.fao.org/statistics/highlights-archive/highlights-detail/agricultural-production-statistics-2010-2024/en</t>
        </r>
      </text>
    </comment>
    <comment ref="H13" authorId="0" shapeId="0" xr:uid="{D9AC7263-55EA-4862-A207-7D92CCF48934}">
      <text>
        <r>
          <rPr>
            <sz val="9"/>
            <color indexed="81"/>
            <rFont val="Tahoma"/>
            <family val="2"/>
          </rPr>
          <t xml:space="preserve">There is a large variation in production capacity due to climate and soil fertility, roughly a factor 10 between low and high, indicating a standard devition of a factor of 3. For a product system with 10 emission points this would mean a factor of EXP(LN(3)/3.6) = 1.4
</t>
        </r>
      </text>
    </comment>
    <comment ref="K13" authorId="0" shapeId="0" xr:uid="{26C946D8-C9C8-476C-86BF-54547A3F356D}">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3" authorId="0" shapeId="0" xr:uid="{B880421D-98EB-40DE-AE10-BF7E24D5BA7E}">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3" authorId="0" shapeId="0" xr:uid="{00000000-0006-0000-0E00-000022000000}">
      <text>
        <r>
          <rPr>
            <sz val="9"/>
            <color indexed="81"/>
            <rFont val="Tahoma"/>
            <family val="2"/>
          </rPr>
          <t>Total urban area globally is 400000 km2  http://www.fao.org/docrep/010/ag049e/AG049E03.htm
The share of redlisted species threatened by residential and commercial developments is 0.104 (IUCN, extracted from http://www.iucnredlist.org/search)</t>
        </r>
      </text>
    </comment>
    <comment ref="N13" authorId="0" shapeId="0" xr:uid="{387700B0-FB96-4363-A765-EA0DF50CA8D5}">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I14" authorId="0" shapeId="0" xr:uid="{3DF4569C-601E-4C2F-993F-1DC51B966988}">
      <text>
        <r>
          <rPr>
            <sz val="9"/>
            <color indexed="81"/>
            <rFont val="Tahoma"/>
            <family val="2"/>
          </rPr>
          <t xml:space="preserve">An average growth capacity of 5 tons per hectare and years is assumed.
</t>
        </r>
      </text>
    </comment>
    <comment ref="J14" authorId="0" shapeId="0" xr:uid="{8220A20C-B002-4C79-9B68-7E1719995EA6}">
      <text>
        <r>
          <rPr>
            <sz val="9"/>
            <color indexed="81"/>
            <rFont val="Tahoma"/>
            <family val="2"/>
          </rPr>
          <t xml:space="preserve">There is a large variation in production capacity due to climate and soil fertility, roughly a factor 5 between low and high, indicating a standard deviaiton of a factor of 2.2. For a product system with 10 emission points this would mean a factor of  EXP(LN(3)/3.6) = 1.4
</t>
        </r>
      </text>
    </comment>
    <comment ref="K14" authorId="0" shapeId="0" xr:uid="{6F3BCE54-CA96-44B7-A2BC-D1C5240566FB}">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4" authorId="0" shapeId="0" xr:uid="{4E7A07A9-A838-4275-A39E-432C53DF6431}">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4" authorId="0" shapeId="0" xr:uid="{00000000-0006-0000-0E00-000027000000}">
      <text>
        <r>
          <rPr>
            <sz val="9"/>
            <color indexed="81"/>
            <rFont val="Tahoma"/>
            <family val="2"/>
          </rPr>
          <t>Total urban area globally is 400000 km2  http://www.fao.org/docrep/010/ag049e/AG049E03.htm
The share of redlisted species threatened by residential and commercial developments is 0.104 (IUCN, extracted from http://www.iucnredlist.org/search)</t>
        </r>
      </text>
    </comment>
    <comment ref="N14" authorId="0" shapeId="0" xr:uid="{13C76BC7-6039-41D6-8FA8-3ED176D6B8B4}">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K15" authorId="0" shapeId="0" xr:uid="{AC34E216-913D-4C06-84CD-5BEDDD035988}">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5" authorId="0" shapeId="0" xr:uid="{9F482F25-3A49-4378-A5F7-633CB6ED25AB}">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5" authorId="0" shapeId="0" xr:uid="{00000000-0006-0000-0E00-00002B000000}">
      <text>
        <r>
          <rPr>
            <sz val="9"/>
            <color indexed="81"/>
            <rFont val="Tahoma"/>
            <family val="2"/>
          </rPr>
          <t>Total urban area globally is 400000 km2  http://www.fao.org/docrep/010/ag049e/AG049E03.htm
The share of redlisted species threatened by residential and commercial developments is 0.104 (IUCN, extracted from http://www.iucnredlist.org/search)</t>
        </r>
      </text>
    </comment>
    <comment ref="N15" authorId="0" shapeId="0" xr:uid="{0408C6F2-1532-4ABA-9D4A-101236BC0C32}">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G16" authorId="0" shapeId="0" xr:uid="{5013B69C-BDC2-4350-B013-8A5FC2A2E9A9}">
      <text>
        <r>
          <rPr>
            <sz val="9"/>
            <color indexed="81"/>
            <rFont val="Tahoma"/>
            <family val="2"/>
          </rPr>
          <t>The global harvested area of the main primary crops reached 1.5 billion hectares in 2024 resulting in 6.5 bllion tons and an average production of 0.43 kg per m2 of crops (oil, cereals and sugar) 2024. FAO 
https://www.fao.org/statistics/highlights-archive/highlights-detail/agricultural-production-statistics-2010-2024/en</t>
        </r>
      </text>
    </comment>
    <comment ref="H16" authorId="0" shapeId="0" xr:uid="{96A1B6A3-DB50-4BF1-B0B7-0673D5417F29}">
      <text>
        <r>
          <rPr>
            <sz val="9"/>
            <color indexed="81"/>
            <rFont val="Tahoma"/>
            <family val="2"/>
          </rPr>
          <t xml:space="preserve">There is a large variation in production capacity due to climate and soil fertility, roughly a factor 10 between low and high, indicating a standard devition of a factor of 3. For a product system with 10 emission points this would mean a factor of EXP(LN(3)/3.6) = 1.4
</t>
        </r>
      </text>
    </comment>
    <comment ref="K16" authorId="0" shapeId="0" xr:uid="{08E5D33A-F6C6-482D-9A11-16D60043867F}">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6" authorId="0" shapeId="0" xr:uid="{7C98C385-BE7F-4C90-99A8-1F0A1854B912}">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6" authorId="0" shapeId="0" xr:uid="{00000000-0006-0000-0E00-000030000000}">
      <text>
        <r>
          <rPr>
            <sz val="9"/>
            <color indexed="81"/>
            <rFont val="Tahoma"/>
            <family val="2"/>
          </rPr>
          <t xml:space="preserve">The share of redlisted species due to commercial and industrial areas are 0.026. The total area of commercial and industrial activities is estimated to 200000 km2.
</t>
        </r>
      </text>
    </comment>
    <comment ref="N16" authorId="0" shapeId="0" xr:uid="{7F98E340-049D-4E37-B38C-6FAAED73681B}">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I17" authorId="0" shapeId="0" xr:uid="{6F22BBC1-75C0-4578-8421-0CFAA96E0C49}">
      <text>
        <r>
          <rPr>
            <sz val="9"/>
            <color indexed="81"/>
            <rFont val="Tahoma"/>
            <family val="2"/>
          </rPr>
          <t xml:space="preserve">An average growth capacity of 5 tons per hectare and years is assumed.
</t>
        </r>
      </text>
    </comment>
    <comment ref="J17" authorId="0" shapeId="0" xr:uid="{D3DAADB1-D6E7-421B-A668-01A5B4565744}">
      <text>
        <r>
          <rPr>
            <sz val="9"/>
            <color indexed="81"/>
            <rFont val="Tahoma"/>
            <family val="2"/>
          </rPr>
          <t xml:space="preserve">There is a large variation in production capacity due to climate and soil fertility, roughly a factor 5 between low and high, indicating a standard deviaiton of a factor of 2.2. For a product system with 10 emission points this would mean a factor of  EXP(LN(3)/3.6) = 1.4
</t>
        </r>
      </text>
    </comment>
    <comment ref="K17" authorId="0" shapeId="0" xr:uid="{68CAD6DC-C8ED-47A4-ABF6-074F57C91B32}">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7" authorId="0" shapeId="0" xr:uid="{C9742732-7C6E-4F01-B04B-22A1BD9DCAD1}">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7" authorId="0" shapeId="0" xr:uid="{00000000-0006-0000-0E00-000035000000}">
      <text>
        <r>
          <rPr>
            <sz val="9"/>
            <color indexed="81"/>
            <rFont val="Tahoma"/>
            <family val="2"/>
          </rPr>
          <t xml:space="preserve">The share of redlisted species due to commercial and industrial areas are 0.026. The total area of commercial and industrial activities is estimated to 200000 km2.
</t>
        </r>
      </text>
    </comment>
    <comment ref="N17" authorId="0" shapeId="0" xr:uid="{739CBFC8-102C-4D95-87E9-48D5B137E3ED}">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K18" authorId="0" shapeId="0" xr:uid="{B206FB7F-AAA8-4C29-B3D1-40D7CD291111}">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L18" authorId="0" shapeId="0" xr:uid="{F33BFE33-8605-4EA5-B7A8-B996A7FFA597}">
      <text>
        <r>
          <rPr>
            <sz val="9"/>
            <color indexed="81"/>
            <rFont val="Tahoma"/>
            <family val="2"/>
          </rPr>
          <t>There is a large variation in production capacity due to climate, roughly a factor 10. For a product system with 10 emission points this would mean a factor of EXP(LN(3)/3.6) = 1.4
https://www.usgs.gov/media/images/generalized-world-precipitation-map</t>
        </r>
      </text>
    </comment>
    <comment ref="M18" authorId="0" shapeId="0" xr:uid="{00000000-0006-0000-0E00-000039000000}">
      <text>
        <r>
          <rPr>
            <sz val="9"/>
            <color indexed="81"/>
            <rFont val="Tahoma"/>
            <family val="2"/>
          </rPr>
          <t xml:space="preserve">The share of redlisted species due to commercial and industrial areas are 0.026. The total area of commercial and industrial activities is estimated to 200000 km2.
</t>
        </r>
      </text>
    </comment>
    <comment ref="N18" authorId="0" shapeId="0" xr:uid="{8A1F6D1B-0C81-401C-82DB-7293493E4EC9}">
      <text>
        <r>
          <rPr>
            <sz val="9"/>
            <color indexed="81"/>
            <rFont val="Tahoma"/>
            <family val="2"/>
          </rPr>
          <t xml:space="preserve">There is a large variation in impacts  on NEX due to urban structure and climate, roughly a factor 10 indicating a standard deviation of a factor of 3. For a product system with 10 emission points this would mean a factor of EXP(LN(3)/3.6) = 1.4
</t>
        </r>
      </text>
    </comment>
    <comment ref="M20" authorId="0" shapeId="0" xr:uid="{00000000-0006-0000-0E00-00003B000000}">
      <text>
        <r>
          <rPr>
            <sz val="9"/>
            <color indexed="81"/>
            <rFont val="Tahoma"/>
            <family val="2"/>
          </rPr>
          <t>Total global harvested land 2024 is  
1.5 E+13 m2 according to FAO.
The share of species threatened by annual&amp;perennial non-timber crop production is 0.19 (IUCN, extracted 2026-01-08 from http://www.iucnredlist.org/search)</t>
        </r>
      </text>
    </comment>
    <comment ref="N20" authorId="0" shapeId="0" xr:uid="{10195904-9D86-4930-9BEB-9899AD9D0E4F}">
      <text>
        <r>
          <rPr>
            <sz val="9"/>
            <color indexed="81"/>
            <rFont val="Tahoma"/>
            <family val="2"/>
          </rPr>
          <t xml:space="preserve">There is a large variation in impacts  on NEX due to area structure and climate, roughly a factor 10 indicating a standard deviation of a factor of 3. For a product system with 10 emission points this would mean a factor of EXP(LN(3)/3.6) = 1.4
</t>
        </r>
      </text>
    </comment>
    <comment ref="M21" authorId="0" shapeId="0" xr:uid="{00000000-0006-0000-0E00-00003C000000}">
      <text>
        <r>
          <rPr>
            <sz val="9"/>
            <color indexed="81"/>
            <rFont val="Tahoma"/>
            <family val="2"/>
          </rPr>
          <t>The average share of redlisted species threatened by wood and pulp plantations is 0.048 (IUNC, accessed at 2026-01-07). The total area of wood plantations in the world is 280 million ha. https://gfr.wri.org/forest-designation-indicators/production-forests#how-much-production-forest-exists-globally</t>
        </r>
      </text>
    </comment>
    <comment ref="N21" authorId="0" shapeId="0" xr:uid="{0F178204-6CFD-4BAB-B2C0-8CDD035181AC}">
      <text>
        <r>
          <rPr>
            <sz val="9"/>
            <color indexed="81"/>
            <rFont val="Tahoma"/>
            <family val="2"/>
          </rPr>
          <t xml:space="preserve">There is a large variation in impacts  on NEX due to area structure and climate, roughly a factor 10 indicating a standard deviation of a factor of 3. For a product system with 10 emission points this would mean a factor of EXP(LN(3)/3.6) = 1.4
</t>
        </r>
      </text>
    </comment>
    <comment ref="M22" authorId="0" shapeId="0" xr:uid="{00000000-0006-0000-0E00-00003D000000}">
      <text>
        <r>
          <rPr>
            <sz val="9"/>
            <color indexed="81"/>
            <rFont val="Tahoma"/>
            <family val="2"/>
          </rPr>
          <t>The share of redlisted species threatened by livestock farming and ranching is 0.092 (IUCN 2024). The area used for livestock farming and ranching is 3.8E13 m2 (https://ourworldindata.org/global-land-for-agriculture, accessed at 2026-01-08)</t>
        </r>
      </text>
    </comment>
    <comment ref="N22" authorId="0" shapeId="0" xr:uid="{6D402419-1639-48A7-9396-C6A6E4E029FC}">
      <text>
        <r>
          <rPr>
            <sz val="9"/>
            <color indexed="81"/>
            <rFont val="Tahoma"/>
            <family val="2"/>
          </rPr>
          <t xml:space="preserve">There is a large variation in impacts  on NEX due to area structure and climate, roughly a factor 10 indicating a standard deviation of a factor of 3. For a product system with 10 emission points this would mean a factor of EXP(LN(3)/3.6) = 1.4
</t>
        </r>
      </text>
    </comment>
    <comment ref="M23" authorId="0" shapeId="0" xr:uid="{00000000-0006-0000-0E00-00003E000000}">
      <text>
        <r>
          <rPr>
            <sz val="9"/>
            <color indexed="81"/>
            <rFont val="Tahoma"/>
            <family val="2"/>
          </rPr>
          <t xml:space="preserve">The average share of redlisted species (animalia and plantae) threatened by Marine and freshwater aquaculture (IUCN 2024) is 0.0032. Global production from aquaculture is 223 million tons 2022 (http://www.fao.org/aquaculture/en/ accessed at 2026-01-08).
</t>
        </r>
      </text>
    </comment>
    <comment ref="N23" authorId="0" shapeId="0" xr:uid="{3A86480D-F4D4-4894-A394-A62741110E90}">
      <text>
        <r>
          <rPr>
            <sz val="9"/>
            <color indexed="81"/>
            <rFont val="Tahoma"/>
            <family val="2"/>
          </rPr>
          <t xml:space="preserve">There is a large variation in impacts  on NEX due to area structure and climate, roughly a factor 10 indicating a standard deviation of a factor of 3. For a product system with 10 emission points this would mean a factor of EXP(LN(3)/3.6) = 1.4
</t>
        </r>
      </text>
    </comment>
    <comment ref="M25" authorId="0" shapeId="0" xr:uid="{00000000-0006-0000-0E00-00003F000000}">
      <text>
        <r>
          <rPr>
            <sz val="9"/>
            <color indexed="81"/>
            <rFont val="Tahoma"/>
            <family val="2"/>
          </rPr>
          <t xml:space="preserve">The average share of redlisted species (animalia and plantae) threatened by oil and gas drilling (IUCN 2024) is 0.00462. The global production of oil and gas is 7.7E12 kg/year.
</t>
        </r>
      </text>
    </comment>
    <comment ref="N25" authorId="0" shapeId="0" xr:uid="{E2290187-A2A1-4686-A4A6-96C4550D24D6}">
      <text>
        <r>
          <rPr>
            <sz val="9"/>
            <color indexed="81"/>
            <rFont val="Tahoma"/>
            <family val="2"/>
          </rPr>
          <t>There is a large variation in impacts  on NEX due to drilling technology, roughly two orders of magntude, indicating a standard deviation of a factor of 30. For a product system with 10 emission points this would mean a factor of EXP(LN(30)/3.6) = 2.6</t>
        </r>
      </text>
    </comment>
    <comment ref="A26" authorId="0" shapeId="0" xr:uid="{00000000-0006-0000-0E00-000040000000}">
      <text>
        <r>
          <rPr>
            <sz val="9"/>
            <color indexed="81"/>
            <rFont val="Tahoma"/>
            <family val="2"/>
          </rPr>
          <t xml:space="preserve">Actual transformed land (open mining or tailings)
</t>
        </r>
      </text>
    </comment>
    <comment ref="I26" authorId="0" shapeId="0" xr:uid="{00000000-0006-0000-0E00-000041000000}">
      <text>
        <r>
          <rPr>
            <sz val="9"/>
            <color indexed="81"/>
            <rFont val="Tahoma"/>
            <family val="2"/>
          </rPr>
          <t xml:space="preserve">An average growth capacity of 5 tons per hectare and years is assumed.
</t>
        </r>
      </text>
    </comment>
    <comment ref="K26" authorId="0" shapeId="0" xr:uid="{00000000-0006-0000-0E00-000042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M26" authorId="0" shapeId="0" xr:uid="{00000000-0006-0000-0E00-000043000000}">
      <text>
        <r>
          <rPr>
            <sz val="9"/>
            <color indexed="81"/>
            <rFont val="Tahoma"/>
            <family val="2"/>
          </rPr>
          <t xml:space="preserve">The average share of redlisted species (animalia and plantae) threatened by mining and quarrying (IUCN 2014) is 0.057. The total mining area in the world is estimated from satelite images to 66000 km2. https://www.nature.com/articles/s43247-023-00805-6#citeas.  
</t>
        </r>
      </text>
    </comment>
    <comment ref="N26" authorId="0" shapeId="0" xr:uid="{6B414090-3498-4A09-A7EF-DDBEAA073C0E}">
      <text>
        <r>
          <rPr>
            <sz val="9"/>
            <color indexed="81"/>
            <rFont val="Tahoma"/>
            <family val="2"/>
          </rPr>
          <t>There is a large variation in impac ts  on NEX due to mining technology and due to unclear definitions of what is included in a mining area. roughly two orders of magntude, indicating a standard deviation of a factor of 30. For a product system with 10 emission points this would mean a factor of EXP(LN(30)/3.6) = 2.6</t>
        </r>
      </text>
    </comment>
    <comment ref="A27" authorId="0" shapeId="0" xr:uid="{00000000-0006-0000-0E00-000044000000}">
      <text>
        <r>
          <rPr>
            <sz val="9"/>
            <color indexed="81"/>
            <rFont val="Tahoma"/>
            <family val="2"/>
          </rPr>
          <t xml:space="preserve">Assumed to concern arable land
</t>
        </r>
      </text>
    </comment>
    <comment ref="M27" authorId="0" shapeId="0" xr:uid="{00000000-0006-0000-0E00-000045000000}">
      <text>
        <r>
          <rPr>
            <sz val="9"/>
            <color indexed="81"/>
            <rFont val="Tahoma"/>
            <family val="2"/>
          </rPr>
          <t xml:space="preserve">The average share of redlisted species (animalia and plantae) threatened by energy crops (IUCN 2024) is 0.004354.The area used for production of energy crops is estimated by FAO to 40 million ha. It is assumed to be dominating relative to wind and solar power.
</t>
        </r>
      </text>
    </comment>
    <comment ref="N27" authorId="0" shapeId="0" xr:uid="{8A79A894-8A19-4C9C-8F5D-5ABF1CD66E08}">
      <text>
        <r>
          <rPr>
            <sz val="9"/>
            <color indexed="81"/>
            <rFont val="Tahoma"/>
            <family val="2"/>
          </rPr>
          <t>There is a large variation in impacts  on NEX due to production technology, assumde to be spanning over two orders of magnitude, indicating a standard deviation of a factor of 30. For a product system with 10 emission points this would mean a factor of EXP(LN(30)/3.6) = 2.6</t>
        </r>
      </text>
    </comment>
    <comment ref="G29" authorId="0" shapeId="0" xr:uid="{B8C97699-5D60-421F-BFD1-28C5EA759BC6}">
      <text>
        <r>
          <rPr>
            <sz val="9"/>
            <color indexed="81"/>
            <rFont val="Tahoma"/>
            <family val="2"/>
          </rPr>
          <t>The global harvested area of the main primary crops reached 1.5 billion hectares in 2024 resulting in 6.5 bllion tons and an average production of 0.43 kg per m2 of crops (oil, cereals and sugar) 2024. FAO 
https://www.fao.org/statistics/highlights-archive/highlights-detail/agricultural-production-statistics-2010-2024/en</t>
        </r>
      </text>
    </comment>
    <comment ref="I29" authorId="0" shapeId="0" xr:uid="{00000000-0006-0000-0E00-000046000000}">
      <text>
        <r>
          <rPr>
            <sz val="9"/>
            <color indexed="81"/>
            <rFont val="Tahoma"/>
            <family val="2"/>
          </rPr>
          <t xml:space="preserve">An average growth capacity of 5 tons per hectare and years is assumed.
</t>
        </r>
      </text>
    </comment>
    <comment ref="K29" authorId="0" shapeId="0" xr:uid="{00000000-0006-0000-0E00-000047000000}">
      <text>
        <r>
          <rPr>
            <sz val="9"/>
            <color indexed="81"/>
            <rFont val="Tahoma"/>
            <family val="2"/>
          </rPr>
          <t>Assumed average precipitation minus evaporation
Total global runoff (excl. Antarctica) is about 40000 km3/year (ELIN WIDÉN-NILSSON ACTA UNIVERSITATIS UPSALIENSIS UPPSALA 2007) and total land area (ex. Antarctica) is 130 million km2</t>
        </r>
      </text>
    </comment>
    <comment ref="M29" authorId="0" shapeId="0" xr:uid="{00000000-0006-0000-0E00-000048000000}">
      <text>
        <r>
          <rPr>
            <sz val="9"/>
            <color indexed="81"/>
            <rFont val="Tahoma"/>
            <family val="2"/>
          </rPr>
          <t xml:space="preserve">The average share of redlisted species (animalia and plantae) threatened by roads and railroads (IUCN 2024) is 0.033. The total road length is estimated to 24 million km by the international road federation, IRF (https://datawarehouse.worldroadstatistics.org/dashboard/checksumfilter). 
Wikipedia, citing CIA (https://en.wikipedia.org/wiki/List_of_countries_by_road_network_size reports a total length of 64.7 million km. As IRF lack several countries and maybe road types the CIA data is used  as a best estimate. An average road width of 7 m is assumed resulting in a total road area of 4.53E+11 m2. 
 </t>
        </r>
      </text>
    </comment>
    <comment ref="N29" authorId="0" shapeId="0" xr:uid="{C0236E9F-FF49-4744-A735-0BFFE13BC331}">
      <text>
        <r>
          <rPr>
            <sz val="9"/>
            <color indexed="81"/>
            <rFont val="Tahoma"/>
            <family val="2"/>
          </rPr>
          <t>What constitutes a road may vary. The estimations made by IRF and CIA differ by a factor 2. 
Assuming that the threat mainly comes from road kills, it is mainly public roads with high traffic load that contribute. The risk of contributng to decreased NEX from a particular road would therefore be one or two magnitudes. For a product system with 10 elementary flow points this would mean a factor of EXP(LN(100)/3.6) = 3.6</t>
        </r>
      </text>
    </comment>
    <comment ref="M30" authorId="0" shapeId="0" xr:uid="{00000000-0006-0000-0E00-000049000000}">
      <text>
        <r>
          <rPr>
            <sz val="9"/>
            <color indexed="81"/>
            <rFont val="Tahoma"/>
            <family val="2"/>
          </rPr>
          <t>The average share of redlisted species (animalia and plantae) threatened by energy crops (IUCN 2024) is 0.0026.The area used for utility and service lines is difficult to assess as some utility lines are underground and there is only temporary interference with biodiversity. The area used for power transmission is around 200000 hectars in Sweden (Jordbruksverket Rapport 2012:36). That would mean about 0.02 hectar/person or globally 1.4 million km2</t>
        </r>
      </text>
    </comment>
    <comment ref="N30" authorId="0" shapeId="0" xr:uid="{05F461BF-28F6-40A7-A847-8739E1DCC1D9}">
      <text>
        <r>
          <rPr>
            <sz val="9"/>
            <color indexed="81"/>
            <rFont val="Tahoma"/>
            <family val="2"/>
          </rPr>
          <t>The risk of contributng to decreased NEX from a particular utility and service line is assumed to vary by  two magnitudes. For a product system with 10 elementary flow points this would mean a factor of EXP(LN(100)/3.6) = 3.6</t>
        </r>
      </text>
    </comment>
    <comment ref="A32" authorId="0" shapeId="0" xr:uid="{00000000-0006-0000-0E00-00004A000000}">
      <text>
        <r>
          <rPr>
            <sz val="9"/>
            <color indexed="81"/>
            <rFont val="Tahoma"/>
            <family val="2"/>
          </rPr>
          <t xml:space="preserve">Excluding wood plantations
</t>
        </r>
      </text>
    </comment>
    <comment ref="M32" authorId="0" shapeId="0" xr:uid="{5BDC9202-C673-4BDB-B34D-7E034DA64B33}">
      <text>
        <r>
          <rPr>
            <sz val="9"/>
            <color indexed="81"/>
            <rFont val="Tahoma"/>
            <family val="2"/>
          </rPr>
          <t xml:space="preserve">The share of redlisted species threatened by logging and wood harvesting is 0.134. https://www.iucnredlist.org/search, accessed at 2026-01-10.
An estimated 1.15 billion hectares (Bha) of forest are designated primarily for production, equivalent to roughly 30 percent of global forest area. https://gfr.wri.org/forest-designation-indicators/production-forests#how-much-production-forest-exists-globally. Accessed at 2026-01-08
</t>
        </r>
      </text>
    </comment>
    <comment ref="N32" authorId="0" shapeId="0" xr:uid="{C142FCDF-49A5-487E-BA45-67D6C69101B0}">
      <text>
        <r>
          <rPr>
            <sz val="9"/>
            <color indexed="81"/>
            <rFont val="Tahoma"/>
            <family val="2"/>
          </rPr>
          <t xml:space="preserve">There is a large variation in impacts  on NEX due to area structure and climate, roughly a factor 10 indicating a standard deviation of a factor of 3. For a product system with 10 elementary flow points this would mean a factor of EXP(LN(3)/3.6) = 1.4
</t>
        </r>
      </text>
    </comment>
  </commentList>
</comments>
</file>

<file path=xl/sharedStrings.xml><?xml version="1.0" encoding="utf-8"?>
<sst xmlns="http://schemas.openxmlformats.org/spreadsheetml/2006/main" count="4186" uniqueCount="1782">
  <si>
    <t>.</t>
  </si>
  <si>
    <t>A 2025 default impact assessment version for the EPS system - EPS 2025d - Models and Data</t>
  </si>
  <si>
    <t>Bengt Steen, Environmental System Analysis and Swedish Life Cycle Center, Chalmers University of Technology</t>
  </si>
  <si>
    <t>bengt.steen@chalmers.se</t>
  </si>
  <si>
    <r>
      <t>Worksheet environmental goods (</t>
    </r>
    <r>
      <rPr>
        <b/>
        <sz val="10"/>
        <rFont val="Arial"/>
        <family val="2"/>
      </rPr>
      <t>Env.goods</t>
    </r>
    <r>
      <rPr>
        <sz val="10"/>
        <rFont val="Arial"/>
        <family val="2"/>
      </rPr>
      <t>) summarizing environmental goods (endpoint category indicators) and their monetary values by Januari 1st 2025</t>
    </r>
  </si>
  <si>
    <r>
      <t xml:space="preserve">Worksheet </t>
    </r>
    <r>
      <rPr>
        <b/>
        <sz val="10"/>
        <rFont val="Arial"/>
        <family val="2"/>
      </rPr>
      <t>Noise</t>
    </r>
    <r>
      <rPr>
        <sz val="10"/>
        <rFont val="Arial"/>
        <family val="2"/>
      </rPr>
      <t>, where characterisation factors and loss of natural capital  caused by noise are calculated</t>
    </r>
  </si>
  <si>
    <r>
      <t xml:space="preserve">Worksheet </t>
    </r>
    <r>
      <rPr>
        <b/>
        <sz val="10"/>
        <rFont val="Arial"/>
        <family val="2"/>
      </rPr>
      <t xml:space="preserve">Radionucleids </t>
    </r>
    <r>
      <rPr>
        <sz val="10"/>
        <rFont val="Arial"/>
        <family val="2"/>
      </rPr>
      <t>describing how characterisation factors and loss of natual capital from emissons of radioactive material are determined</t>
    </r>
  </si>
  <si>
    <r>
      <t xml:space="preserve">Worksheet </t>
    </r>
    <r>
      <rPr>
        <b/>
        <sz val="10"/>
        <rFont val="Arial"/>
        <family val="2"/>
      </rPr>
      <t>Land use</t>
    </r>
    <r>
      <rPr>
        <sz val="10"/>
        <rFont val="Arial"/>
        <family val="2"/>
      </rPr>
      <t>, where  chararcterisation factors and loss of natural capital from different land use are calculated</t>
    </r>
  </si>
  <si>
    <r>
      <t xml:space="preserve">Worksheet </t>
    </r>
    <r>
      <rPr>
        <b/>
        <sz val="10"/>
        <rFont val="Arial"/>
        <family val="2"/>
      </rPr>
      <t>Waste</t>
    </r>
    <r>
      <rPr>
        <sz val="10"/>
        <rFont val="Arial"/>
        <family val="2"/>
      </rPr>
      <t xml:space="preserve"> adressing emission of waste to soil (littering)</t>
    </r>
  </si>
  <si>
    <t>uncertainty</t>
  </si>
  <si>
    <t>€</t>
  </si>
  <si>
    <t>kg</t>
  </si>
  <si>
    <t>Hg to water</t>
  </si>
  <si>
    <t>As to freshwater</t>
  </si>
  <si>
    <t>CO2</t>
  </si>
  <si>
    <t>Pb</t>
  </si>
  <si>
    <t>Cd to freshwater</t>
  </si>
  <si>
    <t>BOD to freshwater</t>
  </si>
  <si>
    <t>Pb to freshwater</t>
  </si>
  <si>
    <t>Cr6+ to freshwater</t>
  </si>
  <si>
    <t>N-tot to freshwater</t>
  </si>
  <si>
    <t>N-tot to seawater</t>
  </si>
  <si>
    <t>P-tot to freshwater</t>
  </si>
  <si>
    <t>CO</t>
  </si>
  <si>
    <t>NOx</t>
  </si>
  <si>
    <t>N2O</t>
  </si>
  <si>
    <t>SO2</t>
  </si>
  <si>
    <t>H2S</t>
  </si>
  <si>
    <t>HF</t>
  </si>
  <si>
    <t>HCl</t>
  </si>
  <si>
    <t>HBr</t>
  </si>
  <si>
    <t>HCN</t>
  </si>
  <si>
    <t>NH3</t>
  </si>
  <si>
    <t>O3</t>
  </si>
  <si>
    <t>PM2.5</t>
  </si>
  <si>
    <t>PAH</t>
  </si>
  <si>
    <t>Median NMVOC</t>
  </si>
  <si>
    <t>Environmental good or service</t>
  </si>
  <si>
    <t>Impact valued and indicator</t>
  </si>
  <si>
    <t>Indicator unit</t>
  </si>
  <si>
    <t>Production capacity of crop</t>
  </si>
  <si>
    <t>Decreased production capacity</t>
  </si>
  <si>
    <t>Production capacity of wood</t>
  </si>
  <si>
    <t>Production capacity of meat</t>
  </si>
  <si>
    <t>Production capacity of fish</t>
  </si>
  <si>
    <t>Production capacity of drinking water</t>
  </si>
  <si>
    <t>Biodiversity, global</t>
  </si>
  <si>
    <t>Redlisted species, number of</t>
  </si>
  <si>
    <t>total number</t>
  </si>
  <si>
    <t>Fossil oil resources</t>
  </si>
  <si>
    <t>Depletion of reserves, mass</t>
  </si>
  <si>
    <t>Fossil coal resources</t>
  </si>
  <si>
    <t>Lignite resources</t>
  </si>
  <si>
    <t>Natural gas resources</t>
  </si>
  <si>
    <t>m3</t>
  </si>
  <si>
    <t>Silver(Ag) ore</t>
  </si>
  <si>
    <t>kg of element</t>
  </si>
  <si>
    <t>Aluminium(Al) ore</t>
  </si>
  <si>
    <t>Argon(Ar) gas</t>
  </si>
  <si>
    <t>Arsenic(As) ore</t>
  </si>
  <si>
    <t>Gold(Au) ore</t>
  </si>
  <si>
    <t>Boron(B) resources</t>
  </si>
  <si>
    <t>Barium(Ba) ore</t>
  </si>
  <si>
    <t>Beryllium(Be) ore</t>
  </si>
  <si>
    <t>Wismuth(Bi) ore</t>
  </si>
  <si>
    <t>Bromine(Br) resources</t>
  </si>
  <si>
    <t>Cadmium(Cd) ore</t>
  </si>
  <si>
    <t>Calcium(Ca) ore</t>
  </si>
  <si>
    <t>Cerium(Ce) ore</t>
  </si>
  <si>
    <t>Chloride(Cl) salt</t>
  </si>
  <si>
    <t>Cobolt(Co) ore</t>
  </si>
  <si>
    <t>Chromium(Cr) ore</t>
  </si>
  <si>
    <t>Cesium(Cs) ore</t>
  </si>
  <si>
    <t>Copper(Cu) ore</t>
  </si>
  <si>
    <t>Dysprosium(Dy) ore</t>
  </si>
  <si>
    <t>Erbium(Er) ore</t>
  </si>
  <si>
    <t>Europium(Eu) ore</t>
  </si>
  <si>
    <t>Fluorine(F) ore</t>
  </si>
  <si>
    <t>Iron(Fe) ore</t>
  </si>
  <si>
    <t>Gallium(Ga) ore</t>
  </si>
  <si>
    <t>Gadolinium(Gd) ore</t>
  </si>
  <si>
    <t>Germanium(Ge) ore</t>
  </si>
  <si>
    <t>Hydrogen(H) resources</t>
  </si>
  <si>
    <t>Hafnium(Hf) ore</t>
  </si>
  <si>
    <t>Helium(He) gas</t>
  </si>
  <si>
    <t>Mercury(Hg) ore</t>
  </si>
  <si>
    <t>Holmium(Ho) ore</t>
  </si>
  <si>
    <t>Iodine(I) resources</t>
  </si>
  <si>
    <t>Indium(In) ore</t>
  </si>
  <si>
    <t>Iridium(Ir) ore</t>
  </si>
  <si>
    <t>Potassium(K) salt</t>
  </si>
  <si>
    <t>Lanthanum(La) ore</t>
  </si>
  <si>
    <t>Lithium(Li) resources</t>
  </si>
  <si>
    <t>Luthenium(Lu) ore</t>
  </si>
  <si>
    <t>Magnesium(Mg) resources</t>
  </si>
  <si>
    <t>Manganese(Mn) ore</t>
  </si>
  <si>
    <t>Molybden(Mo) ore</t>
  </si>
  <si>
    <t>Sodium(Na) salt</t>
  </si>
  <si>
    <t>Neon(Ne) gas</t>
  </si>
  <si>
    <t>Nitrogen(N) gas</t>
  </si>
  <si>
    <t>Niob(Nb) ore</t>
  </si>
  <si>
    <t>Nickel(Ni) ore</t>
  </si>
  <si>
    <t>Neodymium(Nd) ore</t>
  </si>
  <si>
    <t>Osmium(Os) ore</t>
  </si>
  <si>
    <t>Oxygen(O) gas</t>
  </si>
  <si>
    <t>Phosphorus(P) ore</t>
  </si>
  <si>
    <t>Lead(Pb) ore</t>
  </si>
  <si>
    <t>Palladium(Pd) ore</t>
  </si>
  <si>
    <t>Praseodymium(Pr) ore</t>
  </si>
  <si>
    <t>Platinum(Pt) ore</t>
  </si>
  <si>
    <t>Rubidium(Rb) ore</t>
  </si>
  <si>
    <t>Rhenium(Re) ore</t>
  </si>
  <si>
    <t>Rhodium(Rh) ore</t>
  </si>
  <si>
    <t>Ruthenium(Ru) ore</t>
  </si>
  <si>
    <t>Elementary S</t>
  </si>
  <si>
    <t>Antimony(Sb) ore</t>
  </si>
  <si>
    <t>Scandium(Sc) ore</t>
  </si>
  <si>
    <t>Selenium(Se) resources</t>
  </si>
  <si>
    <t>Silicon(Si) minerals</t>
  </si>
  <si>
    <t>Samarium(Sm) ore</t>
  </si>
  <si>
    <t>Tin(Sn) ore</t>
  </si>
  <si>
    <t>Strontium(Sr) minerals</t>
  </si>
  <si>
    <t>Tantalum(Ta) ore</t>
  </si>
  <si>
    <t>Terbium(Tb) ore</t>
  </si>
  <si>
    <t>Tellurium(Te) resources</t>
  </si>
  <si>
    <t>Titanium(Ti) ore</t>
  </si>
  <si>
    <t>Thallium(Tl) ore</t>
  </si>
  <si>
    <t>Thorium(Th) re</t>
  </si>
  <si>
    <t>Thulium(Tm) ore</t>
  </si>
  <si>
    <r>
      <t>Uranium 235(U</t>
    </r>
    <r>
      <rPr>
        <vertAlign val="superscript"/>
        <sz val="10"/>
        <rFont val="Arial"/>
        <family val="2"/>
      </rPr>
      <t>235</t>
    </r>
    <r>
      <rPr>
        <sz val="10"/>
        <rFont val="Arial"/>
        <family val="2"/>
      </rPr>
      <t>) ore</t>
    </r>
  </si>
  <si>
    <r>
      <t>Uranium 238(U</t>
    </r>
    <r>
      <rPr>
        <vertAlign val="superscript"/>
        <sz val="10"/>
        <rFont val="Arial"/>
        <family val="2"/>
      </rPr>
      <t>238</t>
    </r>
    <r>
      <rPr>
        <sz val="10"/>
        <rFont val="Arial"/>
        <family val="2"/>
      </rPr>
      <t>)  ore</t>
    </r>
  </si>
  <si>
    <t>Vanadium(V) ore</t>
  </si>
  <si>
    <t>Tungsten(W) ore</t>
  </si>
  <si>
    <t>Yttrium(Y) ore</t>
  </si>
  <si>
    <t>Ytterbium(Yb) ore</t>
  </si>
  <si>
    <t>Zinc(Zn) ore</t>
  </si>
  <si>
    <t>Zirconium(Zr) ore</t>
  </si>
  <si>
    <t>Clean air, clean water, uncontaminated food, and good climate</t>
  </si>
  <si>
    <t>Decreased healthy life years</t>
  </si>
  <si>
    <t>personyears</t>
  </si>
  <si>
    <t>Severe wasting</t>
  </si>
  <si>
    <t>Diarrhea</t>
  </si>
  <si>
    <t>Malaria episodes</t>
  </si>
  <si>
    <t>Angina pectoris</t>
  </si>
  <si>
    <t>Cardiovascular disease</t>
  </si>
  <si>
    <t>Infarcts</t>
  </si>
  <si>
    <t>Working capacity</t>
  </si>
  <si>
    <t>personhours</t>
  </si>
  <si>
    <t xml:space="preserve">Asthma </t>
  </si>
  <si>
    <t>COPD</t>
  </si>
  <si>
    <t>Cancer</t>
  </si>
  <si>
    <t>Skin cancer</t>
  </si>
  <si>
    <t>Low vision, moderate impairment</t>
  </si>
  <si>
    <t>Poisoning</t>
  </si>
  <si>
    <t>Intellectual disability: mild</t>
  </si>
  <si>
    <t>Osteoporosis</t>
  </si>
  <si>
    <t>case</t>
  </si>
  <si>
    <t>Renal dysfunction</t>
  </si>
  <si>
    <t>Flow unit</t>
  </si>
  <si>
    <t>Impact
indicator</t>
  </si>
  <si>
    <t>Impact 
indicator unit</t>
  </si>
  <si>
    <t>Pathway</t>
  </si>
  <si>
    <t>Abundance
in earth's upper 
continental crust (mg/kg)</t>
  </si>
  <si>
    <t>Leaching efficiency</t>
  </si>
  <si>
    <t>Uncer
tainty</t>
  </si>
  <si>
    <t>Silver(Ag)-ore</t>
  </si>
  <si>
    <t>kg element</t>
  </si>
  <si>
    <t>Decreased reserves</t>
  </si>
  <si>
    <t>Mining</t>
  </si>
  <si>
    <t>Arsenic(As)-ore</t>
  </si>
  <si>
    <t>Gold(Au)-ore</t>
  </si>
  <si>
    <t>Barium(Ba)-ore</t>
  </si>
  <si>
    <t>Beryllium(Be)-ore</t>
  </si>
  <si>
    <t>Bismuth(Bi)-ore</t>
  </si>
  <si>
    <t>Calcium(Ca)-ore</t>
  </si>
  <si>
    <t>n.a.</t>
  </si>
  <si>
    <t>Cadmium(Cd)-ore</t>
  </si>
  <si>
    <t>Cerium(Ce)-ore</t>
  </si>
  <si>
    <t>Cobolt(Co)-ore</t>
  </si>
  <si>
    <t>Chromium(Cr)-ore</t>
  </si>
  <si>
    <t>Cesium(Cs)-ore</t>
  </si>
  <si>
    <t>Copper(Cu)-ore</t>
  </si>
  <si>
    <t>Dysprosium(Dy)-ore</t>
  </si>
  <si>
    <t>Erbium(Er)-ore</t>
  </si>
  <si>
    <t>Europium(Eu)-ore</t>
  </si>
  <si>
    <t>Fluorine(F)-ore</t>
  </si>
  <si>
    <t>Gallium(Ga)-ore</t>
  </si>
  <si>
    <t>Gadolinium(Gd)-ore</t>
  </si>
  <si>
    <t>Germanium(Ge)-ore</t>
  </si>
  <si>
    <t>Hafnium(Hf)-ore</t>
  </si>
  <si>
    <t>Mercury(Hg)-ore</t>
  </si>
  <si>
    <t>Holmium(Ho)-ore</t>
  </si>
  <si>
    <t>Indium(In)-ore</t>
  </si>
  <si>
    <t>Iridium(Ir)-ore</t>
  </si>
  <si>
    <t>Lanthanum(La)-ore</t>
  </si>
  <si>
    <t>Lithium(Li)-ore</t>
  </si>
  <si>
    <t>Luthetium(Lu)-ore</t>
  </si>
  <si>
    <t>Manganese(Mn)-ore</t>
  </si>
  <si>
    <t>Molybdenum(Mo)-ore</t>
  </si>
  <si>
    <t>Niob(Nb)-ore</t>
  </si>
  <si>
    <t>Neodymium(Nd)-ore</t>
  </si>
  <si>
    <t>Nickel(Ni)-ore</t>
  </si>
  <si>
    <t>Osmium(Os)-ore</t>
  </si>
  <si>
    <t>Phosphorus(P)-ore</t>
  </si>
  <si>
    <t>Lead(Pb)-ore</t>
  </si>
  <si>
    <t>Palladium(Pd)-ore</t>
  </si>
  <si>
    <t>Praseodymium(Pr)-ore</t>
  </si>
  <si>
    <t>Platinum(Pt)-ore</t>
  </si>
  <si>
    <t>Rubidium(Rb)-ore</t>
  </si>
  <si>
    <t>Rhenium(Re)-ore</t>
  </si>
  <si>
    <t>Rhodium(Rh)-ore</t>
  </si>
  <si>
    <t>Ruthenium(Ru)-ore</t>
  </si>
  <si>
    <t>Antimony(Sb)-ore</t>
  </si>
  <si>
    <t>Scandium(Sc)-ore</t>
  </si>
  <si>
    <t>Selenium(Se)-ore</t>
  </si>
  <si>
    <t>Samarium(Sm)-ore</t>
  </si>
  <si>
    <t>Tin(Sn)-ore</t>
  </si>
  <si>
    <t>Strontium(Sr)-ore</t>
  </si>
  <si>
    <t>Tantalum(Ta)-ore</t>
  </si>
  <si>
    <t>Terbium(Tb)-ore</t>
  </si>
  <si>
    <t>Tellurium(Te)-ore</t>
  </si>
  <si>
    <t>Thorium(Th)-ore</t>
  </si>
  <si>
    <t>Titanium(Ti)-ore</t>
  </si>
  <si>
    <t>Thallium(Tl)-ore</t>
  </si>
  <si>
    <t>Thulium™-ore</t>
  </si>
  <si>
    <t>Uranium(U) 235-ore</t>
  </si>
  <si>
    <t>Uranium(U) 238-ore</t>
  </si>
  <si>
    <t>Tungsten(W)-ore</t>
  </si>
  <si>
    <t>Vanadium(V)-ore</t>
  </si>
  <si>
    <t>Yttrium(Y)-ore</t>
  </si>
  <si>
    <t>Ytterbium(Yb)-ore</t>
  </si>
  <si>
    <t>Zinc(Zn)-ore</t>
  </si>
  <si>
    <t>Zirconium(Zr)-ore</t>
  </si>
  <si>
    <t>Boron(B)-ore</t>
  </si>
  <si>
    <t xml:space="preserve"> </t>
  </si>
  <si>
    <t>Bromine(Br)-salts</t>
  </si>
  <si>
    <t>Hydrogen(H)-compounds</t>
  </si>
  <si>
    <t>Sodium(Na)-salts</t>
  </si>
  <si>
    <t>Potassium(K)-salts</t>
  </si>
  <si>
    <t>Magnesium(Mg)-salts</t>
  </si>
  <si>
    <t>Sulphur(S)-ore</t>
  </si>
  <si>
    <t>Silicon(Si)-ore</t>
  </si>
  <si>
    <t>Iodine(I)-salts</t>
  </si>
  <si>
    <t>Chlorine(Cl)-salts</t>
  </si>
  <si>
    <t>Argon(Ar)-gas</t>
  </si>
  <si>
    <t>Extraction</t>
  </si>
  <si>
    <t>Helium(He)-gas</t>
  </si>
  <si>
    <t>Neon(Ne)-gas</t>
  </si>
  <si>
    <t>Nitrogen(N)-gas</t>
  </si>
  <si>
    <t>Oxygen(O)-gas</t>
  </si>
  <si>
    <t>Substance
 flow group</t>
  </si>
  <si>
    <t>Environmental
good subject to impact</t>
  </si>
  <si>
    <t>Impact unit</t>
  </si>
  <si>
    <t>Extent of impact,
uncertainty</t>
  </si>
  <si>
    <r>
      <t>Contribution, best estimate,   ( kg</t>
    </r>
    <r>
      <rPr>
        <b/>
        <vertAlign val="superscript"/>
        <sz val="10"/>
        <rFont val="Arial"/>
        <family val="2"/>
      </rPr>
      <t>-1</t>
    </r>
    <r>
      <rPr>
        <b/>
        <sz val="10"/>
        <rFont val="Arial"/>
        <family val="2"/>
      </rPr>
      <t>)</t>
    </r>
  </si>
  <si>
    <t>Contribution
 uncertainty</t>
  </si>
  <si>
    <t>Pathway specific 
charcterisation factor</t>
  </si>
  <si>
    <t>YLL</t>
  </si>
  <si>
    <t>heat stress</t>
  </si>
  <si>
    <t>cold moderation</t>
  </si>
  <si>
    <t>undernutrition</t>
  </si>
  <si>
    <t>Coastal flooding</t>
  </si>
  <si>
    <t>diseases</t>
  </si>
  <si>
    <t>severe wasting</t>
  </si>
  <si>
    <t>food supply</t>
  </si>
  <si>
    <t>working capacity</t>
  </si>
  <si>
    <t>diarrhoea</t>
  </si>
  <si>
    <t>DALY</t>
  </si>
  <si>
    <t>polluted drinking water</t>
  </si>
  <si>
    <t>crop</t>
  </si>
  <si>
    <t>climate change</t>
  </si>
  <si>
    <t>rise of sea level</t>
  </si>
  <si>
    <t>meat</t>
  </si>
  <si>
    <t>draught</t>
  </si>
  <si>
    <t>fish</t>
  </si>
  <si>
    <t>wood</t>
  </si>
  <si>
    <t>drinking water</t>
  </si>
  <si>
    <t>NEX</t>
  </si>
  <si>
    <t>share of species at risk for extinction</t>
  </si>
  <si>
    <t>all</t>
  </si>
  <si>
    <t>oxidant formation</t>
  </si>
  <si>
    <t>share, dimensionless</t>
  </si>
  <si>
    <t>kg NO2</t>
  </si>
  <si>
    <t>particles/health</t>
  </si>
  <si>
    <t>eutrophication, dead zones</t>
  </si>
  <si>
    <t>N-nutrification of ocean</t>
  </si>
  <si>
    <t>acidification</t>
  </si>
  <si>
    <t>N-nutrification</t>
  </si>
  <si>
    <t>eutrofication</t>
  </si>
  <si>
    <t>HNO2</t>
  </si>
  <si>
    <t>Accounted for as NOX. 1 kg HNO2 = 0.941 kg NOx</t>
  </si>
  <si>
    <t>HNO3</t>
  </si>
  <si>
    <t>Accounted for as NOX. 1 kg HNO3 = 0.730 kg NOx</t>
  </si>
  <si>
    <t>ozone depletion</t>
  </si>
  <si>
    <t>direct exposure</t>
  </si>
  <si>
    <t>secondary aerosols</t>
  </si>
  <si>
    <t>asthma cases</t>
  </si>
  <si>
    <t>under-nutrition</t>
  </si>
  <si>
    <t>replacement costs</t>
  </si>
  <si>
    <t>corrosion</t>
  </si>
  <si>
    <t>secondary SO2</t>
  </si>
  <si>
    <t>seconday aerosols</t>
  </si>
  <si>
    <t>secondary aerosol</t>
  </si>
  <si>
    <t>nutrification</t>
  </si>
  <si>
    <t>Hg to air as trace element</t>
  </si>
  <si>
    <t>brain damage</t>
  </si>
  <si>
    <t>T</t>
  </si>
  <si>
    <t>Hg to air from bulk handling</t>
  </si>
  <si>
    <t>Depletion of Hg reserves</t>
  </si>
  <si>
    <t>kg Hg</t>
  </si>
  <si>
    <t>dispersion</t>
  </si>
  <si>
    <t>diarrhea</t>
  </si>
  <si>
    <t>habitat change</t>
  </si>
  <si>
    <t>CASRN</t>
  </si>
  <si>
    <t>LD50</t>
  </si>
  <si>
    <t>Uncertainty</t>
  </si>
  <si>
    <t>remarks</t>
  </si>
  <si>
    <t>Potency
factor</t>
  </si>
  <si>
    <t>Poisoning
personyear</t>
  </si>
  <si>
    <t>As-ore</t>
  </si>
  <si>
    <t>Cu-ore</t>
  </si>
  <si>
    <t>F-ore</t>
  </si>
  <si>
    <t>Hg-ore</t>
  </si>
  <si>
    <t>I-ore</t>
  </si>
  <si>
    <t>P-ore</t>
  </si>
  <si>
    <t>Pb-ore</t>
  </si>
  <si>
    <t>S-ore</t>
  </si>
  <si>
    <t>Sn-ore</t>
  </si>
  <si>
    <t>Tl-ore</t>
  </si>
  <si>
    <t>Zn-ore</t>
  </si>
  <si>
    <t>Biodiversity, 
NEX</t>
  </si>
  <si>
    <t>2,3,6-TBA [ISO]</t>
  </si>
  <si>
    <t>000050-31-7</t>
  </si>
  <si>
    <t>2,4-D [ISO]</t>
  </si>
  <si>
    <t>000094-75-7</t>
  </si>
  <si>
    <t>IARC 41 suppl 7</t>
  </si>
  <si>
    <t>2,4-DB</t>
  </si>
  <si>
    <t>000094-82-6</t>
  </si>
  <si>
    <t>oral intake</t>
  </si>
  <si>
    <t>2-Napthyloxyacetic acid [ISO]</t>
  </si>
  <si>
    <t>000120-23-0</t>
  </si>
  <si>
    <t>3-Chloro-1,2-propanediol</t>
  </si>
  <si>
    <t>000096-24-2</t>
  </si>
  <si>
    <t>carcinogenic</t>
  </si>
  <si>
    <t>4-CPA [ISO]</t>
  </si>
  <si>
    <t>000122-88-3</t>
  </si>
  <si>
    <t>Acephate [ISO]</t>
  </si>
  <si>
    <t>030560-19-1</t>
  </si>
  <si>
    <t>Acifluorfen [ISO]</t>
  </si>
  <si>
    <t>050594-66-6</t>
  </si>
  <si>
    <t xml:space="preserve">Acrolein [C] </t>
  </si>
  <si>
    <t>000107-02-8</t>
  </si>
  <si>
    <t>IARC 63;</t>
  </si>
  <si>
    <t>Alachlor [ISO]</t>
  </si>
  <si>
    <t>015972-60-8</t>
  </si>
  <si>
    <t>IARC 19</t>
  </si>
  <si>
    <t>Alanycarb [ISO]</t>
  </si>
  <si>
    <t>083130-01-2</t>
  </si>
  <si>
    <t>Aldicarb [ISO]</t>
  </si>
  <si>
    <t>000116-06-3</t>
  </si>
  <si>
    <t>IARC 53</t>
  </si>
  <si>
    <t>Allethrin [ISO]</t>
  </si>
  <si>
    <t>000584-79-2</t>
  </si>
  <si>
    <t>Allyl alcohol [C]</t>
  </si>
  <si>
    <t>000107-18-6</t>
  </si>
  <si>
    <t>Alpha-cypermethrin [ISO]</t>
  </si>
  <si>
    <t>067375-30-8</t>
  </si>
  <si>
    <t>Ametryn [ISO]</t>
  </si>
  <si>
    <t>000834-12-8</t>
  </si>
  <si>
    <t>Amitraz [ISO]</t>
  </si>
  <si>
    <t>033089-61-1</t>
  </si>
  <si>
    <t>Anilofos [ISO]</t>
  </si>
  <si>
    <t>064249-01-0</t>
  </si>
  <si>
    <t>Azaconazole</t>
  </si>
  <si>
    <t>060207-31-0</t>
  </si>
  <si>
    <t>Azamethiphos [ISO]</t>
  </si>
  <si>
    <t>035575-96-3</t>
  </si>
  <si>
    <t>Azinphos-ethyl [ISO]</t>
  </si>
  <si>
    <t>002642-71-9</t>
  </si>
  <si>
    <t>Azinphos-methyl [ISO]</t>
  </si>
  <si>
    <t>000086-50-0</t>
  </si>
  <si>
    <t>Azocyclotin [ISO]</t>
  </si>
  <si>
    <t>041083-11-8</t>
  </si>
  <si>
    <t>Bendiocarb [ISO]</t>
  </si>
  <si>
    <t>022781-23-3</t>
  </si>
  <si>
    <t>Benfuracarb [ISO]</t>
  </si>
  <si>
    <t>082560-54-1</t>
  </si>
  <si>
    <t>Bensulide [ISO]</t>
  </si>
  <si>
    <t>000741-58-2</t>
  </si>
  <si>
    <t>Bensultap [ISO]</t>
  </si>
  <si>
    <t>017606-31-4</t>
  </si>
  <si>
    <t>Bentazone [ISO]</t>
  </si>
  <si>
    <t>025057-89-0</t>
  </si>
  <si>
    <t>Beta-cyfluthrin [ISO]</t>
  </si>
  <si>
    <t>068359-37-5</t>
  </si>
  <si>
    <t>Bifenthrin</t>
  </si>
  <si>
    <t>082657-04-3</t>
  </si>
  <si>
    <t>Bilanafos sodium [ISO]</t>
  </si>
  <si>
    <t>071048-99-2</t>
  </si>
  <si>
    <t>Bioallethrin [C]</t>
  </si>
  <si>
    <t>Blasticidin-S</t>
  </si>
  <si>
    <t>002079-00-7</t>
  </si>
  <si>
    <t>Brodifacoum [ISO]</t>
  </si>
  <si>
    <t>056073-10-0</t>
  </si>
  <si>
    <t>Bromadiolone [ISO]</t>
  </si>
  <si>
    <t>028772-56-7</t>
  </si>
  <si>
    <t>Bromethalin [ISO]</t>
  </si>
  <si>
    <t>063333-35-7</t>
  </si>
  <si>
    <t>Bromoxynil [ISO]</t>
  </si>
  <si>
    <t>001689-84-5</t>
  </si>
  <si>
    <t>Bromuconazole</t>
  </si>
  <si>
    <t>116255-48-2</t>
  </si>
  <si>
    <t>Bronopol</t>
  </si>
  <si>
    <t>000052-51-7</t>
  </si>
  <si>
    <t>Butamifos [ISO]</t>
  </si>
  <si>
    <t>036335-67-8</t>
  </si>
  <si>
    <t>Butocarboxim [ISO]</t>
  </si>
  <si>
    <t>034681-10-2</t>
  </si>
  <si>
    <t>Butoxycarboxim [ISO]</t>
  </si>
  <si>
    <t>034681-23-7</t>
  </si>
  <si>
    <t>Butralin [ISO]</t>
  </si>
  <si>
    <t>033629-47-9</t>
  </si>
  <si>
    <t>Butroxydim [ISO]</t>
  </si>
  <si>
    <t>138164-12-2</t>
  </si>
  <si>
    <t>Butylamine [ISO]</t>
  </si>
  <si>
    <t>013952-84-6</t>
  </si>
  <si>
    <t>Cadusafos [ISO]</t>
  </si>
  <si>
    <t>095465-99-9</t>
  </si>
  <si>
    <t>Calcium arsenate [C]</t>
  </si>
  <si>
    <t>007778-44-1</t>
  </si>
  <si>
    <t>IARC 84</t>
  </si>
  <si>
    <t>Calcium cyanide [C]</t>
  </si>
  <si>
    <t>000592-01-8</t>
  </si>
  <si>
    <t>Captafol [ISO]</t>
  </si>
  <si>
    <t>002425-06-1</t>
  </si>
  <si>
    <t>Carbaryl [ISO]</t>
  </si>
  <si>
    <t>000063-25-2</t>
  </si>
  <si>
    <t>Carbofuran [ISO]</t>
  </si>
  <si>
    <t>001563-66-2</t>
  </si>
  <si>
    <t>Carbosulfan [ISO]</t>
  </si>
  <si>
    <t>055285-14-8</t>
  </si>
  <si>
    <t>Cartap [ISO]</t>
  </si>
  <si>
    <t>015263-53-3</t>
  </si>
  <si>
    <t>Chloralose [C]</t>
  </si>
  <si>
    <t>015879-93-3</t>
  </si>
  <si>
    <t>Chlordane [ISO]</t>
  </si>
  <si>
    <t>000057-74-9</t>
  </si>
  <si>
    <t xml:space="preserve">Chlorethoxyfos [ISO] </t>
  </si>
  <si>
    <t>054593-83-8</t>
  </si>
  <si>
    <t>Chlorfenapyr [ISO]</t>
  </si>
  <si>
    <t>122453-73-0</t>
  </si>
  <si>
    <t>Chlorfenvinphos [ISO]</t>
  </si>
  <si>
    <t>000470-90-6</t>
  </si>
  <si>
    <t>Chlormephos [ISO]</t>
  </si>
  <si>
    <t>024934-91-6</t>
  </si>
  <si>
    <t>Chlormequat (chloride) [ISO]</t>
  </si>
  <si>
    <t>000999-81-5</t>
  </si>
  <si>
    <t>Chloroacetic acid [C]</t>
  </si>
  <si>
    <t>000079-11-8</t>
  </si>
  <si>
    <t>Chlorophacinone [ISO]</t>
  </si>
  <si>
    <t>003691-35-8</t>
  </si>
  <si>
    <t>Chlorphonium chloride [ISO]</t>
  </si>
  <si>
    <t>000115-78-6</t>
  </si>
  <si>
    <t>Chlorpyrifos [ISO]</t>
  </si>
  <si>
    <t>002921-88-2</t>
  </si>
  <si>
    <t>Clomazone [ISO]</t>
  </si>
  <si>
    <t>081777-89-1</t>
  </si>
  <si>
    <t>Copper hydroxide [C]</t>
  </si>
  <si>
    <t>020427-59-2</t>
  </si>
  <si>
    <t>Copper oxychloride [C]</t>
  </si>
  <si>
    <t>001332-40-7</t>
  </si>
  <si>
    <t>Copper sulfate [C]</t>
  </si>
  <si>
    <t>007758-98-7</t>
  </si>
  <si>
    <t>Coumaphos [ISO]</t>
  </si>
  <si>
    <t>000056-72-4</t>
  </si>
  <si>
    <t>Coumatetralyl [ISO]</t>
  </si>
  <si>
    <t>005836-29-3</t>
  </si>
  <si>
    <t>Cuprous oxide [C]</t>
  </si>
  <si>
    <t>001317-39-1</t>
  </si>
  <si>
    <t>Cyanazine [ISO]</t>
  </si>
  <si>
    <t>021725-46-2</t>
  </si>
  <si>
    <t>Cyanophos [ISO]</t>
  </si>
  <si>
    <t>002636-26-2</t>
  </si>
  <si>
    <t>Cyfluthrin [ISO]</t>
  </si>
  <si>
    <t>Cyhalothrin [ISO]</t>
  </si>
  <si>
    <t>068085-85-8</t>
  </si>
  <si>
    <t>Cyhexatin [ISO]</t>
  </si>
  <si>
    <t>013121-70-5</t>
  </si>
  <si>
    <t>Cymoxanil [ISO]</t>
  </si>
  <si>
    <t>057966-95-7</t>
  </si>
  <si>
    <t>Cypermethrin [ISO]</t>
  </si>
  <si>
    <t>052315-07-8</t>
  </si>
  <si>
    <t>Cyphenothrin [(1R)-isomers][ISO]</t>
  </si>
  <si>
    <t>039515-40-7</t>
  </si>
  <si>
    <t>Cyproconazole</t>
  </si>
  <si>
    <t>094361-06-5</t>
  </si>
  <si>
    <t>Dazomet [ISO]</t>
  </si>
  <si>
    <t>000533-74-4</t>
  </si>
  <si>
    <t>DDT [ISO]</t>
  </si>
  <si>
    <t>000050-29-3</t>
  </si>
  <si>
    <t>Deltamethrin [ISO]</t>
  </si>
  <si>
    <t>052918-63-5</t>
  </si>
  <si>
    <t>Demeton-S-methyl [ISO]</t>
  </si>
  <si>
    <t>000919-86-8</t>
  </si>
  <si>
    <t>Diazinon [ISO]</t>
  </si>
  <si>
    <t>000333-41-5</t>
  </si>
  <si>
    <t>Dicamba [ISO]</t>
  </si>
  <si>
    <t>001918-00-9</t>
  </si>
  <si>
    <t>Dichlorobenzene [C]</t>
  </si>
  <si>
    <t>000106-46-7</t>
  </si>
  <si>
    <t>Dichlorophen [ISO]</t>
  </si>
  <si>
    <t>000097-23-4</t>
  </si>
  <si>
    <t>Dichlorprop [ISO]</t>
  </si>
  <si>
    <t>007547-66-2</t>
  </si>
  <si>
    <t>Dichlorvos [ISO]</t>
  </si>
  <si>
    <t>000062-73-7</t>
  </si>
  <si>
    <t>IARC 20, 53</t>
  </si>
  <si>
    <t>Diclofop [ISO]</t>
  </si>
  <si>
    <t>040483-25-2</t>
  </si>
  <si>
    <t>Dicofol [ISO]</t>
  </si>
  <si>
    <t>000115-32-2</t>
  </si>
  <si>
    <t>Dicrotophos [ISO]</t>
  </si>
  <si>
    <t>000141-66-2</t>
  </si>
  <si>
    <t>Difenacoum [ISO]</t>
  </si>
  <si>
    <t>056073-07-5</t>
  </si>
  <si>
    <t>Difenoconazole [ISO]</t>
  </si>
  <si>
    <t>119446-68-3</t>
  </si>
  <si>
    <t>Difenzoquat [ISO]</t>
  </si>
  <si>
    <t>043222-48-6</t>
  </si>
  <si>
    <t>Difethialone [ISO]</t>
  </si>
  <si>
    <t>104653-34-1</t>
  </si>
  <si>
    <t>Dimepiperate [ISO]</t>
  </si>
  <si>
    <t>061432-55-1</t>
  </si>
  <si>
    <t>Dimethachlor [ISO]</t>
  </si>
  <si>
    <t>050563-36-5</t>
  </si>
  <si>
    <t>Dimethenamid [ISO]</t>
  </si>
  <si>
    <t>087674-68-8</t>
  </si>
  <si>
    <t>Dimethipin [ISO]</t>
  </si>
  <si>
    <t>055290-64-7</t>
  </si>
  <si>
    <t>Dimethoate [ISO]</t>
  </si>
  <si>
    <t>000060-51-5</t>
  </si>
  <si>
    <t>Dimethylarsinic acid [C]</t>
  </si>
  <si>
    <t>000075-60-5</t>
  </si>
  <si>
    <t>Diniconazole [ISO]</t>
  </si>
  <si>
    <t>083657-24-3</t>
  </si>
  <si>
    <t>Dinobuton [ISO]</t>
  </si>
  <si>
    <t>000973-21-7</t>
  </si>
  <si>
    <t>Dinocap [ISO]</t>
  </si>
  <si>
    <t>039300-45-3</t>
  </si>
  <si>
    <t>Dinoterb [ISO]</t>
  </si>
  <si>
    <t>001420-07-1</t>
  </si>
  <si>
    <t>Diphacinone [ISO]</t>
  </si>
  <si>
    <t>000082-66-6</t>
  </si>
  <si>
    <t>Diphenamid [ISO]</t>
  </si>
  <si>
    <t>000957-51-7</t>
  </si>
  <si>
    <t>Diquat [ISO]</t>
  </si>
  <si>
    <t>002764-72-9</t>
  </si>
  <si>
    <t>Disulfoton [ISO]</t>
  </si>
  <si>
    <t>000298-04-4</t>
  </si>
  <si>
    <t>Dithianon [ISO]</t>
  </si>
  <si>
    <t>003347-22-6</t>
  </si>
  <si>
    <t>DNOC [ISO]</t>
  </si>
  <si>
    <t>000534-52-1</t>
  </si>
  <si>
    <t>banned in Rotterdam convention</t>
  </si>
  <si>
    <t>Dodine [ISO]</t>
  </si>
  <si>
    <t>002439-10-3</t>
  </si>
  <si>
    <t>Edifenphos [ISO]</t>
  </si>
  <si>
    <t>017109-49-8</t>
  </si>
  <si>
    <t>Endosulfan [ISO]</t>
  </si>
  <si>
    <t>000115-29-7</t>
  </si>
  <si>
    <t>Endothal-sodium [(ISO)]</t>
  </si>
  <si>
    <t>000125-67-9</t>
  </si>
  <si>
    <t>EPN</t>
  </si>
  <si>
    <t>002104-64-5</t>
  </si>
  <si>
    <t>EPTC [ISO]</t>
  </si>
  <si>
    <t>000759-94-4</t>
  </si>
  <si>
    <t>Esfenvalerate [ISO]</t>
  </si>
  <si>
    <t>066230-04-4</t>
  </si>
  <si>
    <t>Ethiofencarb [ISO]</t>
  </si>
  <si>
    <t>029973-13-5</t>
  </si>
  <si>
    <t>Ethion [ISO]</t>
  </si>
  <si>
    <t>000563-12-2</t>
  </si>
  <si>
    <t>Ethoprophos [ISO]</t>
  </si>
  <si>
    <t>013194-48-4</t>
  </si>
  <si>
    <t>Famphur</t>
  </si>
  <si>
    <t>000052-85-7</t>
  </si>
  <si>
    <t>Fenamiphos [ISO]</t>
  </si>
  <si>
    <t>022224-92-6</t>
  </si>
  <si>
    <t>Fenazaquin [ISO]</t>
  </si>
  <si>
    <t>120928-09-8</t>
  </si>
  <si>
    <t>Fenitrothion [ISO]</t>
  </si>
  <si>
    <t>000122-14-5</t>
  </si>
  <si>
    <t>Fenobucarb</t>
  </si>
  <si>
    <t>003766-81-2</t>
  </si>
  <si>
    <t>Fenothiocarb [ISO]</t>
  </si>
  <si>
    <t>062850-32-2</t>
  </si>
  <si>
    <t>Fenpropathrin [ISO]</t>
  </si>
  <si>
    <t>064257-84-7</t>
  </si>
  <si>
    <t>Fenpropidin [ISO]</t>
  </si>
  <si>
    <t>067306-00-7</t>
  </si>
  <si>
    <t>Fenpyroximate [ISO]</t>
  </si>
  <si>
    <t>134098-61-6</t>
  </si>
  <si>
    <t>Fenthion [ISO]</t>
  </si>
  <si>
    <t>000055-38-9</t>
  </si>
  <si>
    <t>Fentin acetate[(ISO)]</t>
  </si>
  <si>
    <t>000900-95-8</t>
  </si>
  <si>
    <t>Fentin hydroxide[(ISO)]</t>
  </si>
  <si>
    <t>000076-87-9</t>
  </si>
  <si>
    <t>Fenvalerate [ISO]</t>
  </si>
  <si>
    <t>051630-58-1</t>
  </si>
  <si>
    <t>Ferimzone [ISO]</t>
  </si>
  <si>
    <t>089269-64-7</t>
  </si>
  <si>
    <t>Fipronil</t>
  </si>
  <si>
    <t>120068-37-3</t>
  </si>
  <si>
    <t>Flocoumafen</t>
  </si>
  <si>
    <t>090035-08-8</t>
  </si>
  <si>
    <t>Fluchloralin [ISO]</t>
  </si>
  <si>
    <t>033245-39-5</t>
  </si>
  <si>
    <t>Flucythrinate [ISO]</t>
  </si>
  <si>
    <t>070124-77-5</t>
  </si>
  <si>
    <t>Flufenacet [ISO]</t>
  </si>
  <si>
    <t>014245-95-8</t>
  </si>
  <si>
    <t>Fluoroacetamide [C]</t>
  </si>
  <si>
    <t>000640-19-7</t>
  </si>
  <si>
    <t>Fluoroglycofen</t>
  </si>
  <si>
    <t>077501-60-1</t>
  </si>
  <si>
    <t>Flurprimidol [ISO]</t>
  </si>
  <si>
    <t>056425-91-3</t>
  </si>
  <si>
    <t>Flusilazole</t>
  </si>
  <si>
    <t>085509-19-9</t>
  </si>
  <si>
    <t>Flutriafol [ISO]</t>
  </si>
  <si>
    <t>076674-21-0</t>
  </si>
  <si>
    <t>Fluxofenim [ISO]</t>
  </si>
  <si>
    <t>088485-37-4</t>
  </si>
  <si>
    <t>Fomesafen [ISO]</t>
  </si>
  <si>
    <t>072178-02-0</t>
  </si>
  <si>
    <t>Formetanate hydrochloride</t>
  </si>
  <si>
    <t>23422-53-9</t>
  </si>
  <si>
    <t>Fuberidazole [ISO]</t>
  </si>
  <si>
    <t>003878-19-1</t>
  </si>
  <si>
    <t>Furalaxyl [ISO]</t>
  </si>
  <si>
    <t>057646-30-7</t>
  </si>
  <si>
    <t>Furathiocarb</t>
  </si>
  <si>
    <t>065907-30-4</t>
  </si>
  <si>
    <t>Gamma-HCH [ISO], Lindane</t>
  </si>
  <si>
    <t>000058-89-9</t>
  </si>
  <si>
    <t>Glufosinate-ammonium</t>
  </si>
  <si>
    <t>77182-82-2</t>
  </si>
  <si>
    <t>Guazatine</t>
  </si>
  <si>
    <t>108173-90-6</t>
  </si>
  <si>
    <t xml:space="preserve">Haloxyfop </t>
  </si>
  <si>
    <t>069806-34-4</t>
  </si>
  <si>
    <t>HCH [ISO], (Lindane)</t>
  </si>
  <si>
    <t>000608-73-1</t>
  </si>
  <si>
    <t>IARC 5, 20, 42</t>
  </si>
  <si>
    <t>Heptenophos [ISO]</t>
  </si>
  <si>
    <t>023560-59-0</t>
  </si>
  <si>
    <t>Hexachlorobenzene [ISO]</t>
  </si>
  <si>
    <t>000118-74-1</t>
  </si>
  <si>
    <t>IARC 79;</t>
  </si>
  <si>
    <t>Hexazinone [ISO]</t>
  </si>
  <si>
    <t>051235-04-2</t>
  </si>
  <si>
    <t>Hydramethylnon</t>
  </si>
  <si>
    <t>067485-29-4</t>
  </si>
  <si>
    <t>Imazalil [ISO]</t>
  </si>
  <si>
    <t>035554-44-0</t>
  </si>
  <si>
    <t>Imidacloprid [ISO]</t>
  </si>
  <si>
    <t>138261-41-3</t>
  </si>
  <si>
    <t>Iminoctadine [ISO]</t>
  </si>
  <si>
    <t>013516-27-3</t>
  </si>
  <si>
    <t>Indoxacarb [ISO]</t>
  </si>
  <si>
    <t>173584-44-6</t>
  </si>
  <si>
    <t>Ioxynil [ISO]</t>
  </si>
  <si>
    <t>001689-83-4</t>
  </si>
  <si>
    <t>Ioxynil octanoate [(ISO)]</t>
  </si>
  <si>
    <t>003861-47-0</t>
  </si>
  <si>
    <t>Iprobenfos</t>
  </si>
  <si>
    <t>026087-47-8</t>
  </si>
  <si>
    <t>Isoprocarb [ISO]</t>
  </si>
  <si>
    <t>002631-40-5</t>
  </si>
  <si>
    <t>Isoprothiolane [ISO]</t>
  </si>
  <si>
    <t>050512-35-1</t>
  </si>
  <si>
    <t>Isoproturon [ISO]</t>
  </si>
  <si>
    <t>034123-59-6</t>
  </si>
  <si>
    <t>Isouron [ISO]</t>
  </si>
  <si>
    <t>055861-78-4</t>
  </si>
  <si>
    <t>Isoxathion [ISO]</t>
  </si>
  <si>
    <t>018854-04-8</t>
  </si>
  <si>
    <t>Lambda-cyhalothrin</t>
  </si>
  <si>
    <t>091465-08-6</t>
  </si>
  <si>
    <t>Lead arsenate [C]</t>
  </si>
  <si>
    <t>007784-40-9</t>
  </si>
  <si>
    <t>MCPA [ISO]</t>
  </si>
  <si>
    <t>000094-74-6</t>
  </si>
  <si>
    <t>IARC 30, 41</t>
  </si>
  <si>
    <t>MCPA-thioethyl [ISO]</t>
  </si>
  <si>
    <t>025319-90-8</t>
  </si>
  <si>
    <t>MCPB [ISO]</t>
  </si>
  <si>
    <t>000094-81-5</t>
  </si>
  <si>
    <t>Mecarbam [ISO]</t>
  </si>
  <si>
    <t>002595-54-2</t>
  </si>
  <si>
    <t>Mecoprop [ISO]</t>
  </si>
  <si>
    <t>007085-19-0</t>
  </si>
  <si>
    <t>Mecoprop-P [ISO]</t>
  </si>
  <si>
    <t>016484-77-8</t>
  </si>
  <si>
    <t>Mefluidide [ISO]</t>
  </si>
  <si>
    <t>053780-34-0</t>
  </si>
  <si>
    <t>Mepiquat [ISO]</t>
  </si>
  <si>
    <t>015302-91-7</t>
  </si>
  <si>
    <t>Mercuric chloride [ISO]</t>
  </si>
  <si>
    <t>007487-94-7</t>
  </si>
  <si>
    <t>Mercuric oxide [ISO]</t>
  </si>
  <si>
    <t>021908-53-2</t>
  </si>
  <si>
    <t>Mercurous chloride [C]</t>
  </si>
  <si>
    <t>010112-91-1</t>
  </si>
  <si>
    <t>Metalaxyl [ISO]</t>
  </si>
  <si>
    <t>057837-19-1</t>
  </si>
  <si>
    <t>Metaldehyde [ISO]</t>
  </si>
  <si>
    <t>000108-62-3</t>
  </si>
  <si>
    <t>Metamitron [ISO]</t>
  </si>
  <si>
    <t>041394-05-2</t>
  </si>
  <si>
    <t>Metam-sodium [(ISO)]</t>
  </si>
  <si>
    <t>000137-42-8</t>
  </si>
  <si>
    <t>Metconazole [ISO]</t>
  </si>
  <si>
    <t>125116-23-6</t>
  </si>
  <si>
    <t>Methacrifos [ISO]</t>
  </si>
  <si>
    <t>062610-77-9</t>
  </si>
  <si>
    <t>Methamidophos [ISO]</t>
  </si>
  <si>
    <t>010265-92-6</t>
  </si>
  <si>
    <t>Methasulfocarb [ISO]</t>
  </si>
  <si>
    <t>066952-49-6</t>
  </si>
  <si>
    <t>Methidathion [ISO]</t>
  </si>
  <si>
    <t>000950-37-8</t>
  </si>
  <si>
    <t>Methiocarb [ISO]</t>
  </si>
  <si>
    <t>002032-65-7</t>
  </si>
  <si>
    <t>Methomyl [ISO]</t>
  </si>
  <si>
    <t>016752-77-5</t>
  </si>
  <si>
    <t>Methyl isothiocyanate [ISO]</t>
  </si>
  <si>
    <t>000556-61-6</t>
  </si>
  <si>
    <t>Methylarsonic acid [ISO]</t>
  </si>
  <si>
    <t>000124-58-3</t>
  </si>
  <si>
    <t>Metolcarb [ISO]</t>
  </si>
  <si>
    <t>001129-41-5</t>
  </si>
  <si>
    <t>Metribuzin [ISO]</t>
  </si>
  <si>
    <t>021087-64-9</t>
  </si>
  <si>
    <t>Mevinphos [ISO]</t>
  </si>
  <si>
    <t>026718-65-0</t>
  </si>
  <si>
    <t>Molinate [ISO]</t>
  </si>
  <si>
    <t>002212-67-1</t>
  </si>
  <si>
    <t>Monocrotophos [ISO]</t>
  </si>
  <si>
    <t>006923-22-4</t>
  </si>
  <si>
    <t>Myclobutanil</t>
  </si>
  <si>
    <t>088671-89-0</t>
  </si>
  <si>
    <t>Nabam [ISO]</t>
  </si>
  <si>
    <t>000142-59-6</t>
  </si>
  <si>
    <t>Naled [ISO]</t>
  </si>
  <si>
    <t>000300-76-5</t>
  </si>
  <si>
    <t>Nicotine [ISO]</t>
  </si>
  <si>
    <t>000054-11-5</t>
  </si>
  <si>
    <t>Nitrapyrin [ISO]</t>
  </si>
  <si>
    <t>001929-82-4</t>
  </si>
  <si>
    <t>Nuarimol [ISO]</t>
  </si>
  <si>
    <t>063284-71-9</t>
  </si>
  <si>
    <t>Octhilinone [ISO]</t>
  </si>
  <si>
    <t>026530-20-1</t>
  </si>
  <si>
    <t>Omethoate [ISO]</t>
  </si>
  <si>
    <t>001113-02-6</t>
  </si>
  <si>
    <t>Oxadixyl</t>
  </si>
  <si>
    <t>077732-09-3</t>
  </si>
  <si>
    <t>Oxamyl [ISO]</t>
  </si>
  <si>
    <t>023135-22-0</t>
  </si>
  <si>
    <t>Oxydemeton-methyl [ISO]</t>
  </si>
  <si>
    <t>000301-12-2</t>
  </si>
  <si>
    <t>Paclobutrazol [ISO]</t>
  </si>
  <si>
    <t>076738-62-0</t>
  </si>
  <si>
    <t>Paraquat [ISO]</t>
  </si>
  <si>
    <t>001910-42-5</t>
  </si>
  <si>
    <t>Parathion [ISO]</t>
  </si>
  <si>
    <t>000056-38-2</t>
  </si>
  <si>
    <t>IARC30, suppl. 7</t>
  </si>
  <si>
    <t>Parathion-methyl [ISO]</t>
  </si>
  <si>
    <t>000298-00-0</t>
  </si>
  <si>
    <t>Paris green [C]</t>
  </si>
  <si>
    <t>012002-03-8</t>
  </si>
  <si>
    <t>Copper-arsenic complex</t>
  </si>
  <si>
    <t>Pebulate [ISO]</t>
  </si>
  <si>
    <t>001114-71-2</t>
  </si>
  <si>
    <t>Pendimethalin [ISO]</t>
  </si>
  <si>
    <t>040487-42-1</t>
  </si>
  <si>
    <t>Pentachlorophenol [ISO]</t>
  </si>
  <si>
    <t>000087-86-5</t>
  </si>
  <si>
    <t>Permethrin [ISO]</t>
  </si>
  <si>
    <t>052645-53-1</t>
  </si>
  <si>
    <t>Phenthoate [ISO]</t>
  </si>
  <si>
    <t>002597-03-7</t>
  </si>
  <si>
    <t>Phenylmercury acetate [ISO]</t>
  </si>
  <si>
    <t>000062-38-4</t>
  </si>
  <si>
    <t>Phorate [ISO]</t>
  </si>
  <si>
    <t>000298-02-2</t>
  </si>
  <si>
    <t>Phosalone [ISO]</t>
  </si>
  <si>
    <t>002310-17-0</t>
  </si>
  <si>
    <t>Phosmet [ISO]</t>
  </si>
  <si>
    <t>000732-11-6</t>
  </si>
  <si>
    <t>Phosphamidon</t>
  </si>
  <si>
    <t>013171-21-6</t>
  </si>
  <si>
    <t>Phoxim [ISO]</t>
  </si>
  <si>
    <t>014816-18-3</t>
  </si>
  <si>
    <t>Piperophos [ISO]</t>
  </si>
  <si>
    <t>024151-93-7</t>
  </si>
  <si>
    <t>Pirimicarb [ISO]</t>
  </si>
  <si>
    <t>023103-98-2</t>
  </si>
  <si>
    <t>Pirimiphos-methyl [ISO]</t>
  </si>
  <si>
    <t>029232-93-7</t>
  </si>
  <si>
    <t>Prallethrin [ISO]</t>
  </si>
  <si>
    <t>023031-36-9</t>
  </si>
  <si>
    <t>Prochloraz [ISO]</t>
  </si>
  <si>
    <t>067747-09-5</t>
  </si>
  <si>
    <t>Profenofos [ISO]</t>
  </si>
  <si>
    <t>041198-08-7</t>
  </si>
  <si>
    <t>Propachlor [ISO]</t>
  </si>
  <si>
    <t>001918-16-7</t>
  </si>
  <si>
    <t>Propanil [ISO]</t>
  </si>
  <si>
    <t>000709-98-8</t>
  </si>
  <si>
    <t>Propetamphos [ISO]</t>
  </si>
  <si>
    <t>031218-83-4</t>
  </si>
  <si>
    <t>Propiconazole [ISO]</t>
  </si>
  <si>
    <t>060207-90-1</t>
  </si>
  <si>
    <t>Propoxur [ISO]</t>
  </si>
  <si>
    <t>000114-26-1</t>
  </si>
  <si>
    <t>Prosulfocarb [ISO]</t>
  </si>
  <si>
    <t>052888-80-9</t>
  </si>
  <si>
    <t>Prothiofos [ISO]</t>
  </si>
  <si>
    <t>034643-46-4</t>
  </si>
  <si>
    <t>Pyraclofos [ISO]</t>
  </si>
  <si>
    <t>077458-01-6</t>
  </si>
  <si>
    <t>Pyrazophos [ISO]</t>
  </si>
  <si>
    <t>013457-18-6</t>
  </si>
  <si>
    <t>Pyrazoxyfen [ISO]</t>
  </si>
  <si>
    <t>071561-11-0</t>
  </si>
  <si>
    <t>Pyrethrins [C]</t>
  </si>
  <si>
    <t>008003-34-7</t>
  </si>
  <si>
    <t>Pyridaben [ISO]</t>
  </si>
  <si>
    <t>096489-71-3</t>
  </si>
  <si>
    <t>Pyridaphenthion</t>
  </si>
  <si>
    <t>000119-12-0</t>
  </si>
  <si>
    <t>Pyroquilon [ISO]</t>
  </si>
  <si>
    <t>057369-32-1</t>
  </si>
  <si>
    <t>Quinalphos [ISO]</t>
  </si>
  <si>
    <t>013593-03-8</t>
  </si>
  <si>
    <t>Quinoclamine [ISO]</t>
  </si>
  <si>
    <t>002797-51-5</t>
  </si>
  <si>
    <t>Quizalofop</t>
  </si>
  <si>
    <t>076578-12-6</t>
  </si>
  <si>
    <t>Quizalofop-p-tefuryl [ISO]</t>
  </si>
  <si>
    <t>119738-06-6</t>
  </si>
  <si>
    <t>Rotenone [C]</t>
  </si>
  <si>
    <t xml:space="preserve">000083-79-4 </t>
  </si>
  <si>
    <t>Simetryn [ISO]</t>
  </si>
  <si>
    <t>001014-70-6</t>
  </si>
  <si>
    <t>Sodium arsenite [C]</t>
  </si>
  <si>
    <t>007784-46-5</t>
  </si>
  <si>
    <t>Sodium chlorate [ISO]</t>
  </si>
  <si>
    <t>007775-09-9</t>
  </si>
  <si>
    <t>Sodium cyanide [C]</t>
  </si>
  <si>
    <t>000143-33-9</t>
  </si>
  <si>
    <t>Sodium fluoroacetate [C]</t>
  </si>
  <si>
    <t>000062-74-8</t>
  </si>
  <si>
    <t>Spiroxamine [ISO]</t>
  </si>
  <si>
    <t>118134-30-8</t>
  </si>
  <si>
    <t>Strychnine [C]</t>
  </si>
  <si>
    <t>000057-24-9</t>
  </si>
  <si>
    <t>Sulfluramid [ISO]</t>
  </si>
  <si>
    <t>004151-50-2</t>
  </si>
  <si>
    <t>Sulfotep [ISO]</t>
  </si>
  <si>
    <t>003689-24-5</t>
  </si>
  <si>
    <t>TCA [ISO] (acid)</t>
  </si>
  <si>
    <t>000076-03-9</t>
  </si>
  <si>
    <t>Tebuconazole [ISO]</t>
  </si>
  <si>
    <t>107534-96-3</t>
  </si>
  <si>
    <t>Tebufenpyrad [ISO]</t>
  </si>
  <si>
    <t>119168-77-3</t>
  </si>
  <si>
    <t>Tebupirimfos [ISO*]</t>
  </si>
  <si>
    <t>096182-53-5</t>
  </si>
  <si>
    <t>Tebuthiuron [ISO]</t>
  </si>
  <si>
    <t>034014-18-1</t>
  </si>
  <si>
    <t>Tefluthrin</t>
  </si>
  <si>
    <t>079538-32-2</t>
  </si>
  <si>
    <t>Terbufos [ISO]</t>
  </si>
  <si>
    <t>013071-79-9</t>
  </si>
  <si>
    <t>Terbumeton [ISO]</t>
  </si>
  <si>
    <t>033693-04-8</t>
  </si>
  <si>
    <t>Tetraconazole [ISO]</t>
  </si>
  <si>
    <t>112281-77-3</t>
  </si>
  <si>
    <t>Thallium sulfate [C]</t>
  </si>
  <si>
    <t>007446-18-6</t>
  </si>
  <si>
    <t>Thiacloprid</t>
  </si>
  <si>
    <t>111988-49-9</t>
  </si>
  <si>
    <t>Thiobencarb [ISO]</t>
  </si>
  <si>
    <t>028249-77-6</t>
  </si>
  <si>
    <t>Thiocyclam hydrogen oxalate</t>
  </si>
  <si>
    <t>031895-22-4</t>
  </si>
  <si>
    <t>Thiodicarb [ISO]</t>
  </si>
  <si>
    <t>059669-26-0</t>
  </si>
  <si>
    <t>Thiofanox [ISO]</t>
  </si>
  <si>
    <t>039196-18-4</t>
  </si>
  <si>
    <t>Thiometon [ISO]</t>
  </si>
  <si>
    <t>000640-15-3</t>
  </si>
  <si>
    <t>Thiram [ISO]</t>
  </si>
  <si>
    <t>000137-26-8</t>
  </si>
  <si>
    <t>IARC 12, 53</t>
  </si>
  <si>
    <t>Tralkoxydim [ISO]</t>
  </si>
  <si>
    <t>087820-88-0</t>
  </si>
  <si>
    <t>Tralomethrin</t>
  </si>
  <si>
    <t>066841-25-6</t>
  </si>
  <si>
    <t>Triadimefon [ISO]</t>
  </si>
  <si>
    <t>043121-43-3</t>
  </si>
  <si>
    <t>Triadimenol [ISO]</t>
  </si>
  <si>
    <t>055219-65-3</t>
  </si>
  <si>
    <t>Triazamate [ISO]</t>
  </si>
  <si>
    <t>112143-82-5</t>
  </si>
  <si>
    <t>Triazophos [ISO]</t>
  </si>
  <si>
    <t>024017-47-8</t>
  </si>
  <si>
    <t>Trichlorfon [ISO]</t>
  </si>
  <si>
    <t>000052-68-6</t>
  </si>
  <si>
    <t>IARC 30, suppl.7</t>
  </si>
  <si>
    <t>Triclopyr [ISO]</t>
  </si>
  <si>
    <t>055335-06-3</t>
  </si>
  <si>
    <t>Tricyclazole [ISO]</t>
  </si>
  <si>
    <t>041814-78-2</t>
  </si>
  <si>
    <t>Tridemorph [ISO]</t>
  </si>
  <si>
    <t>081412-43-3</t>
  </si>
  <si>
    <t>Triflumizole</t>
  </si>
  <si>
    <t>099387-89-0</t>
  </si>
  <si>
    <t>Uniconazole [ISO]</t>
  </si>
  <si>
    <t>083657-22-1</t>
  </si>
  <si>
    <t>Vamidothion [ISO]</t>
  </si>
  <si>
    <t>002275-23-2</t>
  </si>
  <si>
    <t>Warfarin [ISO]</t>
  </si>
  <si>
    <t>000081-81-2</t>
  </si>
  <si>
    <t>XMC</t>
  </si>
  <si>
    <t>002655-14-3</t>
  </si>
  <si>
    <t>Xylylcarb</t>
  </si>
  <si>
    <t>002425-10-7</t>
  </si>
  <si>
    <t>Zeta-cypermethrin [ISO]</t>
  </si>
  <si>
    <t>Zinc phosphide [C]</t>
  </si>
  <si>
    <t>001314-84-7</t>
  </si>
  <si>
    <t>Ziram [ISO]</t>
  </si>
  <si>
    <t>000137-30-4</t>
  </si>
  <si>
    <t>x</t>
  </si>
  <si>
    <t>average</t>
  </si>
  <si>
    <t>Flow group</t>
  </si>
  <si>
    <t>GWP-100</t>
  </si>
  <si>
    <t>ODP</t>
  </si>
  <si>
    <t>YLL, ozone depletion</t>
  </si>
  <si>
    <t>YLL, 
climate change</t>
  </si>
  <si>
    <t>Skin cancer, 
ozone depletion</t>
  </si>
  <si>
    <t>Low vision, ozone depletion pathway</t>
  </si>
  <si>
    <t>Malnutrition, climate change</t>
  </si>
  <si>
    <t>Working capacity, climate change</t>
  </si>
  <si>
    <t>Diarrhea, climate change</t>
  </si>
  <si>
    <t>Crop, climate change</t>
  </si>
  <si>
    <t>Wood, climate change</t>
  </si>
  <si>
    <t>Meat, climate change</t>
  </si>
  <si>
    <t>Fish, climate change</t>
  </si>
  <si>
    <t>Drinking water, climate change</t>
  </si>
  <si>
    <t>NEX, climate change</t>
  </si>
  <si>
    <t>CFC:s</t>
  </si>
  <si>
    <t>CFC-11</t>
  </si>
  <si>
    <t>CFC-12</t>
  </si>
  <si>
    <t>CFC-13</t>
  </si>
  <si>
    <t>CFC-112</t>
  </si>
  <si>
    <t>CFC-112a</t>
  </si>
  <si>
    <t>CFC-113</t>
  </si>
  <si>
    <t>CFC-113a</t>
  </si>
  <si>
    <t>CFC-114</t>
  </si>
  <si>
    <t>CFC-114a</t>
  </si>
  <si>
    <t>CFC-115</t>
  </si>
  <si>
    <t>E-R316c</t>
  </si>
  <si>
    <t xml:space="preserve">Z-R316c </t>
  </si>
  <si>
    <t>CFC 1112</t>
  </si>
  <si>
    <t>CFC 1112a</t>
  </si>
  <si>
    <t>HFC:s</t>
  </si>
  <si>
    <t>HFC-23</t>
  </si>
  <si>
    <t>HFC-32</t>
  </si>
  <si>
    <t>HFC-41</t>
  </si>
  <si>
    <t>HFC-125</t>
  </si>
  <si>
    <t>HFC-134</t>
  </si>
  <si>
    <t>HFC-134a</t>
  </si>
  <si>
    <t>HFC-143</t>
  </si>
  <si>
    <t>HFC-143a</t>
  </si>
  <si>
    <t>HFC-152</t>
  </si>
  <si>
    <t>HFC-152a</t>
  </si>
  <si>
    <t>HFC-161</t>
  </si>
  <si>
    <t>HFC-227ca</t>
  </si>
  <si>
    <t>HFC-227ea</t>
  </si>
  <si>
    <t>HFC-236cb</t>
  </si>
  <si>
    <t>HFC-236ea</t>
  </si>
  <si>
    <t>HFC-236fa</t>
  </si>
  <si>
    <t>HFC-245ca</t>
  </si>
  <si>
    <t>HFC-245cb</t>
  </si>
  <si>
    <t>HFC-245ea</t>
  </si>
  <si>
    <t>HFC-245eb</t>
  </si>
  <si>
    <t>HFC-245fa</t>
  </si>
  <si>
    <t>HFC-263fb</t>
  </si>
  <si>
    <t>HFC-272ca</t>
  </si>
  <si>
    <t>HFC-329p</t>
  </si>
  <si>
    <t>HFC-365mfc</t>
  </si>
  <si>
    <t>HFC-43-10mee</t>
  </si>
  <si>
    <t>HFO-1123</t>
  </si>
  <si>
    <t>HFO-1132a</t>
  </si>
  <si>
    <t>HFO-1141</t>
  </si>
  <si>
    <t>HFO-1225ye(Z)</t>
  </si>
  <si>
    <t>HFO-1225ye(E)</t>
  </si>
  <si>
    <t>HFO-1234ze(Z)</t>
  </si>
  <si>
    <t>HFO-1234ze(E)</t>
  </si>
  <si>
    <t>HFO-1234yf</t>
  </si>
  <si>
    <t>HFO-1336mzz(E)</t>
  </si>
  <si>
    <t>HFO-1336mzz(Z)</t>
  </si>
  <si>
    <t>HFO-1243zf</t>
  </si>
  <si>
    <t>HFO-1345zfc</t>
  </si>
  <si>
    <t>3,3,4,4,5,5,6,6,6-nonafluorohex-1-ene</t>
  </si>
  <si>
    <t>3,3,4,4,5,5,6,6,7,7,8,8,8-tridecafluorooct-1-ene</t>
  </si>
  <si>
    <t>3,3,4,4,5,5,6,6,7,7,8,8,9,9,10,10,10-heptadecafluorodec-1-ene</t>
  </si>
  <si>
    <t>3,3,3-trifluoro-2-(trifluoromethyl)prop-1-ene</t>
  </si>
  <si>
    <t>1,1,2,2,3,3-hexafluorocyclopentane</t>
  </si>
  <si>
    <t>1,1,2,2,3,3,4-heptafluorocyclopentane</t>
  </si>
  <si>
    <t>1,3,3,4,4,5,5-heptafluorocyclopentene</t>
  </si>
  <si>
    <t>(4s,5s)-1,1,2,2,3,3,4,5-octafluorocyclopentane</t>
  </si>
  <si>
    <t>HFO-1438ezy(E)</t>
  </si>
  <si>
    <t>HFO-1447fz</t>
  </si>
  <si>
    <t>1,3,3,4,4-pentafluorocyclobutene</t>
  </si>
  <si>
    <t>3,3,4,4-tetrafluorocyclobutene</t>
  </si>
  <si>
    <t>HCFC:s</t>
  </si>
  <si>
    <t>HCFC-21</t>
  </si>
  <si>
    <t>HCFC-22</t>
  </si>
  <si>
    <t>HCFC-31</t>
  </si>
  <si>
    <t>HCFC-121</t>
  </si>
  <si>
    <t>HCFC-121a</t>
  </si>
  <si>
    <t>HCFC-122</t>
  </si>
  <si>
    <t>HCFC-122a</t>
  </si>
  <si>
    <t>HCFC-122b</t>
  </si>
  <si>
    <t>HCFC-123</t>
  </si>
  <si>
    <t>HCFC-123a</t>
  </si>
  <si>
    <t>HCFC-123b</t>
  </si>
  <si>
    <t>HCFC-124</t>
  </si>
  <si>
    <t>HCFC-124a</t>
  </si>
  <si>
    <t>HCFC-131</t>
  </si>
  <si>
    <t>HCFC-131a</t>
  </si>
  <si>
    <t>HCFC-131b</t>
  </si>
  <si>
    <t>HCFC-132</t>
  </si>
  <si>
    <t>HCFC-132a</t>
  </si>
  <si>
    <t>HCFC-132b</t>
  </si>
  <si>
    <t>HCFC-132c</t>
  </si>
  <si>
    <t>HCFC-133</t>
  </si>
  <si>
    <t>HCFC-133a</t>
  </si>
  <si>
    <t>HCFC-133b</t>
  </si>
  <si>
    <t>HCFC-141</t>
  </si>
  <si>
    <t>HCFC-141a</t>
  </si>
  <si>
    <t>HCFC-141b</t>
  </si>
  <si>
    <t>HCFC-142</t>
  </si>
  <si>
    <t>HCFC-142a</t>
  </si>
  <si>
    <t>HCFC-142b</t>
  </si>
  <si>
    <t>HCFC-151</t>
  </si>
  <si>
    <t>HCFC-151a</t>
  </si>
  <si>
    <t>HCFC-221aa</t>
  </si>
  <si>
    <t>HCFC-221ab</t>
  </si>
  <si>
    <t>HCFC-221ba</t>
  </si>
  <si>
    <t>HCFC-221da</t>
  </si>
  <si>
    <t>HCFC-221ea</t>
  </si>
  <si>
    <t>HCFC-222aa</t>
  </si>
  <si>
    <t>HCFC-222ab</t>
  </si>
  <si>
    <t>HCFC-222ac</t>
  </si>
  <si>
    <t>HCFC-222ba</t>
  </si>
  <si>
    <t>HCFC-222bb</t>
  </si>
  <si>
    <t>HCFC-222ca</t>
  </si>
  <si>
    <t>HCFC-222da</t>
  </si>
  <si>
    <t>HCFC-222db</t>
  </si>
  <si>
    <t>HCFC-222ea</t>
  </si>
  <si>
    <t>HCFC-223aa</t>
  </si>
  <si>
    <t>HCFC-223ab</t>
  </si>
  <si>
    <t>HCFC-223ac</t>
  </si>
  <si>
    <t>HCFC-223ba</t>
  </si>
  <si>
    <t>HCFC-223bb</t>
  </si>
  <si>
    <t>HCFC-223bc</t>
  </si>
  <si>
    <t>HCFC-223ca</t>
  </si>
  <si>
    <t>HCFC-223cb</t>
  </si>
  <si>
    <t>HCFC-223da</t>
  </si>
  <si>
    <t>HCFC-223db</t>
  </si>
  <si>
    <t>HCFC-223ea</t>
  </si>
  <si>
    <t>HCFC-223eb</t>
  </si>
  <si>
    <t>HCFC-224aa</t>
  </si>
  <si>
    <t>HCFC-224ab</t>
  </si>
  <si>
    <t>HCFC-224ba</t>
  </si>
  <si>
    <t>HCFC-224bb</t>
  </si>
  <si>
    <t>HCFC-224bc</t>
  </si>
  <si>
    <t>HCFC-224ca</t>
  </si>
  <si>
    <t>HCFC-224cb</t>
  </si>
  <si>
    <t>HCFC-224cc</t>
  </si>
  <si>
    <t>HCFC-224da</t>
  </si>
  <si>
    <t>HCFC-224db</t>
  </si>
  <si>
    <t>HCFC-224ea</t>
  </si>
  <si>
    <t>HCFC-224eb</t>
  </si>
  <si>
    <t>HCFC-225aa</t>
  </si>
  <si>
    <t>HCFC-225ba</t>
  </si>
  <si>
    <t>HCFC-225bb</t>
  </si>
  <si>
    <t>HCFC-225ca</t>
  </si>
  <si>
    <t>HCFC-225cb</t>
  </si>
  <si>
    <t>HCFC-225cc</t>
  </si>
  <si>
    <t>HCFC-225da</t>
  </si>
  <si>
    <t>HCFC-225ea</t>
  </si>
  <si>
    <t>HCFC-225eb</t>
  </si>
  <si>
    <t>HCFC-226ba</t>
  </si>
  <si>
    <t>HCFC-226ca</t>
  </si>
  <si>
    <t>HCFC-226cb</t>
  </si>
  <si>
    <t>HCFC-226da</t>
  </si>
  <si>
    <t>HCFC-226ea</t>
  </si>
  <si>
    <t>HCFO-1233zd(E)</t>
  </si>
  <si>
    <t>HCFO-1233zd(Z)</t>
  </si>
  <si>
    <t>(e)-1-chloro-2-fluoroethene</t>
  </si>
  <si>
    <t>HCFC-231aa</t>
  </si>
  <si>
    <t>HCFC-231ab</t>
  </si>
  <si>
    <t>HCFC-231ac</t>
  </si>
  <si>
    <t>HCFC-231ba</t>
  </si>
  <si>
    <t>HCFC-231da</t>
  </si>
  <si>
    <t>HCFC-231db</t>
  </si>
  <si>
    <t>HCFC-231ea</t>
  </si>
  <si>
    <t>HCFC-231fa</t>
  </si>
  <si>
    <t>HCFC-232aa</t>
  </si>
  <si>
    <t>HCFC-232ab</t>
  </si>
  <si>
    <t>HCFC-232ac</t>
  </si>
  <si>
    <t>HCFC-232ad</t>
  </si>
  <si>
    <t>HCFC-232ba</t>
  </si>
  <si>
    <t>HCFC-232bb</t>
  </si>
  <si>
    <t>HCFC-232bc</t>
  </si>
  <si>
    <t>HCFC-232ca</t>
  </si>
  <si>
    <t>HCFC-232cb</t>
  </si>
  <si>
    <t>HCFC-232da</t>
  </si>
  <si>
    <t>HCFC-232db</t>
  </si>
  <si>
    <t>HCFC-232dc</t>
  </si>
  <si>
    <t>HCFC-232ea</t>
  </si>
  <si>
    <t>HCFC-232eb</t>
  </si>
  <si>
    <t>HCFC-232fa</t>
  </si>
  <si>
    <t>HCFC-232fb</t>
  </si>
  <si>
    <t>HCFC-233aa</t>
  </si>
  <si>
    <t>HCFC-233ab</t>
  </si>
  <si>
    <t>HCFC-233ac</t>
  </si>
  <si>
    <t>HCFC-233ba</t>
  </si>
  <si>
    <t>HCFC-233bb</t>
  </si>
  <si>
    <t>HCFC-233bc</t>
  </si>
  <si>
    <t>HCFC-233bd</t>
  </si>
  <si>
    <t>HCFC-233ca</t>
  </si>
  <si>
    <t>HCFC-233cb</t>
  </si>
  <si>
    <t>HCFC-233cc</t>
  </si>
  <si>
    <t>HCFC-233da</t>
  </si>
  <si>
    <t>HCFC-233db</t>
  </si>
  <si>
    <t>HCFC-233dc</t>
  </si>
  <si>
    <t>HCFC-233ea</t>
  </si>
  <si>
    <t>HCFC-233eb</t>
  </si>
  <si>
    <t>HCFC-233ec</t>
  </si>
  <si>
    <t>HCFC-233fa</t>
  </si>
  <si>
    <t>HCFC-234aa</t>
  </si>
  <si>
    <t>HCFC-234ab</t>
  </si>
  <si>
    <t>HCFC-234ba</t>
  </si>
  <si>
    <t>HCFC-234bb</t>
  </si>
  <si>
    <t>HCFC-234bc</t>
  </si>
  <si>
    <t>HCFC-234ca</t>
  </si>
  <si>
    <t>HCFC-234cb</t>
  </si>
  <si>
    <t>HCFC-234cc</t>
  </si>
  <si>
    <t>HCFC-234cd</t>
  </si>
  <si>
    <t>HCFC-234da</t>
  </si>
  <si>
    <t>HCFC-234db</t>
  </si>
  <si>
    <t>HCFC-234ea</t>
  </si>
  <si>
    <t>HCFC-234eb</t>
  </si>
  <si>
    <t>HCFC-234ec</t>
  </si>
  <si>
    <t>HCFC-234fa</t>
  </si>
  <si>
    <t>HCFC-234fb</t>
  </si>
  <si>
    <t>HCFC-235ba</t>
  </si>
  <si>
    <t>HCFC-235bb</t>
  </si>
  <si>
    <t>HCFC-235ca</t>
  </si>
  <si>
    <t>HCFC-235cb</t>
  </si>
  <si>
    <t>HCFC-235cc</t>
  </si>
  <si>
    <t>HCFC-235da</t>
  </si>
  <si>
    <t>HCFC-235ea</t>
  </si>
  <si>
    <t>HCFC-235eb</t>
  </si>
  <si>
    <t>HCFC-235fa</t>
  </si>
  <si>
    <t>HCFC-241aa</t>
  </si>
  <si>
    <t>HCFC-241ab</t>
  </si>
  <si>
    <t>HCFC-241ac</t>
  </si>
  <si>
    <t>HCFC-241ba</t>
  </si>
  <si>
    <t>HCFC-241bb</t>
  </si>
  <si>
    <t>HCFC-241da</t>
  </si>
  <si>
    <t>HCFC-241db</t>
  </si>
  <si>
    <t>HCFC-241dc</t>
  </si>
  <si>
    <t>HCFC-241ea</t>
  </si>
  <si>
    <t>HCFC-241eb</t>
  </si>
  <si>
    <t>HCFC-241fa</t>
  </si>
  <si>
    <t>HCFC-241fb</t>
  </si>
  <si>
    <t>HCFC-242aa</t>
  </si>
  <si>
    <t>HCFC-242ab</t>
  </si>
  <si>
    <t>HCFC-242ac</t>
  </si>
  <si>
    <t>HCFC-242ba</t>
  </si>
  <si>
    <t>HCFC-242bb</t>
  </si>
  <si>
    <t>HCFC-242bc</t>
  </si>
  <si>
    <t>HCFC-242ca</t>
  </si>
  <si>
    <t>HCFC-242cb</t>
  </si>
  <si>
    <t>HCFC-242da</t>
  </si>
  <si>
    <t>HCFC-242db</t>
  </si>
  <si>
    <t>HCFC-242dc</t>
  </si>
  <si>
    <t>HCFC-242dd</t>
  </si>
  <si>
    <t>HCFC-242ea</t>
  </si>
  <si>
    <t>HCFC-242eb</t>
  </si>
  <si>
    <t>HCFC-242ec</t>
  </si>
  <si>
    <t>HCFC-242fa</t>
  </si>
  <si>
    <t>HCFC-242fb</t>
  </si>
  <si>
    <t>HCFC-243aa</t>
  </si>
  <si>
    <t>HCFC-243ab</t>
  </si>
  <si>
    <t>HCFC-243ba</t>
  </si>
  <si>
    <t>HCFC-243bb</t>
  </si>
  <si>
    <t>HCFC-243bc</t>
  </si>
  <si>
    <t>HCFC-243ca</t>
  </si>
  <si>
    <t>HCFC-243cb</t>
  </si>
  <si>
    <t>HCFC-243cc</t>
  </si>
  <si>
    <t>HCFC-243da</t>
  </si>
  <si>
    <t>HCFC-243db</t>
  </si>
  <si>
    <t>HCFC-243dc</t>
  </si>
  <si>
    <t>HCFC-243ea</t>
  </si>
  <si>
    <t>HCFC-243eb</t>
  </si>
  <si>
    <t>HCFC-243ec</t>
  </si>
  <si>
    <t>HCFC-243ed</t>
  </si>
  <si>
    <t>HCFC-243fa</t>
  </si>
  <si>
    <t>HCFC-243fb</t>
  </si>
  <si>
    <t>HCFC-243fc</t>
  </si>
  <si>
    <t>HCFC-244ba</t>
  </si>
  <si>
    <t>HCFC-244bb</t>
  </si>
  <si>
    <t>HCFC-244ca</t>
  </si>
  <si>
    <t>HCFC-244cb</t>
  </si>
  <si>
    <t>HCFC-244cc</t>
  </si>
  <si>
    <t>HCFC-244da</t>
  </si>
  <si>
    <t>HCFC-244db</t>
  </si>
  <si>
    <t>HCFC-244ea</t>
  </si>
  <si>
    <t>HCFC-244eb</t>
  </si>
  <si>
    <t>HCFC-244ec</t>
  </si>
  <si>
    <t>HCFC-244fa</t>
  </si>
  <si>
    <t>HCFC-244fb</t>
  </si>
  <si>
    <t>HCFC-251aa</t>
  </si>
  <si>
    <t>HCFC-251ab</t>
  </si>
  <si>
    <t>HCFC-251ba</t>
  </si>
  <si>
    <t>HCFC-251bb</t>
  </si>
  <si>
    <t>HCFC-251da</t>
  </si>
  <si>
    <t>HCFC-251db</t>
  </si>
  <si>
    <t>HCFC-251dc</t>
  </si>
  <si>
    <t>HCFC-251ea</t>
  </si>
  <si>
    <t>HCFC-251eb</t>
  </si>
  <si>
    <t>HCFC-251fa</t>
  </si>
  <si>
    <t>HCFC-251fb</t>
  </si>
  <si>
    <t>HCFC-251fc</t>
  </si>
  <si>
    <t>HCFC-252aa</t>
  </si>
  <si>
    <t>HCFC-252ab</t>
  </si>
  <si>
    <t>HCFC-252ba</t>
  </si>
  <si>
    <t>HCFC-252bb</t>
  </si>
  <si>
    <t>HCFC-252ca</t>
  </si>
  <si>
    <t>HCFC-252cb</t>
  </si>
  <si>
    <t>HCFC-252da</t>
  </si>
  <si>
    <t>HCFC-252db</t>
  </si>
  <si>
    <t>HCFC-252dc</t>
  </si>
  <si>
    <t>HCFC-252ea</t>
  </si>
  <si>
    <t>HCFC-252eb</t>
  </si>
  <si>
    <t>HCFC-252ec</t>
  </si>
  <si>
    <t>HCFC-252fa</t>
  </si>
  <si>
    <t>HCFC-252fb</t>
  </si>
  <si>
    <t>HCFC-252fc</t>
  </si>
  <si>
    <t>HCFC-252fd</t>
  </si>
  <si>
    <t>HCFC-253ba</t>
  </si>
  <si>
    <t>HCFC-253bb</t>
  </si>
  <si>
    <t>HCFC-253ca</t>
  </si>
  <si>
    <t>HCFC-253cb</t>
  </si>
  <si>
    <t>HCFC-253da</t>
  </si>
  <si>
    <t>HCFC-253db</t>
  </si>
  <si>
    <t>HCFC-253ea</t>
  </si>
  <si>
    <t>HCFC-253eb</t>
  </si>
  <si>
    <t>HCFC-253ec</t>
  </si>
  <si>
    <t>HCFC-253fa</t>
  </si>
  <si>
    <t>HCFC-253fb</t>
  </si>
  <si>
    <t>HCFC-253fc</t>
  </si>
  <si>
    <t>HCFC-261aa</t>
  </si>
  <si>
    <t>HCFC-261ba</t>
  </si>
  <si>
    <t>HCFC-261da</t>
  </si>
  <si>
    <t>HCFC-261db</t>
  </si>
  <si>
    <t>HCFC-261ea</t>
  </si>
  <si>
    <t>HCFC-261eb</t>
  </si>
  <si>
    <t>HCFC-261fa</t>
  </si>
  <si>
    <t>HCFC-261fb</t>
  </si>
  <si>
    <t>HCFC-261fc</t>
  </si>
  <si>
    <t>HCFC-262ba</t>
  </si>
  <si>
    <t>HCFC-262ca</t>
  </si>
  <si>
    <t>HCFC-262da</t>
  </si>
  <si>
    <t>HCFC-262db</t>
  </si>
  <si>
    <t>HCFC-262ea</t>
  </si>
  <si>
    <t>HCFC-262eb</t>
  </si>
  <si>
    <t>HCFC-262fa</t>
  </si>
  <si>
    <t>HCFC-262fb</t>
  </si>
  <si>
    <t>HCFC-262fc</t>
  </si>
  <si>
    <t>HCFC-271ba</t>
  </si>
  <si>
    <t>HCFC-271da</t>
  </si>
  <si>
    <t>HCFC-271ea</t>
  </si>
  <si>
    <t>HCFC-271fa</t>
  </si>
  <si>
    <t>HCFC-271fb</t>
  </si>
  <si>
    <t>Unsaturated Hydrofluorocarbons</t>
  </si>
  <si>
    <t>HFO-1234ye(E)</t>
  </si>
  <si>
    <t>HFO-1234ye(Z)</t>
  </si>
  <si>
    <t>2,3,3,4,4-pentafluorocyclobut-1-ene</t>
  </si>
  <si>
    <t>3,3,4,4-tetrafluorocyclobut-1-ene</t>
  </si>
  <si>
    <t>HFO-1261zf</t>
  </si>
  <si>
    <t>HFO-1234yc</t>
  </si>
  <si>
    <t>HFO-1225zc</t>
  </si>
  <si>
    <t>HFO-1234zc</t>
  </si>
  <si>
    <t>HFO-1345zf</t>
  </si>
  <si>
    <t>HFO-1438mzz(E)</t>
  </si>
  <si>
    <t>HFO-1447zf</t>
  </si>
  <si>
    <t>3,3,4,4,5,5,6,6,6-Nonafluorohex-1-ene</t>
  </si>
  <si>
    <t xml:space="preserve"> HFO-174-13fz</t>
  </si>
  <si>
    <t xml:space="preserve"> HFO-194-17fz</t>
  </si>
  <si>
    <t>Chlorocarbons and Hydrochlorocarbons</t>
  </si>
  <si>
    <t>Methyl chloroform</t>
  </si>
  <si>
    <t>CCl4</t>
  </si>
  <si>
    <t>Methyl chloride</t>
  </si>
  <si>
    <t>Methylenechloride</t>
  </si>
  <si>
    <t>Chloroform</t>
  </si>
  <si>
    <t>Chloroethane</t>
  </si>
  <si>
    <t>1,2-dichloroethane</t>
  </si>
  <si>
    <t>1,1,2-trichloroethene</t>
  </si>
  <si>
    <t>1,1,2,2-tetrachloroethene</t>
  </si>
  <si>
    <t>2-chloropropane</t>
  </si>
  <si>
    <t>1-chlorobutane</t>
  </si>
  <si>
    <t>Bromocarbons, Hydrobromocarbons and Halons</t>
  </si>
  <si>
    <t>Methyl bromide</t>
  </si>
  <si>
    <t>Methylenebromide</t>
  </si>
  <si>
    <t>HBFC-12B1</t>
  </si>
  <si>
    <t>Halon-1201</t>
  </si>
  <si>
    <t>Halon-1202</t>
  </si>
  <si>
    <t>Halon-1211</t>
  </si>
  <si>
    <t>Halon-1301</t>
  </si>
  <si>
    <t>Halon-2301</t>
  </si>
  <si>
    <t>Halon-2311</t>
  </si>
  <si>
    <t>Halon-2401</t>
  </si>
  <si>
    <t>Halon-2402</t>
  </si>
  <si>
    <t>Tribromomethane</t>
  </si>
  <si>
    <t>Halon-1011</t>
  </si>
  <si>
    <t>Bromoethane</t>
  </si>
  <si>
    <t>1,2-dibromoethane</t>
  </si>
  <si>
    <t>1-bromopropane</t>
  </si>
  <si>
    <t>2-bromopropane</t>
  </si>
  <si>
    <t>Fully Fluorinated Species</t>
  </si>
  <si>
    <t>Nitrogen trifluoride</t>
  </si>
  <si>
    <t>Pentadecafluorotriethylamine</t>
  </si>
  <si>
    <t>Perfluorotripropylamine</t>
  </si>
  <si>
    <t>Heptacosafluorotributylamine</t>
  </si>
  <si>
    <t>Perfluorotripentylamine</t>
  </si>
  <si>
    <t>Heptafluoroisobutyronitrile</t>
  </si>
  <si>
    <t>Sulphur hexafluoride</t>
  </si>
  <si>
    <t>Trifluromethylsulfurpentafluoride</t>
  </si>
  <si>
    <t>Sulfuryl fluoride</t>
  </si>
  <si>
    <t>PFC-14</t>
  </si>
  <si>
    <t>PFC-116</t>
  </si>
  <si>
    <t>PFC-218</t>
  </si>
  <si>
    <t>Hexafluorocyclobutene</t>
  </si>
  <si>
    <t>PFC-C-318</t>
  </si>
  <si>
    <t>PFC-31-10</t>
  </si>
  <si>
    <t>Octafluorocyclopentene</t>
  </si>
  <si>
    <t>PFC-41-12</t>
  </si>
  <si>
    <t>PFC-51-14</t>
  </si>
  <si>
    <t>PFC-61-16</t>
  </si>
  <si>
    <t>PFC-71-18</t>
  </si>
  <si>
    <t>PFC-91-18</t>
  </si>
  <si>
    <t>1,1,2,2,3,3,4,4,4a,5,5,6,6,7,7,8,8,8a-octadecafluoronaphthalene</t>
  </si>
  <si>
    <t>PFC-1114</t>
  </si>
  <si>
    <t>PFC-1216</t>
  </si>
  <si>
    <t>1,1,2,3,4,4-hexafluorobuta-1,3-diene</t>
  </si>
  <si>
    <t>Octafluoro-1-butene</t>
  </si>
  <si>
    <t>Octafluoro-2-butene</t>
  </si>
  <si>
    <t>Halogenated Alcohols, Ethers, Furans, Aldehydes and Ketones</t>
  </si>
  <si>
    <t>HFE-125</t>
  </si>
  <si>
    <t>HFE-134</t>
  </si>
  <si>
    <t>HFE-143a</t>
  </si>
  <si>
    <t>HFE-227ea</t>
  </si>
  <si>
    <t>HCFE-235ca2</t>
  </si>
  <si>
    <t>HCFE-235da2</t>
  </si>
  <si>
    <t>HFE-236ea2</t>
  </si>
  <si>
    <t>HFE-236fa</t>
  </si>
  <si>
    <t>HFE-245cb2</t>
  </si>
  <si>
    <t>HFE-245fa1</t>
  </si>
  <si>
    <t>HFE-245fa2</t>
  </si>
  <si>
    <t>2,2,3,3,3-pentafluoropropan-1-ol</t>
  </si>
  <si>
    <t>HFE-254cb1</t>
  </si>
  <si>
    <t>HFE-263mf</t>
  </si>
  <si>
    <t>HFE-263m1</t>
  </si>
  <si>
    <t>3,3,3-trifluoropropan-1-ol</t>
  </si>
  <si>
    <t>HFE-329mcc2</t>
  </si>
  <si>
    <t>HFE-338mmz1</t>
  </si>
  <si>
    <t>HFE-338mcf2</t>
  </si>
  <si>
    <t>HFE-347mmz1</t>
  </si>
  <si>
    <t>HFE-347mcc3</t>
  </si>
  <si>
    <t>HFE-347mcf2</t>
  </si>
  <si>
    <t>HFE-347pcf2</t>
  </si>
  <si>
    <t>HFE-347mmy1</t>
  </si>
  <si>
    <t>HFE-356mec3</t>
  </si>
  <si>
    <t>HFE-356mff2</t>
  </si>
  <si>
    <t>HFE-356pcf2</t>
  </si>
  <si>
    <t>HFE-356pcf3</t>
  </si>
  <si>
    <t>HFE-356pcc3</t>
  </si>
  <si>
    <t>HFE-356mmz1</t>
  </si>
  <si>
    <t>HFE-365mcf3</t>
  </si>
  <si>
    <t>HFE-374pc2</t>
  </si>
  <si>
    <t>4,4,4-trifluorobutan-1-ol</t>
  </si>
  <si>
    <t>2,2,3,3,4,4,5,5-octafluorocyclopentan-1-ol</t>
  </si>
  <si>
    <t>HFE-43-10pccc124</t>
  </si>
  <si>
    <t>HFE-449s1 (HFE 7100)</t>
  </si>
  <si>
    <t>n-HFE-7100</t>
  </si>
  <si>
    <t>i-HFE-7100</t>
  </si>
  <si>
    <t>HFE-569sf2</t>
  </si>
  <si>
    <t>i-HFE-7200</t>
  </si>
  <si>
    <t>HFE-7300</t>
  </si>
  <si>
    <t>HFE-7500</t>
  </si>
  <si>
    <t>HFE-236ca12 (HG-10)</t>
  </si>
  <si>
    <t>HFE-338pcc13 (HG-01)</t>
  </si>
  <si>
    <t>1,1,1,3,3,3-hexafluoropropan-2-ol</t>
  </si>
  <si>
    <t>HG-02</t>
  </si>
  <si>
    <t>HG-03</t>
  </si>
  <si>
    <t>Fluroxene</t>
  </si>
  <si>
    <t>2-ethoxy-3,3,4,4,5-pentafluorotetrahydro-2,5-bis[1,2,2,2-tetrafluoro-1-(trifluoromethyl)ethyl]-furan</t>
  </si>
  <si>
    <t>Difluoro(methoxy)methane</t>
  </si>
  <si>
    <t>HG’-01</t>
  </si>
  <si>
    <t>HG’-02</t>
  </si>
  <si>
    <t>HG’-03</t>
  </si>
  <si>
    <t>HFE-329me3</t>
  </si>
  <si>
    <t>3,3,4,4,5,5,6,6,7,7,7-undecafluoroheptan-1-ol</t>
  </si>
  <si>
    <t>3,3,4,4,5,5,6,6,7,7,8,8,9,9,9-pentadecafluorononan-1-ol</t>
  </si>
  <si>
    <t>3,3,4,4,5,5,6,6,7,7,8,8,9,9,10,10,11,11,11-nonadecafluoroundecan-1-ol</t>
  </si>
  <si>
    <t>2-chloro-1,1,2-trifluoro-1-methoxyethane</t>
  </si>
  <si>
    <t>PFPMIE (perfluoropolymethylisopropyl ether)</t>
  </si>
  <si>
    <t>HFE-216</t>
  </si>
  <si>
    <t>Perfluoroethylformate</t>
  </si>
  <si>
    <t>2,2,2-trifluoroethylformate</t>
  </si>
  <si>
    <t>Formic acid;1,1,1,3,3,3-hexafluoropropan-2-ol</t>
  </si>
  <si>
    <t>Ethenyl 2,2,2-trifluoroacetate</t>
  </si>
  <si>
    <t>Ethyl 2,2,2-trifluoroacetate</t>
  </si>
  <si>
    <t>Prop-2-enyl 2,2,2-trifluoroacetate</t>
  </si>
  <si>
    <t>Methyl 2,2,2-trifluoroacetate</t>
  </si>
  <si>
    <t>2,2,3,3,4,4,4-heptafluorobutan-1-ol</t>
  </si>
  <si>
    <t>1,1,2-trifluoro-2-(trifluoromethoxy)ethane</t>
  </si>
  <si>
    <t>1-ethoxy-1,1,2,3,3,3-hexafluoropropane</t>
  </si>
  <si>
    <t>1,1,1,2,2,3,3-heptafluoro-3-(1,2,2,2-tetrafluoroethoxy)propane</t>
  </si>
  <si>
    <t>2,2,3,3-tetrafluoropropan-1-ol</t>
  </si>
  <si>
    <t>2,2,3,4,4,4-hexafluorobutan-1-ol</t>
  </si>
  <si>
    <t>1,1,2,2-tetrafluoro-3-methoxypropane</t>
  </si>
  <si>
    <t>1,1,1,2,2,4,5,5,5-nonafluoro-4-(trifluoromethyl)pentan-3-one</t>
  </si>
  <si>
    <t>3,3,3-trifluoropropanal</t>
  </si>
  <si>
    <t>2-fluoroethanol</t>
  </si>
  <si>
    <t>2,2-difluoroethanol</t>
  </si>
  <si>
    <t>2,2,2-trifluoroethanol</t>
  </si>
  <si>
    <t>HG-04</t>
  </si>
  <si>
    <t>Methyl-perfluoroheptene-ethers</t>
  </si>
  <si>
    <t>1,1,1-trifluoropropan-2-one</t>
  </si>
  <si>
    <t>1,1,1-trifluorobutan-2-one</t>
  </si>
  <si>
    <t>1-chloro-2-ethenoxyethane</t>
  </si>
  <si>
    <t>Octafluorooxolane</t>
  </si>
  <si>
    <t>Substance,
 flow group</t>
  </si>
  <si>
    <t>Environmental 
good subject to impact</t>
  </si>
  <si>
    <t>Extent of impact, best estimate</t>
  </si>
  <si>
    <t>Extent of impact, uncertainty</t>
  </si>
  <si>
    <r>
      <t>Contribution
best estimate,  ( kg</t>
    </r>
    <r>
      <rPr>
        <b/>
        <vertAlign val="superscript"/>
        <sz val="10"/>
        <rFont val="Arial"/>
        <family val="2"/>
      </rPr>
      <t>-1</t>
    </r>
    <r>
      <rPr>
        <b/>
        <sz val="10"/>
        <rFont val="Arial"/>
        <family val="2"/>
      </rPr>
      <t>)</t>
    </r>
  </si>
  <si>
    <t>Characterisation
 factor for environmental good</t>
  </si>
  <si>
    <t>PM2.5 to air</t>
  </si>
  <si>
    <t>TSP to air</t>
  </si>
  <si>
    <t>soiling</t>
  </si>
  <si>
    <t>As to air</t>
  </si>
  <si>
    <t>clean air</t>
  </si>
  <si>
    <t>cancer</t>
  </si>
  <si>
    <t>cardiovascular mortallity</t>
  </si>
  <si>
    <t>soil mineralisation</t>
  </si>
  <si>
    <t>Cd to air</t>
  </si>
  <si>
    <t>Cr to air</t>
  </si>
  <si>
    <t>Cu to air</t>
  </si>
  <si>
    <t>Soil mineralisation</t>
  </si>
  <si>
    <t>Ni to air</t>
  </si>
  <si>
    <t>pesonyears</t>
  </si>
  <si>
    <t>cardiovascular disease</t>
  </si>
  <si>
    <t>Substance, flow group</t>
  </si>
  <si>
    <t>GWP 100</t>
  </si>
  <si>
    <t>GWP 
un certainty</t>
  </si>
  <si>
    <t>POCP</t>
  </si>
  <si>
    <t>POCP
 un certainty</t>
  </si>
  <si>
    <t>SOA formation potential</t>
  </si>
  <si>
    <t>SOA uncertainty</t>
  </si>
  <si>
    <t>YLL /
 climate change</t>
  </si>
  <si>
    <t>YLL/ 
oxidants</t>
  </si>
  <si>
    <t>YLL / secondary particles</t>
  </si>
  <si>
    <t>YLL / 
Cancer</t>
  </si>
  <si>
    <t>Malnutrition/
climate change</t>
  </si>
  <si>
    <t>Working capacity/
climate change</t>
  </si>
  <si>
    <t>Diarrhea/ 
climate change</t>
  </si>
  <si>
    <t>Crop loss/
climate change</t>
  </si>
  <si>
    <t>Crop loss/
oxidants</t>
  </si>
  <si>
    <t>Wood  from 
climate change</t>
  </si>
  <si>
    <t>Wood  from oxidant formation</t>
  </si>
  <si>
    <t>Crop loss from climate change</t>
  </si>
  <si>
    <t>Meat/
climate change</t>
  </si>
  <si>
    <t>Fish/climate change</t>
  </si>
  <si>
    <t>Drinking water / climate change</t>
  </si>
  <si>
    <t>NEX from 
climate change</t>
  </si>
  <si>
    <t>Alkanes</t>
  </si>
  <si>
    <t>Methane</t>
  </si>
  <si>
    <t>Ethan</t>
  </si>
  <si>
    <t>Propane</t>
  </si>
  <si>
    <t>N-butane</t>
  </si>
  <si>
    <t>I-butane</t>
  </si>
  <si>
    <t>N-pentane</t>
  </si>
  <si>
    <t>I-pentane</t>
  </si>
  <si>
    <t>Neopentane</t>
  </si>
  <si>
    <t>Cyclopentane</t>
  </si>
  <si>
    <t>Hexane</t>
  </si>
  <si>
    <t>2-metylpentane</t>
  </si>
  <si>
    <t>3-metylpentane</t>
  </si>
  <si>
    <t>2,2-Dimethylbutane</t>
  </si>
  <si>
    <t>2,3-Dimethylbutane</t>
  </si>
  <si>
    <t>N-heptane</t>
  </si>
  <si>
    <t>2-Methylhexane</t>
  </si>
  <si>
    <t>3-Methylhexane</t>
  </si>
  <si>
    <t>N-oktane</t>
  </si>
  <si>
    <t>2-metylheptane</t>
  </si>
  <si>
    <t>N-nonane</t>
  </si>
  <si>
    <t>2-metyloktane</t>
  </si>
  <si>
    <t>N-decane</t>
  </si>
  <si>
    <t>2-methylnonane</t>
  </si>
  <si>
    <t>N-undecane</t>
  </si>
  <si>
    <t>N-dodecane</t>
  </si>
  <si>
    <t>Cycloalkanes</t>
  </si>
  <si>
    <t>Cyclohexane</t>
  </si>
  <si>
    <t>Metyl-cyclohexane</t>
  </si>
  <si>
    <t>Cyclohexanone</t>
  </si>
  <si>
    <t>Cyclohexanol</t>
  </si>
  <si>
    <t>Alkenes</t>
  </si>
  <si>
    <t>Ethene</t>
  </si>
  <si>
    <t>Propene</t>
  </si>
  <si>
    <t>1-butene</t>
  </si>
  <si>
    <t>2-butene</t>
  </si>
  <si>
    <t>Methylpropene</t>
  </si>
  <si>
    <t>1-pentene</t>
  </si>
  <si>
    <t>2-pentene</t>
  </si>
  <si>
    <t>2-Methylbutan-1-ol</t>
  </si>
  <si>
    <t>2-methyl-2-butene</t>
  </si>
  <si>
    <t>3-Methylbut-1-ene</t>
  </si>
  <si>
    <t>Hex-1-ene</t>
  </si>
  <si>
    <t>Hex-2-ene</t>
  </si>
  <si>
    <t>1,3-Butadiene</t>
  </si>
  <si>
    <t>Dialkenes</t>
  </si>
  <si>
    <t>Isoprene</t>
  </si>
  <si>
    <t>Sesquiterpenes</t>
  </si>
  <si>
    <t>Methacrolein</t>
  </si>
  <si>
    <t>Styrene</t>
  </si>
  <si>
    <t>Alkynes</t>
  </si>
  <si>
    <t>Acetylene</t>
  </si>
  <si>
    <t>Aromatics</t>
  </si>
  <si>
    <t>Benzene</t>
  </si>
  <si>
    <t>Toluene</t>
  </si>
  <si>
    <t>O-xylene</t>
  </si>
  <si>
    <t>M-xylene</t>
  </si>
  <si>
    <t>P-xylene</t>
  </si>
  <si>
    <t>Etylbenzene</t>
  </si>
  <si>
    <t>1,2,3-Trimetylbenzene</t>
  </si>
  <si>
    <t>1,2,4-Trimetylbenzene</t>
  </si>
  <si>
    <t>1,3,5-Trimetylbenzene</t>
  </si>
  <si>
    <t>M-ethyltoluene</t>
  </si>
  <si>
    <t>O-ethyltoluene</t>
  </si>
  <si>
    <t>P-ethyltoluene</t>
  </si>
  <si>
    <t>N-propylbenzene</t>
  </si>
  <si>
    <t>I-propylbenzene</t>
  </si>
  <si>
    <t>3,5-Dimethylethylbenzene</t>
  </si>
  <si>
    <t>3,5-Diethyltoluene</t>
  </si>
  <si>
    <t>Alcohols</t>
  </si>
  <si>
    <t>Methanol</t>
  </si>
  <si>
    <t>Ethanol</t>
  </si>
  <si>
    <t>Propanol</t>
  </si>
  <si>
    <t>I-propanol</t>
  </si>
  <si>
    <t>Butanol</t>
  </si>
  <si>
    <t>I-butanol</t>
  </si>
  <si>
    <t>s-butanol</t>
  </si>
  <si>
    <t>t-butanol</t>
  </si>
  <si>
    <t>3-pentanol</t>
  </si>
  <si>
    <t>4-Ethylheptane</t>
  </si>
  <si>
    <t>3-Methylbutan-2-ol</t>
  </si>
  <si>
    <t>2-Methylbutan-2-ol</t>
  </si>
  <si>
    <t>Diacetone alcohol</t>
  </si>
  <si>
    <t>(z)-hex-2-en-1-ol</t>
  </si>
  <si>
    <t>(e)-hex-2-en-1-ol</t>
  </si>
  <si>
    <t>Glycols</t>
  </si>
  <si>
    <t>Ethylene glycol</t>
  </si>
  <si>
    <t>Propylene glycol</t>
  </si>
  <si>
    <t>Ketons</t>
  </si>
  <si>
    <t>Acetone</t>
  </si>
  <si>
    <t>Methyl ethyl ketone</t>
  </si>
  <si>
    <t>Methyl i-butyl ketone</t>
  </si>
  <si>
    <t>Methylpropylketone</t>
  </si>
  <si>
    <t>Diethylketone</t>
  </si>
  <si>
    <t>Methyl-i-propylketone</t>
  </si>
  <si>
    <t>Hexan-2-one</t>
  </si>
  <si>
    <t>Hexan-3-one</t>
  </si>
  <si>
    <t>Methyl-t-butylketone</t>
  </si>
  <si>
    <t>Aldehydes</t>
  </si>
  <si>
    <t>Formaldehyde</t>
  </si>
  <si>
    <t>Acetaldehyde</t>
  </si>
  <si>
    <t>Propionaldehyde</t>
  </si>
  <si>
    <t>Butyraldehyde</t>
  </si>
  <si>
    <t>I-butyraldehyde</t>
  </si>
  <si>
    <t>Valeraldehyde</t>
  </si>
  <si>
    <t>Glyoxal</t>
  </si>
  <si>
    <t>Methyl-Glyoxal</t>
  </si>
  <si>
    <t>Acrolein</t>
  </si>
  <si>
    <t>Methanethiol</t>
  </si>
  <si>
    <t>Benzaldehyde</t>
  </si>
  <si>
    <t>Crotonaldehyde</t>
  </si>
  <si>
    <t>Esters</t>
  </si>
  <si>
    <t>Methyl formate</t>
  </si>
  <si>
    <t>Methyl-Acetate</t>
  </si>
  <si>
    <t>ethylacetate</t>
  </si>
  <si>
    <t>n-Propyl acetate</t>
  </si>
  <si>
    <t>i-Propyl acetate</t>
  </si>
  <si>
    <t>n-butylacetate</t>
  </si>
  <si>
    <t>2-Ethylhexyl acetate</t>
  </si>
  <si>
    <t>Ethers</t>
  </si>
  <si>
    <t>Dimethylether</t>
  </si>
  <si>
    <t>Ethyl methyl ether</t>
  </si>
  <si>
    <t>Diethyl-Ether</t>
  </si>
  <si>
    <t>Methyl-t-Butyl-Ether</t>
  </si>
  <si>
    <t>Diisopropylether</t>
  </si>
  <si>
    <t>Ethyl-t-butylether</t>
  </si>
  <si>
    <t>Allyl ether</t>
  </si>
  <si>
    <t>Allyl ethyl ether</t>
  </si>
  <si>
    <t>Alcohol and glycol ethers</t>
  </si>
  <si>
    <t>2-Methoxyethanol</t>
  </si>
  <si>
    <t>2-Ethoxyethanol</t>
  </si>
  <si>
    <t>1-Butoxypropanol (Butyl diglycol acetate)</t>
  </si>
  <si>
    <t>2-Butoxyethanol</t>
  </si>
  <si>
    <t>1-Methoxy-2-propanol</t>
  </si>
  <si>
    <t>Carboxylic acids</t>
  </si>
  <si>
    <t>Formic acid</t>
  </si>
  <si>
    <t>Acetic Acid</t>
  </si>
  <si>
    <t>Propanoic acid</t>
  </si>
  <si>
    <t>Others</t>
  </si>
  <si>
    <t>Terpenes</t>
  </si>
  <si>
    <t>Methyl Mercaptan</t>
  </si>
  <si>
    <t>Diethyl Sulfide</t>
  </si>
  <si>
    <t>Diethyl Disulfide</t>
  </si>
  <si>
    <t>Allyl cyanide</t>
  </si>
  <si>
    <t>Hexamethyldisiloxane</t>
  </si>
  <si>
    <t>Octamethyltrisiloxane</t>
  </si>
  <si>
    <t>Decamethyltetrasiloxane</t>
  </si>
  <si>
    <t>Dodecamethylpentasiloxane</t>
  </si>
  <si>
    <t>Hexamethylcyclotrisiloxane</t>
  </si>
  <si>
    <t>Octamethylcyclotetrasiloxane</t>
  </si>
  <si>
    <t>Decamethylcyclopentasiloxane</t>
  </si>
  <si>
    <t>Dodecamethylcyclohexasiloxane</t>
  </si>
  <si>
    <t>median</t>
  </si>
  <si>
    <t>NMVOC</t>
  </si>
  <si>
    <t>stdev</t>
  </si>
  <si>
    <t>Impact 
indicator</t>
  </si>
  <si>
    <t>Extension, impact units</t>
  </si>
  <si>
    <t>Extension uncertainty</t>
  </si>
  <si>
    <t>Contribution per noisekm, best estimate</t>
  </si>
  <si>
    <t>Pathway specific 
characterization factor</t>
  </si>
  <si>
    <t>impact units/
emission unit</t>
  </si>
  <si>
    <t>Noisekm</t>
  </si>
  <si>
    <t xml:space="preserve"> 10^(dBA/10)*km</t>
  </si>
  <si>
    <t>sleep disturbance</t>
  </si>
  <si>
    <t>Impacts in indicator units per flow unit</t>
  </si>
  <si>
    <t>Human health</t>
  </si>
  <si>
    <t>Crop loss</t>
  </si>
  <si>
    <t>Wood loss</t>
  </si>
  <si>
    <t>Drinking water</t>
  </si>
  <si>
    <t xml:space="preserve">
(EUR/flow unit)</t>
  </si>
  <si>
    <t>Personhours</t>
  </si>
  <si>
    <t>Residential &amp; commercial developments in cities</t>
  </si>
  <si>
    <t>Housing and urban areas on arable land</t>
  </si>
  <si>
    <t>m2year</t>
  </si>
  <si>
    <t>Housing and urban areas on forestland</t>
  </si>
  <si>
    <t>Housing and urban areas on impediment</t>
  </si>
  <si>
    <t>Commercial &amp; industrial areas on arable land</t>
  </si>
  <si>
    <t>Commercial &amp; industrial areas on forestland</t>
  </si>
  <si>
    <t>Commercial &amp; industrial areas on impediment</t>
  </si>
  <si>
    <t xml:space="preserve">Residential &amp; commercial developments in  towns </t>
  </si>
  <si>
    <t>Housing and urban areas, arable land</t>
  </si>
  <si>
    <t>Housing and urban areas, forestland</t>
  </si>
  <si>
    <t>Housing and urban areas, impediment</t>
  </si>
  <si>
    <t>Commercial &amp; industrial areas, arable land</t>
  </si>
  <si>
    <t>Commercial &amp; industrial areas, forestland</t>
  </si>
  <si>
    <t>Commercial &amp; industrial areas, impediment</t>
  </si>
  <si>
    <t>Agriculture and Aquaculture</t>
  </si>
  <si>
    <t xml:space="preserve">Annual&amp;perennial non-timber crops </t>
  </si>
  <si>
    <t>Wood &amp; pulp plantations</t>
  </si>
  <si>
    <t>Livestock farming and ranching</t>
  </si>
  <si>
    <t>Marine and freshwater aquaculture</t>
  </si>
  <si>
    <t>kg produced</t>
  </si>
  <si>
    <t>Energy production and mining</t>
  </si>
  <si>
    <t>Oil and gas drilling</t>
  </si>
  <si>
    <t>Mining and quarrying</t>
  </si>
  <si>
    <t>Renewable energy</t>
  </si>
  <si>
    <t>Transportation and service corridors</t>
  </si>
  <si>
    <t>Roads and railroads</t>
  </si>
  <si>
    <t>Utility and service lines</t>
  </si>
  <si>
    <t xml:space="preserve">Biological resource use </t>
  </si>
  <si>
    <t>Logging and wood harvesting</t>
  </si>
  <si>
    <t>Emissions to air from the nuclear fuel cycle</t>
  </si>
  <si>
    <t>Collective
 dose per unit release</t>
  </si>
  <si>
    <t>YOLL</t>
  </si>
  <si>
    <t>Cancer personyr</t>
  </si>
  <si>
    <t>manSv/TBq</t>
  </si>
  <si>
    <t>C-14</t>
  </si>
  <si>
    <t>H-3</t>
  </si>
  <si>
    <t>I-129</t>
  </si>
  <si>
    <t>Kr-85</t>
  </si>
  <si>
    <t>Pb-210</t>
  </si>
  <si>
    <t>Po-210</t>
  </si>
  <si>
    <t>Ra-226</t>
  </si>
  <si>
    <t>Rn-222</t>
  </si>
  <si>
    <t>Th-230</t>
  </si>
  <si>
    <t>U-234</t>
  </si>
  <si>
    <t>U-238</t>
  </si>
  <si>
    <t>Emissions to water  the nuclear fuel cycle</t>
  </si>
  <si>
    <t>negligable impact</t>
  </si>
  <si>
    <t>U-235</t>
  </si>
  <si>
    <t>Impacts from waste is normally evaluated in terms of the substances that make up the waste.</t>
  </si>
  <si>
    <t xml:space="preserve"> An exception is littering to soil and water, where there is a common impact regardless of the chemical composition.</t>
  </si>
  <si>
    <t>Meat&amp;fish</t>
  </si>
  <si>
    <t>unit</t>
  </si>
  <si>
    <t>best estimate</t>
  </si>
  <si>
    <t>Litter to ground</t>
  </si>
  <si>
    <t>pieces</t>
  </si>
  <si>
    <t>Plastic litter to water</t>
  </si>
  <si>
    <t>Env.good</t>
  </si>
  <si>
    <t>Impact indicator</t>
  </si>
  <si>
    <t>Extent of impact,
best estimate</t>
  </si>
  <si>
    <t>Extent of impact,
 uncertainty</t>
  </si>
  <si>
    <r>
      <t>Contribution best estimate, ( kg</t>
    </r>
    <r>
      <rPr>
        <b/>
        <vertAlign val="superscript"/>
        <sz val="10"/>
        <rFont val="Arial"/>
        <family val="2"/>
      </rPr>
      <t>-1</t>
    </r>
    <r>
      <rPr>
        <b/>
        <sz val="10"/>
        <rFont val="Arial"/>
        <family val="2"/>
      </rPr>
      <t>)</t>
    </r>
  </si>
  <si>
    <t>Characterisation
 factor for env. Good</t>
  </si>
  <si>
    <t>provisioning capacity</t>
  </si>
  <si>
    <t>oxygen deficiency</t>
  </si>
  <si>
    <t>biodiversity</t>
  </si>
  <si>
    <t>dimensionless</t>
  </si>
  <si>
    <t>eutrophication</t>
  </si>
  <si>
    <t>BOD to seawater</t>
  </si>
  <si>
    <t>kg N</t>
  </si>
  <si>
    <t>fertilization</t>
  </si>
  <si>
    <t>kg P</t>
  </si>
  <si>
    <t>life expectancy</t>
  </si>
  <si>
    <t>bladder cancer</t>
  </si>
  <si>
    <t>cardiovascular mortality</t>
  </si>
  <si>
    <t>skin cancer</t>
  </si>
  <si>
    <t>YLD</t>
  </si>
  <si>
    <t>Intake via drinking water</t>
  </si>
  <si>
    <t>cases</t>
  </si>
  <si>
    <t>Substance, 
flow group</t>
  </si>
  <si>
    <t>Substance,
flow group</t>
  </si>
  <si>
    <t>Characteri-sation
factor  for env. good</t>
  </si>
  <si>
    <t>YLL, 
acute tox</t>
  </si>
  <si>
    <r>
      <t>Natural capital loss 
best estimate
(€</t>
    </r>
    <r>
      <rPr>
        <b/>
        <vertAlign val="subscript"/>
        <sz val="10"/>
        <rFont val="Arial"/>
        <family val="2"/>
      </rPr>
      <t>2025</t>
    </r>
    <r>
      <rPr>
        <b/>
        <sz val="10"/>
        <rFont val="Arial"/>
        <family val="2"/>
      </rPr>
      <t>/indicator unit)</t>
    </r>
  </si>
  <si>
    <t>Natural capital loss, uncertainty</t>
  </si>
  <si>
    <t>Natural capital loss, best estimate (€/kg)</t>
  </si>
  <si>
    <t>Natural capital loss
 EUR/flow unit</t>
  </si>
  <si>
    <t>Natural capital loss, €/kg</t>
  </si>
  <si>
    <t>Natural capital loss, EUR/flow unit</t>
  </si>
  <si>
    <t>Natural capital loss,
 EUR/flow unit</t>
  </si>
  <si>
    <t>Natural capital loss,
EUR/flow unit</t>
  </si>
  <si>
    <t>Natural capital loss</t>
  </si>
  <si>
    <t>Natural capital loss, EUR/TBq</t>
  </si>
  <si>
    <t>EUR per unit</t>
  </si>
  <si>
    <t xml:space="preserve">Cells marked yellow contains information derived in other cells and references to them. </t>
  </si>
  <si>
    <t>Swedish Life Cycle Center Report 2026:04</t>
  </si>
  <si>
    <t>© Copyright the Swedish Life Cycle Center</t>
  </si>
  <si>
    <t>All sheet contents are locked. To unlock, click Review/Unprotect sheet and use the password EPS2025d</t>
  </si>
  <si>
    <t xml:space="preserve">This Excel workbook contains </t>
  </si>
  <si>
    <r>
      <t xml:space="preserve">Worksheet </t>
    </r>
    <r>
      <rPr>
        <b/>
        <sz val="10"/>
        <rFont val="Arial"/>
        <family val="2"/>
      </rPr>
      <t>Abiotic resources</t>
    </r>
    <r>
      <rPr>
        <sz val="10"/>
        <rFont val="Arial"/>
        <family val="2"/>
      </rPr>
      <t xml:space="preserve"> describing monetary values for abiotic resources and hoe they are determined</t>
    </r>
  </si>
  <si>
    <r>
      <t>Worksheets</t>
    </r>
    <r>
      <rPr>
        <b/>
        <sz val="10"/>
        <rFont val="Arial"/>
        <family val="2"/>
      </rPr>
      <t xml:space="preserve"> Em to water, Inorganic gases, Particles, Halo.org., and  VOC, </t>
    </r>
    <r>
      <rPr>
        <sz val="10"/>
        <rFont val="Arial"/>
        <family val="2"/>
      </rPr>
      <t>where characterisation factors and loss of natural capital caused by different emissions are calculated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</si>
</sst>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
    <numFmt numFmtId="166" formatCode="0.000000"/>
  </numFmts>
  <fonts count="38">
    <font>
      <sz val="10"/>
      <name val="Arial"/>
    </font>
    <font>
      <sz val="11"/>
      <color theme="1"/>
      <name val="Arial"/>
      <family val="2"/>
    </font>
    <font>
      <sz val="8"/>
      <color indexed="81"/>
      <name val="Tahoma"/>
      <family val="2"/>
    </font>
    <font>
      <b/>
      <sz val="10"/>
      <name val="Arial"/>
      <family val="2"/>
    </font>
    <font>
      <sz val="10"/>
      <name val="Arial"/>
      <family val="2"/>
    </font>
    <font>
      <sz val="9"/>
      <color indexed="81"/>
      <name val="Tahoma"/>
      <family val="2"/>
    </font>
    <font>
      <b/>
      <sz val="9"/>
      <color indexed="81"/>
      <name val="Tahoma"/>
      <family val="2"/>
    </font>
    <font>
      <sz val="10"/>
      <name val="Times New Roman"/>
      <family val="1"/>
    </font>
    <font>
      <sz val="10"/>
      <color indexed="8"/>
      <name val="Arial"/>
      <family val="2"/>
    </font>
    <font>
      <sz val="9"/>
      <color indexed="81"/>
      <name val="Albertus MT"/>
      <family val="1"/>
    </font>
    <font>
      <i/>
      <sz val="9"/>
      <color indexed="81"/>
      <name val="Tahoma"/>
      <family val="2"/>
    </font>
    <font>
      <b/>
      <i/>
      <sz val="10"/>
      <name val="Arial"/>
      <family val="2"/>
    </font>
    <font>
      <sz val="12"/>
      <name val="Arial"/>
      <family val="2"/>
    </font>
    <font>
      <u/>
      <sz val="10"/>
      <color theme="10"/>
      <name val="Arial"/>
      <family val="2"/>
    </font>
    <font>
      <b/>
      <sz val="11"/>
      <color theme="1"/>
      <name val="Calibri"/>
      <family val="2"/>
      <scheme val="minor"/>
    </font>
    <font>
      <sz val="9"/>
      <name val="Helvetica"/>
      <family val="2"/>
    </font>
    <font>
      <sz val="8"/>
      <color theme="1"/>
      <name val="Calibri"/>
      <family val="2"/>
      <scheme val="minor"/>
    </font>
    <font>
      <sz val="11"/>
      <color theme="1"/>
      <name val="Calibri"/>
      <family val="2"/>
      <scheme val="minor"/>
    </font>
    <font>
      <b/>
      <sz val="10"/>
      <color theme="6" tint="-0.499984740745262"/>
      <name val="Arial"/>
      <family val="2"/>
    </font>
    <font>
      <sz val="10"/>
      <color rgb="FFFF0000"/>
      <name val="Arial"/>
      <family val="2"/>
    </font>
    <font>
      <b/>
      <sz val="14"/>
      <name val="Arial"/>
      <family val="2"/>
    </font>
    <font>
      <sz val="10"/>
      <color theme="0" tint="-0.499984740745262"/>
      <name val="Arial"/>
      <family val="2"/>
    </font>
    <font>
      <sz val="9"/>
      <color theme="0" tint="-0.499984740745262"/>
      <name val="Helvetica"/>
      <family val="2"/>
    </font>
    <font>
      <sz val="11"/>
      <color rgb="FF9C6500"/>
      <name val="Arial"/>
      <family val="2"/>
    </font>
    <font>
      <sz val="18"/>
      <name val="Arial"/>
      <family val="2"/>
    </font>
    <font>
      <b/>
      <sz val="14"/>
      <color rgb="FF365F91"/>
      <name val="Cambria"/>
      <family val="1"/>
    </font>
    <font>
      <b/>
      <sz val="11"/>
      <name val="Arial"/>
      <family val="2"/>
    </font>
    <font>
      <b/>
      <vertAlign val="subscript"/>
      <sz val="10"/>
      <name val="Arial"/>
      <family val="2"/>
    </font>
    <font>
      <sz val="10"/>
      <color indexed="81"/>
      <name val="Tahoma"/>
      <family val="2"/>
    </font>
    <font>
      <sz val="11"/>
      <name val="Aptos"/>
      <family val="2"/>
    </font>
    <font>
      <sz val="8"/>
      <name val="Arial"/>
      <family val="2"/>
    </font>
    <font>
      <i/>
      <sz val="8"/>
      <color indexed="81"/>
      <name val="Tahoma"/>
      <family val="2"/>
    </font>
    <font>
      <sz val="11"/>
      <name val="Times New Roman"/>
      <family val="1"/>
      <charset val="204"/>
    </font>
    <font>
      <b/>
      <vertAlign val="superscript"/>
      <sz val="10"/>
      <name val="Arial"/>
      <family val="2"/>
    </font>
    <font>
      <b/>
      <sz val="10"/>
      <color rgb="FFFF0000"/>
      <name val="Arial"/>
      <family val="2"/>
    </font>
    <font>
      <b/>
      <sz val="10"/>
      <color theme="0" tint="-0.499984740745262"/>
      <name val="Arial"/>
      <family val="2"/>
    </font>
    <font>
      <b/>
      <sz val="12"/>
      <name val="Arial"/>
      <family val="2"/>
    </font>
    <font>
      <vertAlign val="superscript"/>
      <sz val="10"/>
      <name val="Arial"/>
      <family val="2"/>
    </font>
  </fonts>
  <fills count="5">
    <fill>
      <patternFill patternType="none"/>
    </fill>
    <fill>
      <patternFill patternType="gray125"/>
    </fill>
    <fill>
      <patternFill patternType="solid">
        <fgColor rgb="FFFFFF00"/>
        <bgColor indexed="64"/>
      </patternFill>
    </fill>
    <fill>
      <patternFill patternType="solid">
        <fgColor rgb="FFFFEB9C"/>
      </patternFill>
    </fill>
    <fill>
      <patternFill patternType="solid">
        <fgColor theme="4" tint="0.79998168889431442"/>
        <bgColor indexed="64"/>
      </patternFill>
    </fill>
  </fills>
  <borders count="2">
    <border>
      <left/>
      <right/>
      <top/>
      <bottom/>
      <diagonal/>
    </border>
    <border>
      <left style="medium">
        <color indexed="64"/>
      </left>
      <right style="medium">
        <color indexed="64"/>
      </right>
      <top/>
      <bottom/>
      <diagonal/>
    </border>
  </borders>
  <cellStyleXfs count="9">
    <xf numFmtId="0" fontId="0" fillId="0" borderId="0"/>
    <xf numFmtId="0" fontId="13" fillId="0" borderId="0" applyNumberFormat="0" applyFill="0" applyBorder="0" applyAlignment="0" applyProtection="0"/>
    <xf numFmtId="0" fontId="8" fillId="0" borderId="0"/>
    <xf numFmtId="0" fontId="16" fillId="0" borderId="0"/>
    <xf numFmtId="0" fontId="17" fillId="0" borderId="0"/>
    <xf numFmtId="0" fontId="17" fillId="0" borderId="0"/>
    <xf numFmtId="0" fontId="4" fillId="0" borderId="0"/>
    <xf numFmtId="0" fontId="23" fillId="3" borderId="0" applyNumberFormat="0" applyBorder="0" applyAlignment="0" applyProtection="0"/>
    <xf numFmtId="0" fontId="1" fillId="0" borderId="0"/>
  </cellStyleXfs>
  <cellXfs count="94">
    <xf numFmtId="0" fontId="0" fillId="0" borderId="0" xfId="0"/>
    <xf numFmtId="11" fontId="0" fillId="0" borderId="0" xfId="0" applyNumberFormat="1"/>
    <xf numFmtId="0" fontId="3" fillId="0" borderId="0" xfId="0" applyFont="1"/>
    <xf numFmtId="2" fontId="0" fillId="0" borderId="0" xfId="0" applyNumberFormat="1"/>
    <xf numFmtId="0" fontId="3" fillId="0" borderId="0" xfId="0" applyFont="1" applyAlignment="1">
      <alignment wrapText="1"/>
    </xf>
    <xf numFmtId="164" fontId="0" fillId="0" borderId="0" xfId="0" applyNumberFormat="1"/>
    <xf numFmtId="1" fontId="0" fillId="0" borderId="0" xfId="0" applyNumberFormat="1"/>
    <xf numFmtId="11" fontId="0" fillId="2" borderId="0" xfId="0" applyNumberFormat="1" applyFill="1"/>
    <xf numFmtId="0" fontId="11" fillId="0" borderId="0" xfId="0" applyFont="1"/>
    <xf numFmtId="0" fontId="4" fillId="0" borderId="0" xfId="0" applyFont="1"/>
    <xf numFmtId="0" fontId="4" fillId="0" borderId="0" xfId="0" applyFont="1" applyAlignment="1">
      <alignment wrapText="1"/>
    </xf>
    <xf numFmtId="0" fontId="12" fillId="0" borderId="0" xfId="0" applyFont="1"/>
    <xf numFmtId="0" fontId="14" fillId="0" borderId="0" xfId="0" applyFont="1"/>
    <xf numFmtId="14" fontId="0" fillId="0" borderId="0" xfId="0" applyNumberFormat="1"/>
    <xf numFmtId="3" fontId="0" fillId="0" borderId="0" xfId="0" applyNumberFormat="1"/>
    <xf numFmtId="0" fontId="0" fillId="0" borderId="0" xfId="0" applyAlignment="1">
      <alignment horizontal="center"/>
    </xf>
    <xf numFmtId="16" fontId="4" fillId="0" borderId="0" xfId="0" applyNumberFormat="1" applyFont="1"/>
    <xf numFmtId="0" fontId="0" fillId="0" borderId="0" xfId="0" applyProtection="1">
      <protection locked="0"/>
    </xf>
    <xf numFmtId="11" fontId="0" fillId="0" borderId="0" xfId="0" applyNumberFormat="1" applyProtection="1">
      <protection locked="0"/>
    </xf>
    <xf numFmtId="11" fontId="0" fillId="2" borderId="0" xfId="0" applyNumberFormat="1" applyFill="1" applyProtection="1">
      <protection locked="0"/>
    </xf>
    <xf numFmtId="0" fontId="13" fillId="0" borderId="0" xfId="1" applyProtection="1">
      <protection locked="0"/>
    </xf>
    <xf numFmtId="0" fontId="0" fillId="2" borderId="0" xfId="0" applyFill="1"/>
    <xf numFmtId="14" fontId="4" fillId="0" borderId="0" xfId="0" applyNumberFormat="1" applyFont="1"/>
    <xf numFmtId="49" fontId="0" fillId="0" borderId="0" xfId="0" applyNumberFormat="1"/>
    <xf numFmtId="166" fontId="0" fillId="0" borderId="0" xfId="0" applyNumberFormat="1"/>
    <xf numFmtId="166" fontId="4" fillId="0" borderId="0" xfId="0" applyNumberFormat="1" applyFont="1"/>
    <xf numFmtId="0" fontId="19" fillId="0" borderId="0" xfId="0" applyFont="1"/>
    <xf numFmtId="166" fontId="19" fillId="0" borderId="0" xfId="0" applyNumberFormat="1" applyFont="1"/>
    <xf numFmtId="11" fontId="4" fillId="0" borderId="0" xfId="0" applyNumberFormat="1" applyFont="1"/>
    <xf numFmtId="165" fontId="15" fillId="0" borderId="0" xfId="0" applyNumberFormat="1" applyFont="1" applyAlignment="1">
      <alignment horizontal="left" vertical="center"/>
    </xf>
    <xf numFmtId="165" fontId="22" fillId="0" borderId="0" xfId="0" applyNumberFormat="1" applyFont="1" applyAlignment="1">
      <alignment horizontal="left" vertical="center"/>
    </xf>
    <xf numFmtId="0" fontId="21" fillId="0" borderId="0" xfId="0" applyFont="1"/>
    <xf numFmtId="49" fontId="4" fillId="0" borderId="0" xfId="0" applyNumberFormat="1" applyFont="1"/>
    <xf numFmtId="0" fontId="3" fillId="0" borderId="0" xfId="0" applyFont="1" applyAlignment="1">
      <alignment horizontal="center"/>
    </xf>
    <xf numFmtId="0" fontId="0" fillId="0" borderId="0" xfId="0" applyAlignment="1" applyProtection="1">
      <alignment vertical="top"/>
      <protection locked="0"/>
    </xf>
    <xf numFmtId="11" fontId="0" fillId="0" borderId="0" xfId="0" applyNumberFormat="1" applyAlignment="1" applyProtection="1">
      <alignment vertical="top"/>
      <protection locked="0"/>
    </xf>
    <xf numFmtId="11" fontId="0" fillId="2" borderId="0" xfId="0" applyNumberFormat="1" applyFill="1" applyAlignment="1" applyProtection="1">
      <alignment vertical="top"/>
      <protection locked="0"/>
    </xf>
    <xf numFmtId="4" fontId="0" fillId="2" borderId="0" xfId="0" applyNumberFormat="1" applyFill="1" applyAlignment="1" applyProtection="1">
      <alignment vertical="top"/>
      <protection locked="0"/>
    </xf>
    <xf numFmtId="4" fontId="0" fillId="0" borderId="0" xfId="0" applyNumberFormat="1" applyAlignment="1" applyProtection="1">
      <alignment vertical="top"/>
      <protection locked="0"/>
    </xf>
    <xf numFmtId="2" fontId="0" fillId="2" borderId="0" xfId="0" applyNumberFormat="1" applyFill="1" applyAlignment="1" applyProtection="1">
      <alignment vertical="top"/>
      <protection locked="0"/>
    </xf>
    <xf numFmtId="0" fontId="0" fillId="2" borderId="0" xfId="0" applyFill="1" applyAlignment="1" applyProtection="1">
      <alignment vertical="top"/>
      <protection locked="0"/>
    </xf>
    <xf numFmtId="11" fontId="4" fillId="2" borderId="0" xfId="0" applyNumberFormat="1" applyFont="1" applyFill="1" applyAlignment="1" applyProtection="1">
      <alignment vertical="top"/>
      <protection locked="0"/>
    </xf>
    <xf numFmtId="0" fontId="4" fillId="0" borderId="0" xfId="0" applyFont="1" applyAlignment="1" applyProtection="1">
      <alignment vertical="top"/>
      <protection locked="0"/>
    </xf>
    <xf numFmtId="2" fontId="0" fillId="0" borderId="0" xfId="0" applyNumberFormat="1" applyAlignment="1" applyProtection="1">
      <alignment vertical="top"/>
      <protection locked="0"/>
    </xf>
    <xf numFmtId="0" fontId="18" fillId="0" borderId="0" xfId="0" applyFont="1"/>
    <xf numFmtId="0" fontId="24" fillId="0" borderId="0" xfId="0" applyFont="1"/>
    <xf numFmtId="0" fontId="25" fillId="0" borderId="0" xfId="0" applyFont="1" applyAlignment="1">
      <alignment vertical="center"/>
    </xf>
    <xf numFmtId="0" fontId="7" fillId="0" borderId="0" xfId="0" applyFont="1" applyAlignment="1">
      <alignment vertical="center"/>
    </xf>
    <xf numFmtId="0" fontId="13" fillId="0" borderId="0" xfId="1"/>
    <xf numFmtId="0" fontId="26" fillId="0" borderId="0" xfId="0" applyFont="1"/>
    <xf numFmtId="4" fontId="4" fillId="2" borderId="0" xfId="0" applyNumberFormat="1" applyFont="1" applyFill="1" applyAlignment="1" applyProtection="1">
      <alignment vertical="top"/>
      <protection locked="0"/>
    </xf>
    <xf numFmtId="0" fontId="4" fillId="0" borderId="0" xfId="0" applyFont="1" applyProtection="1">
      <protection locked="0"/>
    </xf>
    <xf numFmtId="0" fontId="4" fillId="0" borderId="0" xfId="0" applyFont="1" applyAlignment="1">
      <alignment horizontal="center"/>
    </xf>
    <xf numFmtId="11" fontId="4" fillId="2" borderId="0" xfId="0" applyNumberFormat="1" applyFont="1" applyFill="1" applyProtection="1">
      <protection locked="0"/>
    </xf>
    <xf numFmtId="0" fontId="29" fillId="0" borderId="1" xfId="0" applyFont="1" applyBorder="1" applyAlignment="1">
      <alignment vertical="center" wrapText="1"/>
    </xf>
    <xf numFmtId="0" fontId="32" fillId="0" borderId="0" xfId="0" applyFont="1" applyAlignment="1">
      <alignment horizontal="left" vertical="top" wrapText="1"/>
    </xf>
    <xf numFmtId="164" fontId="3" fillId="0" borderId="0" xfId="0" applyNumberFormat="1" applyFont="1" applyAlignment="1">
      <alignment horizontal="center"/>
    </xf>
    <xf numFmtId="11" fontId="4" fillId="0" borderId="0" xfId="0" applyNumberFormat="1" applyFont="1" applyAlignment="1" applyProtection="1">
      <alignment vertical="top"/>
      <protection locked="0"/>
    </xf>
    <xf numFmtId="11" fontId="0" fillId="0" borderId="0" xfId="0" applyNumberFormat="1" applyAlignment="1">
      <alignment horizontal="center"/>
    </xf>
    <xf numFmtId="0" fontId="3" fillId="0" borderId="0" xfId="0" applyFont="1" applyAlignment="1" applyProtection="1">
      <alignment wrapText="1"/>
      <protection locked="0"/>
    </xf>
    <xf numFmtId="0" fontId="3" fillId="0" borderId="0" xfId="0" applyFont="1" applyProtection="1">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4" fontId="3" fillId="0" borderId="0" xfId="0" applyNumberFormat="1" applyFont="1" applyAlignment="1" applyProtection="1">
      <alignment vertical="top" wrapText="1"/>
      <protection locked="0"/>
    </xf>
    <xf numFmtId="0" fontId="34" fillId="0" borderId="0" xfId="0" applyFont="1" applyAlignment="1">
      <alignment wrapText="1"/>
    </xf>
    <xf numFmtId="164" fontId="3" fillId="0" borderId="0" xfId="0" applyNumberFormat="1" applyFont="1"/>
    <xf numFmtId="0" fontId="35" fillId="0" borderId="0" xfId="0" applyFont="1" applyAlignment="1">
      <alignment wrapText="1"/>
    </xf>
    <xf numFmtId="0" fontId="3" fillId="0" borderId="0" xfId="0" applyFont="1" applyAlignment="1">
      <alignment horizontal="center" vertical="center"/>
    </xf>
    <xf numFmtId="164" fontId="4" fillId="0" borderId="0" xfId="0" applyNumberFormat="1" applyFont="1"/>
    <xf numFmtId="0" fontId="4" fillId="0" borderId="0" xfId="0" applyFont="1" applyAlignment="1">
      <alignment vertical="center" wrapText="1"/>
    </xf>
    <xf numFmtId="0" fontId="0" fillId="2" borderId="0" xfId="0" applyFill="1" applyProtection="1">
      <protection locked="0"/>
    </xf>
    <xf numFmtId="0" fontId="3" fillId="0" borderId="0" xfId="0" applyFont="1" applyAlignment="1">
      <alignment vertical="center" wrapText="1"/>
    </xf>
    <xf numFmtId="0" fontId="3" fillId="0" borderId="0" xfId="0" applyFont="1" applyAlignment="1">
      <alignment vertical="center"/>
    </xf>
    <xf numFmtId="164" fontId="3" fillId="0" borderId="0" xfId="0" applyNumberFormat="1" applyFont="1" applyAlignment="1">
      <alignment horizontal="center" wrapText="1"/>
    </xf>
    <xf numFmtId="11" fontId="0" fillId="2" borderId="0" xfId="0" applyNumberFormat="1" applyFill="1" applyAlignment="1">
      <alignment vertical="top"/>
    </xf>
    <xf numFmtId="0" fontId="0" fillId="2" borderId="0" xfId="0" applyFill="1" applyAlignment="1">
      <alignment vertical="top"/>
    </xf>
    <xf numFmtId="4" fontId="0" fillId="2" borderId="0" xfId="0" applyNumberFormat="1" applyFill="1" applyAlignment="1">
      <alignment vertical="top"/>
    </xf>
    <xf numFmtId="4" fontId="0" fillId="0" borderId="0" xfId="0" applyNumberFormat="1" applyAlignment="1">
      <alignment vertical="top"/>
    </xf>
    <xf numFmtId="0" fontId="4" fillId="2" borderId="0" xfId="0" applyFont="1" applyFill="1" applyAlignment="1">
      <alignment vertical="top"/>
    </xf>
    <xf numFmtId="2" fontId="0" fillId="2" borderId="0" xfId="0" applyNumberFormat="1" applyFill="1" applyAlignment="1">
      <alignment vertical="top"/>
    </xf>
    <xf numFmtId="0" fontId="0" fillId="0" borderId="0" xfId="0" applyAlignment="1">
      <alignment vertical="top"/>
    </xf>
    <xf numFmtId="164" fontId="4" fillId="2" borderId="0" xfId="0" applyNumberFormat="1" applyFont="1" applyFill="1" applyAlignment="1" applyProtection="1">
      <alignment horizontal="center"/>
      <protection locked="0"/>
    </xf>
    <xf numFmtId="0" fontId="3" fillId="0" borderId="0" xfId="0" applyFont="1" applyAlignment="1" applyProtection="1">
      <alignment horizontal="center" wrapText="1"/>
      <protection locked="0"/>
    </xf>
    <xf numFmtId="11" fontId="4" fillId="2" borderId="0" xfId="0" applyNumberFormat="1" applyFont="1" applyFill="1" applyAlignment="1" applyProtection="1">
      <alignment horizontal="center"/>
      <protection locked="0"/>
    </xf>
    <xf numFmtId="11" fontId="4"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0" fontId="3" fillId="0" borderId="0" xfId="0" applyFont="1" applyAlignment="1" applyProtection="1">
      <alignment horizontal="center"/>
      <protection locked="0"/>
    </xf>
    <xf numFmtId="11" fontId="4" fillId="0" borderId="0" xfId="0" applyNumberFormat="1" applyFont="1" applyProtection="1">
      <protection locked="0"/>
    </xf>
    <xf numFmtId="11" fontId="4" fillId="2" borderId="0" xfId="0" applyNumberFormat="1" applyFont="1" applyFill="1"/>
    <xf numFmtId="0" fontId="4" fillId="2" borderId="0" xfId="0" applyFont="1" applyFill="1"/>
    <xf numFmtId="0" fontId="3" fillId="0" borderId="0" xfId="0" applyFont="1" applyAlignment="1">
      <alignment horizontal="center" wrapText="1"/>
    </xf>
    <xf numFmtId="0" fontId="3" fillId="0" borderId="0" xfId="0" applyFont="1" applyAlignment="1">
      <alignment horizontal="center"/>
    </xf>
    <xf numFmtId="0" fontId="36" fillId="4" borderId="0" xfId="0" applyFont="1" applyFill="1" applyAlignment="1">
      <alignment horizontal="center"/>
    </xf>
    <xf numFmtId="0" fontId="20" fillId="0" borderId="0" xfId="0" applyFont="1" applyAlignment="1">
      <alignment horizontal="center" vertical="center"/>
    </xf>
  </cellXfs>
  <cellStyles count="9">
    <cellStyle name="Hyperlänk" xfId="1" builtinId="8"/>
    <cellStyle name="Neutral 2" xfId="7" xr:uid="{00000000-0005-0000-0000-000001000000}"/>
    <cellStyle name="Normal" xfId="0" builtinId="0"/>
    <cellStyle name="Normal 19" xfId="5" xr:uid="{00000000-0005-0000-0000-000003000000}"/>
    <cellStyle name="Normal 2" xfId="3" xr:uid="{00000000-0005-0000-0000-000004000000}"/>
    <cellStyle name="Normal 2 2" xfId="6" xr:uid="{00000000-0005-0000-0000-000005000000}"/>
    <cellStyle name="Normal 3" xfId="4" xr:uid="{00000000-0005-0000-0000-000006000000}"/>
    <cellStyle name="Normal 4" xfId="8" xr:uid="{00000000-0005-0000-0000-000007000000}"/>
    <cellStyle name="Standard_Tabelle1" xfId="2"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9D9"/>
      <color rgb="FFFFAA71"/>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83553</xdr:colOff>
      <xdr:row>0</xdr:row>
      <xdr:rowOff>89122</xdr:rowOff>
    </xdr:from>
    <xdr:to>
      <xdr:col>5</xdr:col>
      <xdr:colOff>0</xdr:colOff>
      <xdr:row>19</xdr:row>
      <xdr:rowOff>44561</xdr:rowOff>
    </xdr:to>
    <xdr:sp macro="" textlink="">
      <xdr:nvSpPr>
        <xdr:cNvPr id="2" name="TextBox 1">
          <a:extLst>
            <a:ext uri="{FF2B5EF4-FFF2-40B4-BE49-F238E27FC236}">
              <a16:creationId xmlns:a16="http://schemas.microsoft.com/office/drawing/2014/main" id="{036014BD-8B62-1A38-7DF8-61FAE960271D}"/>
            </a:ext>
          </a:extLst>
        </xdr:cNvPr>
        <xdr:cNvSpPr txBox="1"/>
      </xdr:nvSpPr>
      <xdr:spPr>
        <a:xfrm>
          <a:off x="83553" y="89122"/>
          <a:ext cx="8605921" cy="3052457"/>
        </a:xfrm>
        <a:prstGeom prst="rect">
          <a:avLst/>
        </a:prstGeom>
        <a:solidFill>
          <a:schemeClr val="lt1"/>
        </a:solidFill>
        <a:ln w="571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mn-lt"/>
              <a:ea typeface="+mn-ea"/>
              <a:cs typeface="+mn-cs"/>
            </a:rPr>
            <a:t>General characteristics of the valuation of impacts on environmental goods as required to be reported by ISO 14008 standard on monetary valuation</a:t>
          </a:r>
        </a:p>
        <a:p>
          <a:r>
            <a:rPr lang="sv-SE" sz="1000" b="0" i="0" u="none" strike="noStrike">
              <a:solidFill>
                <a:schemeClr val="dk1"/>
              </a:solidFill>
              <a:effectLst/>
              <a:latin typeface="+mn-lt"/>
              <a:ea typeface="+mn-ea"/>
              <a:cs typeface="+mn-cs"/>
            </a:rPr>
            <a:t>-</a:t>
          </a:r>
          <a:r>
            <a:rPr lang="sv-SE" sz="1000" b="0" i="0" u="none" strike="noStrike" baseline="0">
              <a:solidFill>
                <a:schemeClr val="dk1"/>
              </a:solidFill>
              <a:effectLst/>
              <a:latin typeface="+mn-lt"/>
              <a:ea typeface="+mn-ea"/>
              <a:cs typeface="+mn-cs"/>
            </a:rPr>
            <a:t> </a:t>
          </a:r>
          <a:r>
            <a:rPr lang="sv-SE" sz="1000" b="0" i="0" u="none" strike="noStrike">
              <a:solidFill>
                <a:schemeClr val="dk1"/>
              </a:solidFill>
              <a:effectLst/>
              <a:latin typeface="+mn-lt"/>
              <a:ea typeface="+mn-ea"/>
              <a:cs typeface="+mn-cs"/>
            </a:rPr>
            <a:t>Impacts on environmental goods from emissions and extraction of natural resources are valued</a:t>
          </a:r>
          <a:r>
            <a:rPr lang="sv-SE" sz="1000"/>
            <a:t> </a:t>
          </a:r>
        </a:p>
        <a:p>
          <a:r>
            <a:rPr lang="sv-SE" sz="1000" b="0" i="0" u="none" strike="noStrike">
              <a:solidFill>
                <a:schemeClr val="dk1"/>
              </a:solidFill>
              <a:effectLst/>
              <a:latin typeface="+mn-lt"/>
              <a:ea typeface="+mn-ea"/>
              <a:cs typeface="+mn-cs"/>
            </a:rPr>
            <a:t>- The environmental baseline is current state</a:t>
          </a:r>
          <a:r>
            <a:rPr lang="sv-SE" sz="1000"/>
            <a:t> </a:t>
          </a:r>
        </a:p>
        <a:p>
          <a:r>
            <a:rPr lang="sv-SE" sz="1000" b="0" i="0" u="none" strike="noStrike">
              <a:solidFill>
                <a:schemeClr val="dk1"/>
              </a:solidFill>
              <a:effectLst/>
              <a:latin typeface="+mn-lt"/>
              <a:ea typeface="+mn-ea"/>
              <a:cs typeface="+mn-cs"/>
            </a:rPr>
            <a:t>- Impacts are valued according to what an average decision-maker</a:t>
          </a:r>
          <a:r>
            <a:rPr lang="sv-SE" sz="1000" b="0" i="0" u="none" strike="noStrike" baseline="0">
              <a:solidFill>
                <a:schemeClr val="dk1"/>
              </a:solidFill>
              <a:effectLst/>
              <a:latin typeface="+mn-lt"/>
              <a:ea typeface="+mn-ea"/>
              <a:cs typeface="+mn-cs"/>
            </a:rPr>
            <a:t> in OECD</a:t>
          </a:r>
          <a:r>
            <a:rPr lang="sv-SE" sz="1000" b="0" i="0" u="none" strike="noStrike">
              <a:solidFill>
                <a:schemeClr val="dk1"/>
              </a:solidFill>
              <a:effectLst/>
              <a:latin typeface="+mn-lt"/>
              <a:ea typeface="+mn-ea"/>
              <a:cs typeface="+mn-cs"/>
            </a:rPr>
            <a:t> countries would be willing to pay (or would have to pay) if the impact(s) affected him/her self</a:t>
          </a:r>
        </a:p>
        <a:p>
          <a:r>
            <a:rPr lang="sv-SE" sz="1000" b="0" i="0" u="none" strike="noStrike">
              <a:solidFill>
                <a:schemeClr val="dk1"/>
              </a:solidFill>
              <a:effectLst/>
              <a:latin typeface="+mn-lt"/>
              <a:ea typeface="+mn-ea"/>
              <a:cs typeface="+mn-cs"/>
            </a:rPr>
            <a:t>-</a:t>
          </a:r>
          <a:r>
            <a:rPr lang="sv-SE" sz="1000"/>
            <a:t> </a:t>
          </a:r>
          <a:r>
            <a:rPr lang="sv-SE" sz="1000" b="0" i="0" u="none" strike="noStrike">
              <a:solidFill>
                <a:schemeClr val="dk1"/>
              </a:solidFill>
              <a:effectLst/>
              <a:latin typeface="+mn-lt"/>
              <a:ea typeface="+mn-ea"/>
              <a:cs typeface="+mn-cs"/>
            </a:rPr>
            <a:t>Impacts on provisioning capacity of ecosystems are valued using market prices</a:t>
          </a:r>
          <a:r>
            <a:rPr lang="sv-SE" sz="1000"/>
            <a:t> </a:t>
          </a:r>
        </a:p>
        <a:p>
          <a:r>
            <a:rPr lang="sv-SE" sz="1000" b="0" i="0" u="none" strike="noStrike">
              <a:solidFill>
                <a:schemeClr val="dk1"/>
              </a:solidFill>
              <a:effectLst/>
              <a:latin typeface="+mn-lt"/>
              <a:ea typeface="+mn-ea"/>
              <a:cs typeface="+mn-cs"/>
            </a:rPr>
            <a:t>- Impacts on reserves of natural resources are valued from the extra cost of sustainable alternatives</a:t>
          </a:r>
          <a:r>
            <a:rPr lang="sv-SE" sz="1000"/>
            <a:t> </a:t>
          </a:r>
        </a:p>
        <a:p>
          <a:r>
            <a:rPr lang="sv-SE" sz="1000" b="0" i="0" u="none" strike="noStrike">
              <a:solidFill>
                <a:schemeClr val="dk1"/>
              </a:solidFill>
              <a:effectLst/>
              <a:latin typeface="+mn-lt"/>
              <a:ea typeface="+mn-ea"/>
              <a:cs typeface="+mn-cs"/>
            </a:rPr>
            <a:t>- Impacts on biodiversity are valued from the current cost of preserving endangered species</a:t>
          </a:r>
          <a:r>
            <a:rPr lang="sv-SE" sz="1000"/>
            <a:t> </a:t>
          </a:r>
        </a:p>
        <a:p>
          <a:r>
            <a:rPr lang="sv-SE" sz="1000" b="0" i="0" u="none" strike="noStrike">
              <a:solidFill>
                <a:schemeClr val="dk1"/>
              </a:solidFill>
              <a:effectLst/>
              <a:latin typeface="+mn-lt"/>
              <a:ea typeface="+mn-ea"/>
              <a:cs typeface="+mn-cs"/>
            </a:rPr>
            <a:t>- Impacts on human health are valued from the market price of labour</a:t>
          </a:r>
          <a:endParaRPr lang="sv-SE" sz="1000"/>
        </a:p>
        <a:p>
          <a:r>
            <a:rPr lang="sv-SE" sz="1000" b="0" i="0" u="none" strike="noStrike">
              <a:solidFill>
                <a:schemeClr val="dk1"/>
              </a:solidFill>
              <a:effectLst/>
              <a:latin typeface="+mn-lt"/>
              <a:ea typeface="+mn-ea"/>
              <a:cs typeface="+mn-cs"/>
            </a:rPr>
            <a:t>- All elements of the total economic value are adressed, but there is no resolution between the elements.</a:t>
          </a:r>
          <a:r>
            <a:rPr lang="sv-SE" sz="1000"/>
            <a:t> </a:t>
          </a:r>
        </a:p>
        <a:p>
          <a:r>
            <a:rPr lang="sv-SE" sz="1000" b="0" i="0" u="none" strike="noStrike">
              <a:solidFill>
                <a:schemeClr val="dk1"/>
              </a:solidFill>
              <a:effectLst/>
              <a:latin typeface="+mn-lt"/>
              <a:ea typeface="+mn-ea"/>
              <a:cs typeface="+mn-cs"/>
            </a:rPr>
            <a:t>- Monetary values are global </a:t>
          </a:r>
          <a:r>
            <a:rPr lang="sv-SE" sz="1000"/>
            <a:t> </a:t>
          </a:r>
        </a:p>
        <a:p>
          <a:r>
            <a:rPr lang="sv-SE" sz="1000" b="0" i="0" u="none" strike="noStrike">
              <a:solidFill>
                <a:schemeClr val="dk1"/>
              </a:solidFill>
              <a:effectLst/>
              <a:latin typeface="+mn-lt"/>
              <a:ea typeface="+mn-ea"/>
              <a:cs typeface="+mn-cs"/>
            </a:rPr>
            <a:t>- The temporal coverage is for the year 2025</a:t>
          </a:r>
          <a:endParaRPr lang="sv-SE" sz="1000"/>
        </a:p>
        <a:p>
          <a:r>
            <a:rPr lang="sv-SE" sz="1000" b="0" i="0" u="none" strike="noStrike">
              <a:solidFill>
                <a:schemeClr val="dk1"/>
              </a:solidFill>
              <a:effectLst/>
              <a:latin typeface="+mn-lt"/>
              <a:ea typeface="+mn-ea"/>
              <a:cs typeface="+mn-cs"/>
            </a:rPr>
            <a:t>- The human population affected by the impacts are the global population, but monetary values represent the population in the OECD countries.</a:t>
          </a:r>
          <a:r>
            <a:rPr lang="sv-SE" sz="1000"/>
            <a:t> </a:t>
          </a:r>
        </a:p>
        <a:p>
          <a:r>
            <a:rPr lang="sv-SE" sz="1000" b="0" i="0" u="none" strike="noStrike">
              <a:solidFill>
                <a:schemeClr val="dk1"/>
              </a:solidFill>
              <a:effectLst/>
              <a:latin typeface="+mn-lt"/>
              <a:ea typeface="+mn-ea"/>
              <a:cs typeface="+mn-cs"/>
            </a:rPr>
            <a:t>- The preferences of 17% of the global affected population are reflected in the monetary value(s)</a:t>
          </a:r>
          <a:r>
            <a:rPr lang="sv-SE" sz="1000"/>
            <a:t> </a:t>
          </a:r>
        </a:p>
        <a:p>
          <a:r>
            <a:rPr lang="sv-SE" sz="1000" b="0" i="0" u="none" strike="noStrike">
              <a:solidFill>
                <a:schemeClr val="dk1"/>
              </a:solidFill>
              <a:effectLst/>
              <a:latin typeface="+mn-lt"/>
              <a:ea typeface="+mn-ea"/>
              <a:cs typeface="+mn-cs"/>
            </a:rPr>
            <a:t>- The values are primariy intended to be used in product development, but products may be understood in a wide sense</a:t>
          </a:r>
          <a:endParaRPr lang="sv-SE" sz="1000"/>
        </a:p>
        <a:p>
          <a:r>
            <a:rPr lang="sv-SE" sz="1000" b="0" i="0" u="none" strike="noStrike">
              <a:solidFill>
                <a:schemeClr val="dk1"/>
              </a:solidFill>
              <a:effectLst/>
              <a:latin typeface="+mn-lt"/>
              <a:ea typeface="+mn-ea"/>
              <a:cs typeface="+mn-cs"/>
            </a:rPr>
            <a:t>- No transfer calulation are made</a:t>
          </a:r>
          <a:r>
            <a:rPr lang="sv-SE" sz="1000"/>
            <a:t> </a:t>
          </a:r>
        </a:p>
        <a:p>
          <a:r>
            <a:rPr lang="sv-SE" sz="1000" b="0" i="0" u="none" strike="noStrike">
              <a:solidFill>
                <a:schemeClr val="dk1"/>
              </a:solidFill>
              <a:effectLst/>
              <a:latin typeface="+mn-lt"/>
              <a:ea typeface="+mn-ea"/>
              <a:cs typeface="+mn-cs"/>
            </a:rPr>
            <a:t>- No equity weighting is applied</a:t>
          </a:r>
          <a:r>
            <a:rPr lang="sv-SE" sz="1000"/>
            <a:t> on market prices, impacts on working capacity is equity</a:t>
          </a:r>
          <a:r>
            <a:rPr lang="sv-SE" sz="1000" baseline="0"/>
            <a:t> weighted in the sense that OECD average is used for all countries.</a:t>
          </a:r>
          <a:r>
            <a:rPr lang="sv-SE" sz="1000"/>
            <a:t> </a:t>
          </a:r>
        </a:p>
        <a:p>
          <a:r>
            <a:rPr lang="sv-SE" sz="1000" b="0" i="0" u="none" strike="noStrike">
              <a:solidFill>
                <a:schemeClr val="dk1"/>
              </a:solidFill>
              <a:effectLst/>
              <a:latin typeface="+mn-lt"/>
              <a:ea typeface="+mn-ea"/>
              <a:cs typeface="+mn-cs"/>
            </a:rPr>
            <a:t>- The monetary value is a  median measure, unless other is stated,  based on a distribution over people, environmental impacts, space and time.</a:t>
          </a:r>
          <a:r>
            <a:rPr lang="sv-SE" sz="1000"/>
            <a:t> </a:t>
          </a:r>
          <a:r>
            <a:rPr lang="sv-SE" sz="1000" b="0" i="0" u="none" strike="noStrike">
              <a:solidFill>
                <a:schemeClr val="dk1"/>
              </a:solidFill>
              <a:effectLst/>
              <a:latin typeface="+mn-lt"/>
              <a:ea typeface="+mn-ea"/>
              <a:cs typeface="+mn-cs"/>
            </a:rPr>
            <a:t>Zero discounting is used</a:t>
          </a:r>
          <a:r>
            <a:rPr lang="sv-SE" sz="1000"/>
            <a:t> </a:t>
          </a:r>
          <a:endParaRPr lang="sv-SE" sz="10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108012</xdr:colOff>
      <xdr:row>0</xdr:row>
      <xdr:rowOff>691252</xdr:rowOff>
    </xdr:from>
    <xdr:to>
      <xdr:col>21</xdr:col>
      <xdr:colOff>394866</xdr:colOff>
      <xdr:row>30</xdr:row>
      <xdr:rowOff>82619</xdr:rowOff>
    </xdr:to>
    <xdr:pic>
      <xdr:nvPicPr>
        <xdr:cNvPr id="16767" name="Picture 49">
          <a:extLst>
            <a:ext uri="{FF2B5EF4-FFF2-40B4-BE49-F238E27FC236}">
              <a16:creationId xmlns:a16="http://schemas.microsoft.com/office/drawing/2014/main" id="{00000000-0008-0000-0500-00007F4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98664" y="691252"/>
          <a:ext cx="6034984" cy="4729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bengt.steen@chalmers.s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9"/>
  <sheetViews>
    <sheetView tabSelected="1" topLeftCell="A2" workbookViewId="0">
      <selection activeCell="B22" sqref="B22"/>
    </sheetView>
  </sheetViews>
  <sheetFormatPr baseColWidth="10" defaultColWidth="8.83203125" defaultRowHeight="13"/>
  <cols>
    <col min="2" max="2" width="10.33203125" customWidth="1"/>
  </cols>
  <sheetData>
    <row r="1" spans="1:13" ht="23">
      <c r="B1" s="45" t="s">
        <v>1776</v>
      </c>
      <c r="M1" t="s">
        <v>0</v>
      </c>
    </row>
    <row r="2" spans="1:13">
      <c r="B2" t="s">
        <v>1777</v>
      </c>
    </row>
    <row r="3" spans="1:13" ht="14.25" customHeight="1">
      <c r="B3" s="45"/>
    </row>
    <row r="4" spans="1:13" ht="18">
      <c r="B4" s="46" t="s">
        <v>1</v>
      </c>
    </row>
    <row r="5" spans="1:13">
      <c r="B5" s="47" t="s">
        <v>2</v>
      </c>
      <c r="L5" s="48" t="s">
        <v>3</v>
      </c>
    </row>
    <row r="6" spans="1:13">
      <c r="B6" s="48"/>
    </row>
    <row r="7" spans="1:13" ht="14">
      <c r="B7" s="49" t="s">
        <v>1779</v>
      </c>
    </row>
    <row r="8" spans="1:13">
      <c r="B8" s="9"/>
    </row>
    <row r="9" spans="1:13">
      <c r="B9" s="9" t="s">
        <v>4</v>
      </c>
    </row>
    <row r="10" spans="1:13">
      <c r="B10" s="9" t="s">
        <v>1780</v>
      </c>
      <c r="L10" s="9"/>
    </row>
    <row r="11" spans="1:13">
      <c r="B11" s="9" t="s">
        <v>1781</v>
      </c>
    </row>
    <row r="12" spans="1:13">
      <c r="B12" s="9" t="s">
        <v>5</v>
      </c>
    </row>
    <row r="13" spans="1:13">
      <c r="B13" s="9" t="s">
        <v>6</v>
      </c>
    </row>
    <row r="14" spans="1:13">
      <c r="A14" s="9"/>
      <c r="B14" s="9" t="s">
        <v>7</v>
      </c>
    </row>
    <row r="15" spans="1:13">
      <c r="B15" s="9" t="s">
        <v>8</v>
      </c>
    </row>
    <row r="16" spans="1:13">
      <c r="A16" s="9"/>
    </row>
    <row r="17" spans="1:9">
      <c r="B17" s="89" t="s">
        <v>1775</v>
      </c>
      <c r="C17" s="21"/>
      <c r="D17" s="21"/>
      <c r="E17" s="21"/>
      <c r="F17" s="21"/>
      <c r="G17" s="21"/>
      <c r="H17" s="21"/>
      <c r="I17" s="21"/>
    </row>
    <row r="18" spans="1:9">
      <c r="B18" t="s">
        <v>1778</v>
      </c>
    </row>
    <row r="19" spans="1:9">
      <c r="A19" s="9"/>
    </row>
  </sheetData>
  <hyperlinks>
    <hyperlink ref="L5"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2:T100"/>
  <sheetViews>
    <sheetView zoomScale="110" zoomScaleNormal="110" workbookViewId="0"/>
  </sheetViews>
  <sheetFormatPr baseColWidth="10" defaultColWidth="8.83203125" defaultRowHeight="13"/>
  <cols>
    <col min="1" max="1" width="38" bestFit="1" customWidth="1"/>
    <col min="2" max="3" width="9.83203125" customWidth="1"/>
    <col min="4" max="4" width="10.6640625" bestFit="1" customWidth="1"/>
    <col min="5" max="5" width="11.83203125" bestFit="1" customWidth="1"/>
    <col min="6" max="6" width="10.6640625" bestFit="1" customWidth="1"/>
    <col min="7" max="7" width="9.1640625" bestFit="1" customWidth="1"/>
    <col min="8" max="8" width="10.6640625" bestFit="1" customWidth="1"/>
    <col min="9" max="9" width="9.83203125" bestFit="1" customWidth="1"/>
    <col min="10" max="10" width="10.6640625" customWidth="1"/>
    <col min="11" max="11" width="5.5" customWidth="1"/>
    <col min="12" max="12" width="10.6640625" bestFit="1" customWidth="1"/>
    <col min="13" max="13" width="8.83203125" customWidth="1"/>
    <col min="14" max="14" width="10.6640625" bestFit="1" customWidth="1"/>
    <col min="15" max="15" width="14.6640625" customWidth="1"/>
    <col min="16" max="17" width="11.83203125" customWidth="1"/>
    <col min="18" max="18" width="12.5" bestFit="1" customWidth="1"/>
  </cols>
  <sheetData>
    <row r="2" spans="1:20" ht="16">
      <c r="C2" s="92" t="s">
        <v>1674</v>
      </c>
      <c r="D2" s="92"/>
      <c r="E2" s="92"/>
      <c r="F2" s="92"/>
      <c r="G2" s="92"/>
      <c r="H2" s="92"/>
      <c r="I2" s="92"/>
      <c r="J2" s="92"/>
      <c r="K2" s="92"/>
      <c r="L2" s="92"/>
      <c r="M2" s="92"/>
      <c r="N2" s="92"/>
      <c r="O2" s="2" t="s">
        <v>1772</v>
      </c>
      <c r="P2" s="15"/>
    </row>
    <row r="3" spans="1:20" s="2" customFormat="1" ht="15.75" customHeight="1">
      <c r="A3" s="2" t="s">
        <v>950</v>
      </c>
      <c r="B3" s="4" t="s">
        <v>158</v>
      </c>
      <c r="C3" s="90" t="s">
        <v>1675</v>
      </c>
      <c r="D3" s="90"/>
      <c r="E3" s="90" t="s">
        <v>146</v>
      </c>
      <c r="F3" s="90"/>
      <c r="G3" s="2" t="s">
        <v>1676</v>
      </c>
      <c r="I3" s="2" t="s">
        <v>1677</v>
      </c>
      <c r="K3" s="90" t="s">
        <v>1678</v>
      </c>
      <c r="L3" s="90"/>
      <c r="M3" s="91" t="s">
        <v>277</v>
      </c>
      <c r="N3" s="91"/>
      <c r="O3" s="4" t="s">
        <v>1679</v>
      </c>
    </row>
    <row r="4" spans="1:20" s="2" customFormat="1" ht="14">
      <c r="C4" s="2" t="s">
        <v>267</v>
      </c>
      <c r="D4" s="4" t="s">
        <v>315</v>
      </c>
      <c r="E4" s="4" t="s">
        <v>1680</v>
      </c>
      <c r="F4" s="4" t="s">
        <v>315</v>
      </c>
      <c r="G4" s="2" t="s">
        <v>11</v>
      </c>
      <c r="H4" s="4" t="s">
        <v>315</v>
      </c>
      <c r="I4" s="4" t="s">
        <v>11</v>
      </c>
      <c r="J4" s="4" t="s">
        <v>315</v>
      </c>
      <c r="K4" s="4" t="s">
        <v>11</v>
      </c>
      <c r="L4" s="4" t="s">
        <v>315</v>
      </c>
      <c r="N4" s="4" t="s">
        <v>315</v>
      </c>
    </row>
    <row r="5" spans="1:20" ht="15">
      <c r="A5" s="12" t="s">
        <v>1681</v>
      </c>
      <c r="M5" s="1"/>
      <c r="N5" s="1"/>
      <c r="O5" s="1"/>
    </row>
    <row r="6" spans="1:20">
      <c r="A6" s="9" t="s">
        <v>1682</v>
      </c>
      <c r="B6" t="s">
        <v>1683</v>
      </c>
      <c r="C6" s="1">
        <f>-0.398*24800000*3.5/8.2*1/133000000000</f>
        <v>-3.167650834403081E-5</v>
      </c>
      <c r="D6" s="1">
        <v>3.1835686777920398E-5</v>
      </c>
      <c r="E6" s="3">
        <f>1/38*0.0128*2000</f>
        <v>0.67368421052631577</v>
      </c>
      <c r="F6">
        <v>1.9</v>
      </c>
      <c r="G6">
        <f>0.43</f>
        <v>0.43</v>
      </c>
      <c r="H6">
        <v>1.4</v>
      </c>
      <c r="K6">
        <v>308</v>
      </c>
      <c r="L6">
        <v>1.4</v>
      </c>
      <c r="M6" s="1">
        <f>0.104/400000000000</f>
        <v>2.6E-13</v>
      </c>
      <c r="N6">
        <v>1.4</v>
      </c>
      <c r="O6" s="1">
        <f t="shared" ref="O6:O11" si="0">C6*YLLvalue+E6*working_capacity+G6*cropvalue+I6*woodvalue+K6*drinkingwatervalue+M6*speciesvalue</f>
        <v>28.539105558408217</v>
      </c>
      <c r="S6" s="1"/>
      <c r="T6" s="1"/>
    </row>
    <row r="7" spans="1:20">
      <c r="A7" s="9" t="s">
        <v>1684</v>
      </c>
      <c r="B7" t="s">
        <v>1683</v>
      </c>
      <c r="C7" s="1">
        <f t="shared" ref="C7:C11" si="1">-0.398*24800000*3.5/8.2*1/133000000000</f>
        <v>-3.167650834403081E-5</v>
      </c>
      <c r="D7" s="1">
        <v>3.1835686777920398E-5</v>
      </c>
      <c r="E7" s="3">
        <f t="shared" ref="E7:E11" si="2">1/38*0.0128*2000</f>
        <v>0.67368421052631577</v>
      </c>
      <c r="F7">
        <v>1.9</v>
      </c>
      <c r="I7">
        <v>0.5</v>
      </c>
      <c r="J7">
        <v>1.4</v>
      </c>
      <c r="K7">
        <v>308</v>
      </c>
      <c r="L7">
        <v>1.4</v>
      </c>
      <c r="M7" s="1">
        <f>0.104/400000000000</f>
        <v>2.6E-13</v>
      </c>
      <c r="N7">
        <v>1.4</v>
      </c>
      <c r="O7" s="1">
        <f t="shared" si="0"/>
        <v>28.470065558408216</v>
      </c>
    </row>
    <row r="8" spans="1:20">
      <c r="A8" s="9" t="s">
        <v>1685</v>
      </c>
      <c r="B8" t="s">
        <v>1683</v>
      </c>
      <c r="C8" s="1">
        <f t="shared" si="1"/>
        <v>-3.167650834403081E-5</v>
      </c>
      <c r="D8" s="1">
        <v>3.1835686777920398E-5</v>
      </c>
      <c r="E8" s="3">
        <f t="shared" si="2"/>
        <v>0.67368421052631577</v>
      </c>
      <c r="F8">
        <v>1.9</v>
      </c>
      <c r="K8">
        <v>308</v>
      </c>
      <c r="L8">
        <v>1.4</v>
      </c>
      <c r="M8" s="1">
        <f>0.104/400000000000</f>
        <v>2.6E-13</v>
      </c>
      <c r="N8">
        <v>1.4</v>
      </c>
      <c r="O8" s="1">
        <f t="shared" si="0"/>
        <v>28.355065558408217</v>
      </c>
    </row>
    <row r="9" spans="1:20">
      <c r="A9" s="9" t="s">
        <v>1686</v>
      </c>
      <c r="B9" t="s">
        <v>1683</v>
      </c>
      <c r="C9" s="1">
        <f t="shared" si="1"/>
        <v>-3.167650834403081E-5</v>
      </c>
      <c r="D9" s="1">
        <v>3.1835686777920398E-5</v>
      </c>
      <c r="E9" s="3">
        <f t="shared" si="2"/>
        <v>0.67368421052631577</v>
      </c>
      <c r="F9">
        <v>1.9</v>
      </c>
      <c r="G9">
        <f>0.43</f>
        <v>0.43</v>
      </c>
      <c r="H9">
        <v>1.4</v>
      </c>
      <c r="K9">
        <v>308</v>
      </c>
      <c r="L9">
        <v>1.4</v>
      </c>
      <c r="M9" s="1">
        <f>0.026/200000000000</f>
        <v>1.3E-13</v>
      </c>
      <c r="N9">
        <v>1.4</v>
      </c>
      <c r="O9" s="1">
        <f t="shared" si="0"/>
        <v>28.527860558408214</v>
      </c>
    </row>
    <row r="10" spans="1:20">
      <c r="A10" s="9" t="s">
        <v>1687</v>
      </c>
      <c r="B10" t="s">
        <v>1683</v>
      </c>
      <c r="C10" s="1">
        <f t="shared" si="1"/>
        <v>-3.167650834403081E-5</v>
      </c>
      <c r="D10" s="1">
        <v>3.1835686777920398E-5</v>
      </c>
      <c r="E10" s="3">
        <f t="shared" si="2"/>
        <v>0.67368421052631577</v>
      </c>
      <c r="F10">
        <v>1.9</v>
      </c>
      <c r="I10">
        <v>0.5</v>
      </c>
      <c r="J10">
        <v>1.4</v>
      </c>
      <c r="K10">
        <v>308</v>
      </c>
      <c r="L10">
        <v>1.4</v>
      </c>
      <c r="M10" s="1">
        <f>0.026/200000000000</f>
        <v>1.3E-13</v>
      </c>
      <c r="N10">
        <v>1.4</v>
      </c>
      <c r="O10" s="1">
        <f t="shared" si="0"/>
        <v>28.458820558408213</v>
      </c>
    </row>
    <row r="11" spans="1:20">
      <c r="A11" s="9" t="s">
        <v>1688</v>
      </c>
      <c r="B11" t="s">
        <v>1683</v>
      </c>
      <c r="C11" s="1">
        <f t="shared" si="1"/>
        <v>-3.167650834403081E-5</v>
      </c>
      <c r="D11" s="1">
        <v>3.1835686777920398E-5</v>
      </c>
      <c r="E11" s="3">
        <f t="shared" si="2"/>
        <v>0.67368421052631577</v>
      </c>
      <c r="F11">
        <v>1.9</v>
      </c>
      <c r="K11">
        <v>308</v>
      </c>
      <c r="L11">
        <v>1.4</v>
      </c>
      <c r="M11" s="1">
        <f>0.026/200000000000</f>
        <v>1.3E-13</v>
      </c>
      <c r="N11">
        <v>1.4</v>
      </c>
      <c r="O11" s="1">
        <f t="shared" si="0"/>
        <v>28.343820558408215</v>
      </c>
    </row>
    <row r="12" spans="1:20" ht="15">
      <c r="A12" s="12" t="s">
        <v>1689</v>
      </c>
      <c r="M12" s="1"/>
      <c r="N12" s="1"/>
      <c r="O12" s="1"/>
    </row>
    <row r="13" spans="1:20">
      <c r="A13" s="9" t="s">
        <v>1690</v>
      </c>
      <c r="B13" t="s">
        <v>1683</v>
      </c>
      <c r="G13">
        <f>0.43</f>
        <v>0.43</v>
      </c>
      <c r="H13">
        <v>1.4</v>
      </c>
      <c r="K13">
        <v>308</v>
      </c>
      <c r="L13">
        <v>1.4</v>
      </c>
      <c r="M13" s="1">
        <f>0.104/400000000000</f>
        <v>2.6E-13</v>
      </c>
      <c r="N13">
        <v>1.4</v>
      </c>
      <c r="O13" s="1">
        <f t="shared" ref="O13:O18" si="3">C13*YLLvalue+E13*working_capacity+G13*cropvalue+I13*woodvalue+K13*drinkingwatervalue+M13*speciesvalue</f>
        <v>0.64696999999999993</v>
      </c>
    </row>
    <row r="14" spans="1:20">
      <c r="A14" t="s">
        <v>1691</v>
      </c>
      <c r="B14" t="s">
        <v>1683</v>
      </c>
      <c r="I14">
        <v>0.5</v>
      </c>
      <c r="J14">
        <v>1.4</v>
      </c>
      <c r="K14">
        <v>308</v>
      </c>
      <c r="L14">
        <v>1.4</v>
      </c>
      <c r="M14" s="1">
        <f>0.104/400000000000</f>
        <v>2.6E-13</v>
      </c>
      <c r="N14">
        <v>1.4</v>
      </c>
      <c r="O14" s="1">
        <f t="shared" si="3"/>
        <v>0.57793000000000005</v>
      </c>
    </row>
    <row r="15" spans="1:20">
      <c r="A15" t="s">
        <v>1692</v>
      </c>
      <c r="B15" t="s">
        <v>1683</v>
      </c>
      <c r="K15">
        <v>308</v>
      </c>
      <c r="L15">
        <v>1.4</v>
      </c>
      <c r="M15" s="1">
        <f>0.104/400000000000</f>
        <v>2.6E-13</v>
      </c>
      <c r="N15">
        <v>1.4</v>
      </c>
      <c r="O15" s="1">
        <f t="shared" si="3"/>
        <v>0.46293000000000001</v>
      </c>
    </row>
    <row r="16" spans="1:20">
      <c r="A16" t="s">
        <v>1693</v>
      </c>
      <c r="B16" t="s">
        <v>1683</v>
      </c>
      <c r="G16">
        <f>0.43</f>
        <v>0.43</v>
      </c>
      <c r="H16">
        <v>1.4</v>
      </c>
      <c r="K16">
        <v>308</v>
      </c>
      <c r="L16">
        <v>1.4</v>
      </c>
      <c r="M16" s="1">
        <f>0.026/200000000000</f>
        <v>1.3E-13</v>
      </c>
      <c r="N16">
        <v>1.4</v>
      </c>
      <c r="O16" s="1">
        <f t="shared" si="3"/>
        <v>0.63572499999999987</v>
      </c>
    </row>
    <row r="17" spans="1:18">
      <c r="A17" t="s">
        <v>1694</v>
      </c>
      <c r="B17" t="s">
        <v>1683</v>
      </c>
      <c r="I17">
        <v>0.5</v>
      </c>
      <c r="J17">
        <v>1.4</v>
      </c>
      <c r="K17">
        <v>308</v>
      </c>
      <c r="L17">
        <v>1.4</v>
      </c>
      <c r="M17" s="1">
        <f>0.026/200000000000</f>
        <v>1.3E-13</v>
      </c>
      <c r="N17">
        <v>1.4</v>
      </c>
      <c r="O17" s="1">
        <f t="shared" si="3"/>
        <v>0.56668499999999999</v>
      </c>
    </row>
    <row r="18" spans="1:18">
      <c r="A18" t="s">
        <v>1695</v>
      </c>
      <c r="B18" s="9" t="s">
        <v>1683</v>
      </c>
      <c r="C18" s="9"/>
      <c r="D18" s="9"/>
      <c r="K18">
        <v>308</v>
      </c>
      <c r="L18">
        <v>1.4</v>
      </c>
      <c r="M18" s="1">
        <f>0.026/200000000000</f>
        <v>1.3E-13</v>
      </c>
      <c r="N18">
        <v>1.4</v>
      </c>
      <c r="O18" s="1">
        <f t="shared" si="3"/>
        <v>0.451685</v>
      </c>
    </row>
    <row r="19" spans="1:18" ht="15">
      <c r="A19" s="12" t="s">
        <v>1696</v>
      </c>
      <c r="M19" s="1"/>
      <c r="N19" s="1"/>
      <c r="O19" s="1"/>
    </row>
    <row r="20" spans="1:18">
      <c r="A20" t="s">
        <v>1697</v>
      </c>
      <c r="B20" t="s">
        <v>1683</v>
      </c>
      <c r="M20" s="1">
        <f>0.164/15400000000000</f>
        <v>1.064935064935065E-14</v>
      </c>
      <c r="N20">
        <v>1.4</v>
      </c>
      <c r="O20" s="1">
        <f>C20*YLLvalue+E20*working_capacity+G20*cropvalue+I20*woodvalue+K20*drinkingwatervalue+M20*speciesvalue</f>
        <v>9.2116883116883123E-4</v>
      </c>
    </row>
    <row r="21" spans="1:18">
      <c r="A21" t="s">
        <v>1698</v>
      </c>
      <c r="B21" t="s">
        <v>1683</v>
      </c>
      <c r="M21" s="1">
        <f>0.048/(280000000*10000)</f>
        <v>1.7142857142857144E-14</v>
      </c>
      <c r="N21">
        <v>1.4</v>
      </c>
      <c r="O21" s="1">
        <f>C21*YLLvalue+E21*working_capacity+G21*cropvalue+I21*woodvalue+K21*drinkingwatervalue+M21*speciesvalue</f>
        <v>1.482857142857143E-3</v>
      </c>
    </row>
    <row r="22" spans="1:18">
      <c r="A22" t="s">
        <v>1699</v>
      </c>
      <c r="B22" t="s">
        <v>1683</v>
      </c>
      <c r="M22" s="1">
        <f>0.092/38000000000000</f>
        <v>2.4210526315789474E-15</v>
      </c>
      <c r="N22">
        <v>1.4</v>
      </c>
      <c r="O22" s="1">
        <f>C22*YLLvalue+E22*working_capacity+G22*cropvalue+I22*woodvalue+K22*drinkingwatervalue+M22*speciesvalue</f>
        <v>2.0942105263157894E-4</v>
      </c>
    </row>
    <row r="23" spans="1:18">
      <c r="A23" s="9" t="s">
        <v>1700</v>
      </c>
      <c r="B23" s="9" t="s">
        <v>1701</v>
      </c>
      <c r="C23" s="9"/>
      <c r="D23" s="9"/>
      <c r="E23" s="9"/>
      <c r="F23" s="26"/>
      <c r="M23" s="1">
        <f>0.0032/223000000000</f>
        <v>1.4349775784753363E-14</v>
      </c>
      <c r="N23">
        <v>1.4</v>
      </c>
      <c r="O23" s="1">
        <f>C23*YLLvalue+E23*working_capacity+G23*cropvalue+I23*woodvalue+K23*drinkingwatervalue+M23*speciesvalue</f>
        <v>1.2412556053811659E-3</v>
      </c>
      <c r="P23" s="1"/>
    </row>
    <row r="24" spans="1:18" ht="15">
      <c r="A24" s="12" t="s">
        <v>1702</v>
      </c>
      <c r="B24" s="9"/>
      <c r="C24" s="9"/>
      <c r="D24" s="9"/>
      <c r="M24" s="1"/>
      <c r="N24" s="1"/>
      <c r="O24" s="1"/>
      <c r="P24" s="1"/>
    </row>
    <row r="25" spans="1:18">
      <c r="A25" s="9" t="s">
        <v>1703</v>
      </c>
      <c r="B25" s="9" t="s">
        <v>1701</v>
      </c>
      <c r="C25" s="9"/>
      <c r="D25" s="9"/>
      <c r="F25" s="26"/>
      <c r="M25" s="1">
        <f>0.00462/7700000000000</f>
        <v>5.9999999999999999E-16</v>
      </c>
      <c r="N25">
        <v>2.6</v>
      </c>
      <c r="O25" s="1">
        <f>C25*YLLvalue+E25*working_capacity+G25*cropvalue+I25*woodvalue+K25*drinkingwatervalue+M25*speciesvalue</f>
        <v>5.1900000000000001E-5</v>
      </c>
      <c r="P25" s="1"/>
      <c r="R25" s="9"/>
    </row>
    <row r="26" spans="1:18">
      <c r="A26" s="9" t="s">
        <v>1704</v>
      </c>
      <c r="B26" t="s">
        <v>1683</v>
      </c>
      <c r="E26" s="1"/>
      <c r="F26" s="1"/>
      <c r="G26" s="1"/>
      <c r="H26" s="1"/>
      <c r="I26">
        <v>0.5</v>
      </c>
      <c r="K26">
        <v>308</v>
      </c>
      <c r="M26" s="1">
        <f>0.057/66000000000</f>
        <v>8.6363636363636366E-13</v>
      </c>
      <c r="N26">
        <v>2.6</v>
      </c>
      <c r="O26" s="1">
        <f>C26*YLLvalue+E26*working_capacity+G26*cropvalue+I26*woodvalue+K26*drinkingwatervalue+M26*speciesvalue</f>
        <v>0.63014454545454546</v>
      </c>
    </row>
    <row r="27" spans="1:18">
      <c r="A27" t="s">
        <v>1705</v>
      </c>
      <c r="B27" t="s">
        <v>1683</v>
      </c>
      <c r="M27" s="1">
        <f>0.004354/400000000000</f>
        <v>1.0885000000000001E-14</v>
      </c>
      <c r="N27">
        <v>2.6</v>
      </c>
      <c r="O27" s="1">
        <f>C27*YLLvalue+E27*working_capacity+G27*cropvalue+I27*woodvalue+K27*drinkingwatervalue+M27*speciesvalue</f>
        <v>9.4155250000000008E-4</v>
      </c>
    </row>
    <row r="28" spans="1:18" ht="15">
      <c r="A28" s="12" t="s">
        <v>1706</v>
      </c>
      <c r="O28" s="1"/>
    </row>
    <row r="29" spans="1:18">
      <c r="A29" t="s">
        <v>1707</v>
      </c>
      <c r="B29" t="s">
        <v>1683</v>
      </c>
      <c r="G29">
        <f>0.43</f>
        <v>0.43</v>
      </c>
      <c r="I29">
        <v>0.5</v>
      </c>
      <c r="K29">
        <v>308</v>
      </c>
      <c r="M29" s="1">
        <f>0.033/453000000000</f>
        <v>7.2847682119205302E-14</v>
      </c>
      <c r="N29">
        <v>3.6</v>
      </c>
      <c r="O29" s="1">
        <f>C29*YLLvalue+E29*working_capacity+G29*cropvalue+I29*woodvalue+K29*drinkingwatervalue+M29*speciesvalue</f>
        <v>0.74578132450331114</v>
      </c>
    </row>
    <row r="30" spans="1:18">
      <c r="A30" t="s">
        <v>1708</v>
      </c>
      <c r="B30" t="s">
        <v>1683</v>
      </c>
      <c r="M30" s="1">
        <f>0.0024/1400000000000</f>
        <v>1.7142857142857141E-15</v>
      </c>
      <c r="N30">
        <v>3.6</v>
      </c>
      <c r="O30" s="1">
        <f>C30*YLLvalue+E30*working_capacity+G30*cropvalue+I30*woodvalue+K30*drinkingwatervalue+M30*speciesvalue</f>
        <v>1.4828571428571427E-4</v>
      </c>
    </row>
    <row r="31" spans="1:18" ht="15">
      <c r="A31" s="12" t="s">
        <v>1709</v>
      </c>
      <c r="O31" s="1"/>
    </row>
    <row r="32" spans="1:18">
      <c r="A32" t="s">
        <v>1710</v>
      </c>
      <c r="B32" t="s">
        <v>1683</v>
      </c>
      <c r="M32" s="1">
        <f>0.134/40400000000000</f>
        <v>3.316831683168317E-15</v>
      </c>
      <c r="N32">
        <v>1.4</v>
      </c>
      <c r="O32" s="1">
        <f>C32*YLLvalue+E32*working_capacity+G32*cropvalue+I32*woodvalue+K32*drinkingwatervalue+M32*speciesvalue</f>
        <v>2.869059405940594E-4</v>
      </c>
    </row>
    <row r="37" spans="1:11">
      <c r="A37" s="2"/>
      <c r="F37" s="2"/>
      <c r="G37" s="2"/>
      <c r="H37" s="2"/>
      <c r="J37" s="2"/>
      <c r="K37" s="2"/>
    </row>
    <row r="38" spans="1:11" ht="15">
      <c r="E38" s="9"/>
      <c r="F38" s="9"/>
      <c r="G38" s="26"/>
      <c r="H38" s="9"/>
      <c r="J38" s="12"/>
    </row>
    <row r="39" spans="1:11">
      <c r="E39" s="9"/>
      <c r="F39" s="9"/>
      <c r="G39" s="26"/>
      <c r="H39" s="9"/>
      <c r="K39" s="24"/>
    </row>
    <row r="40" spans="1:11">
      <c r="E40" s="9"/>
      <c r="F40" s="9"/>
      <c r="G40" s="26"/>
      <c r="H40" s="9"/>
      <c r="K40" s="24"/>
    </row>
    <row r="41" spans="1:11">
      <c r="E41" s="9"/>
      <c r="F41" s="9"/>
      <c r="G41" s="26"/>
      <c r="H41" s="9"/>
      <c r="K41" s="24"/>
    </row>
    <row r="42" spans="1:11">
      <c r="E42" s="9"/>
      <c r="F42" s="9"/>
      <c r="G42" s="26"/>
      <c r="H42" s="9"/>
      <c r="K42" s="24"/>
    </row>
    <row r="43" spans="1:11">
      <c r="E43" s="9"/>
      <c r="F43" s="9"/>
      <c r="G43" s="26"/>
      <c r="H43" s="9"/>
      <c r="K43" s="24"/>
    </row>
    <row r="44" spans="1:11">
      <c r="E44" s="9"/>
      <c r="F44" s="9"/>
      <c r="G44" s="26"/>
      <c r="H44" s="9"/>
      <c r="K44" s="24"/>
    </row>
    <row r="45" spans="1:11">
      <c r="E45" s="9"/>
      <c r="F45" s="9"/>
      <c r="G45" s="26"/>
      <c r="H45" s="9"/>
      <c r="K45" s="24"/>
    </row>
    <row r="46" spans="1:11" ht="15">
      <c r="E46" s="9"/>
      <c r="F46" s="9"/>
      <c r="G46" s="26"/>
      <c r="H46" s="9"/>
      <c r="J46" s="12"/>
      <c r="K46" s="24"/>
    </row>
    <row r="47" spans="1:11">
      <c r="E47" s="9"/>
      <c r="F47" s="9"/>
      <c r="G47" s="26"/>
      <c r="H47" s="9"/>
      <c r="K47" s="24"/>
    </row>
    <row r="48" spans="1:11">
      <c r="E48" s="9"/>
      <c r="F48" s="9"/>
      <c r="G48" s="26"/>
      <c r="H48" s="9"/>
      <c r="K48" s="24"/>
    </row>
    <row r="49" spans="5:12">
      <c r="E49" s="9"/>
      <c r="F49" s="9"/>
      <c r="G49" s="9"/>
      <c r="H49" s="9"/>
      <c r="K49" s="24"/>
    </row>
    <row r="50" spans="5:12">
      <c r="E50" s="9"/>
      <c r="F50" s="9"/>
      <c r="G50" s="9"/>
      <c r="H50" s="9"/>
      <c r="J50" s="26"/>
      <c r="K50" s="27"/>
      <c r="L50" s="26"/>
    </row>
    <row r="51" spans="5:12" ht="15">
      <c r="E51" s="9"/>
      <c r="F51" s="9"/>
      <c r="G51" s="9"/>
      <c r="H51" s="9"/>
      <c r="J51" s="12"/>
      <c r="K51" s="24"/>
      <c r="L51" s="9"/>
    </row>
    <row r="52" spans="5:12">
      <c r="E52" s="9"/>
      <c r="F52" s="25"/>
      <c r="G52" s="25"/>
      <c r="H52" s="9"/>
      <c r="J52" s="26"/>
      <c r="K52" s="27"/>
      <c r="L52" s="26"/>
    </row>
    <row r="53" spans="5:12">
      <c r="E53" s="9"/>
      <c r="F53" s="9"/>
      <c r="G53" s="25"/>
      <c r="H53" s="9"/>
      <c r="J53" s="9"/>
      <c r="K53" s="24"/>
    </row>
    <row r="54" spans="5:12">
      <c r="E54" s="9"/>
      <c r="F54" s="9"/>
      <c r="G54" s="9"/>
      <c r="H54" s="9"/>
      <c r="K54" s="24"/>
    </row>
    <row r="55" spans="5:12" ht="15">
      <c r="E55" s="9"/>
      <c r="F55" s="9"/>
      <c r="G55" s="9"/>
      <c r="H55" s="9"/>
      <c r="J55" s="12"/>
      <c r="K55" s="24"/>
    </row>
    <row r="56" spans="5:12">
      <c r="E56" s="9"/>
      <c r="F56" s="9"/>
      <c r="G56" s="9"/>
      <c r="H56" s="9"/>
      <c r="K56" s="24"/>
    </row>
    <row r="57" spans="5:12">
      <c r="E57" s="9"/>
      <c r="F57" s="9"/>
      <c r="G57" s="9"/>
      <c r="H57" s="9"/>
      <c r="K57" s="24"/>
    </row>
    <row r="58" spans="5:12" ht="15">
      <c r="E58" s="9"/>
      <c r="F58" s="9"/>
      <c r="G58" s="9"/>
      <c r="H58" s="9"/>
      <c r="J58" s="12"/>
      <c r="K58" s="24"/>
    </row>
    <row r="59" spans="5:12">
      <c r="E59" s="9"/>
      <c r="F59" s="9"/>
      <c r="G59" s="9"/>
      <c r="H59" s="9"/>
      <c r="K59" s="24"/>
    </row>
    <row r="60" spans="5:12">
      <c r="E60" s="9"/>
      <c r="F60" s="9"/>
      <c r="G60" s="9"/>
    </row>
    <row r="61" spans="5:12">
      <c r="E61" s="9"/>
      <c r="F61" s="9"/>
      <c r="G61" s="9"/>
    </row>
    <row r="62" spans="5:12">
      <c r="E62" s="9"/>
      <c r="F62" s="9"/>
      <c r="G62" s="9"/>
    </row>
    <row r="63" spans="5:12">
      <c r="E63" s="9"/>
      <c r="F63" s="9"/>
      <c r="G63" s="9"/>
    </row>
    <row r="64" spans="5:12">
      <c r="E64" s="9"/>
      <c r="F64" s="9"/>
      <c r="G64" s="9"/>
    </row>
    <row r="65" spans="5:7">
      <c r="E65" s="9"/>
      <c r="F65" s="9"/>
      <c r="G65" s="9"/>
    </row>
    <row r="66" spans="5:7">
      <c r="E66" s="9"/>
      <c r="F66" s="9"/>
      <c r="G66" s="9"/>
    </row>
    <row r="67" spans="5:7">
      <c r="E67" s="9"/>
      <c r="F67" s="9"/>
      <c r="G67" s="9"/>
    </row>
    <row r="68" spans="5:7">
      <c r="E68" s="9"/>
      <c r="F68" s="9"/>
      <c r="G68" s="9"/>
    </row>
    <row r="69" spans="5:7">
      <c r="E69" s="9"/>
      <c r="F69" s="9"/>
      <c r="G69" s="9"/>
    </row>
    <row r="70" spans="5:7">
      <c r="E70" s="9"/>
      <c r="F70" s="9"/>
      <c r="G70" s="9"/>
    </row>
    <row r="71" spans="5:7">
      <c r="E71" s="9"/>
      <c r="F71" s="9"/>
      <c r="G71" s="9"/>
    </row>
    <row r="72" spans="5:7">
      <c r="E72" s="9"/>
      <c r="F72" s="9"/>
      <c r="G72" s="9"/>
    </row>
    <row r="73" spans="5:7">
      <c r="E73" s="9"/>
      <c r="F73" s="9"/>
      <c r="G73" s="9"/>
    </row>
    <row r="74" spans="5:7">
      <c r="E74" s="9"/>
      <c r="F74" s="9"/>
      <c r="G74" s="9"/>
    </row>
    <row r="75" spans="5:7">
      <c r="E75" s="9"/>
      <c r="F75" s="9"/>
      <c r="G75" s="9"/>
    </row>
    <row r="76" spans="5:7">
      <c r="E76" s="9"/>
      <c r="F76" s="9"/>
      <c r="G76" s="9"/>
    </row>
    <row r="77" spans="5:7">
      <c r="E77" s="9"/>
      <c r="F77" s="9"/>
      <c r="G77" s="9"/>
    </row>
    <row r="78" spans="5:7">
      <c r="E78" s="9"/>
      <c r="F78" s="9"/>
      <c r="G78" s="9"/>
    </row>
    <row r="79" spans="5:7">
      <c r="E79" s="9"/>
      <c r="F79" s="9"/>
      <c r="G79" s="9"/>
    </row>
    <row r="80" spans="5:7">
      <c r="E80" s="9"/>
      <c r="F80" s="9"/>
      <c r="G80" s="9"/>
    </row>
    <row r="81" spans="5:7">
      <c r="E81" s="9"/>
      <c r="F81" s="9"/>
      <c r="G81" s="9"/>
    </row>
    <row r="82" spans="5:7">
      <c r="E82" s="9"/>
      <c r="F82" s="9"/>
      <c r="G82" s="9"/>
    </row>
    <row r="83" spans="5:7">
      <c r="E83" s="9"/>
      <c r="F83" s="9"/>
      <c r="G83" s="9"/>
    </row>
    <row r="84" spans="5:7">
      <c r="E84" s="9"/>
      <c r="F84" s="9"/>
      <c r="G84" s="9"/>
    </row>
    <row r="85" spans="5:7">
      <c r="E85" s="9"/>
      <c r="F85" s="9"/>
      <c r="G85" s="9"/>
    </row>
    <row r="86" spans="5:7">
      <c r="E86" s="9"/>
      <c r="F86" s="9"/>
      <c r="G86" s="9"/>
    </row>
    <row r="87" spans="5:7">
      <c r="E87" s="9"/>
      <c r="F87" s="9"/>
      <c r="G87" s="9"/>
    </row>
    <row r="88" spans="5:7">
      <c r="E88" s="9"/>
      <c r="F88" s="9"/>
      <c r="G88" s="9"/>
    </row>
    <row r="89" spans="5:7">
      <c r="E89" s="9"/>
      <c r="F89" s="9"/>
      <c r="G89" s="9"/>
    </row>
    <row r="90" spans="5:7">
      <c r="E90" s="9"/>
      <c r="F90" s="9"/>
      <c r="G90" s="9"/>
    </row>
    <row r="91" spans="5:7">
      <c r="E91" s="9"/>
      <c r="F91" s="9"/>
      <c r="G91" s="9"/>
    </row>
    <row r="92" spans="5:7">
      <c r="E92" s="9"/>
      <c r="F92" s="9"/>
      <c r="G92" s="9"/>
    </row>
    <row r="93" spans="5:7">
      <c r="E93" s="9"/>
      <c r="F93" s="9"/>
      <c r="G93" s="9"/>
    </row>
    <row r="94" spans="5:7">
      <c r="E94" s="9"/>
      <c r="F94" s="9"/>
      <c r="G94" s="9"/>
    </row>
    <row r="95" spans="5:7">
      <c r="E95" s="9"/>
      <c r="F95" s="9"/>
      <c r="G95" s="9"/>
    </row>
    <row r="96" spans="5:7">
      <c r="E96" s="9"/>
      <c r="F96" s="9"/>
      <c r="G96" s="9"/>
    </row>
    <row r="97" spans="5:7">
      <c r="E97" s="9"/>
      <c r="F97" s="9"/>
      <c r="G97" s="9"/>
    </row>
    <row r="98" spans="5:7">
      <c r="E98" s="9"/>
      <c r="F98" s="9"/>
      <c r="G98" s="9"/>
    </row>
    <row r="99" spans="5:7">
      <c r="E99" s="9"/>
      <c r="F99" s="9"/>
      <c r="G99" s="9"/>
    </row>
    <row r="100" spans="5:7">
      <c r="E100" s="9"/>
      <c r="F100" s="9"/>
      <c r="G100" s="9"/>
    </row>
  </sheetData>
  <mergeCells count="5">
    <mergeCell ref="E3:F3"/>
    <mergeCell ref="K3:L3"/>
    <mergeCell ref="M3:N3"/>
    <mergeCell ref="C3:D3"/>
    <mergeCell ref="C2:N2"/>
  </mergeCells>
  <phoneticPr fontId="0" type="noConversion"/>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U690"/>
  <sheetViews>
    <sheetView workbookViewId="0">
      <selection activeCell="G3" sqref="G3"/>
    </sheetView>
  </sheetViews>
  <sheetFormatPr baseColWidth="10" defaultColWidth="8.83203125" defaultRowHeight="13"/>
  <cols>
    <col min="3" max="3" width="10.6640625" bestFit="1" customWidth="1"/>
    <col min="15" max="15" width="12" bestFit="1" customWidth="1"/>
  </cols>
  <sheetData>
    <row r="1" spans="1:21" ht="18">
      <c r="A1" s="2" t="s">
        <v>1711</v>
      </c>
      <c r="J1" s="93"/>
      <c r="K1" s="93"/>
      <c r="L1" s="93"/>
      <c r="M1" s="93"/>
    </row>
    <row r="2" spans="1:21" s="2" customFormat="1" ht="55.5" customHeight="1">
      <c r="A2" s="2" t="s">
        <v>950</v>
      </c>
      <c r="C2" s="4" t="s">
        <v>1712</v>
      </c>
      <c r="E2" s="2" t="s">
        <v>1713</v>
      </c>
      <c r="F2" s="4" t="s">
        <v>1714</v>
      </c>
      <c r="G2" s="4" t="s">
        <v>1773</v>
      </c>
      <c r="P2" s="67"/>
      <c r="Q2" s="67"/>
      <c r="R2" s="67"/>
      <c r="S2" s="67"/>
    </row>
    <row r="3" spans="1:21">
      <c r="C3" s="2" t="s">
        <v>1715</v>
      </c>
      <c r="G3" s="9"/>
      <c r="K3" s="9"/>
      <c r="U3" s="9"/>
    </row>
    <row r="4" spans="1:21">
      <c r="A4" s="9" t="s">
        <v>1716</v>
      </c>
      <c r="C4">
        <v>85</v>
      </c>
      <c r="E4">
        <f>0.05*C4*24</f>
        <v>102</v>
      </c>
      <c r="F4">
        <f>C4*0.12*5</f>
        <v>51</v>
      </c>
      <c r="G4" s="28">
        <f t="shared" ref="G4:G14" si="0">E4*YLLvalue+F4*cancervalue</f>
        <v>9322800.0940030981</v>
      </c>
      <c r="K4" s="28"/>
      <c r="N4" s="2"/>
    </row>
    <row r="5" spans="1:21">
      <c r="A5" s="9" t="s">
        <v>1717</v>
      </c>
      <c r="C5">
        <v>1.1999999999999999E-3</v>
      </c>
      <c r="E5">
        <f t="shared" ref="E5:E14" si="1">0.05*C5*24</f>
        <v>1.4399999999999999E-3</v>
      </c>
      <c r="F5">
        <f t="shared" ref="F5:F14" si="2">C5*0.12*5</f>
        <v>7.1999999999999994E-4</v>
      </c>
      <c r="G5" s="28">
        <f t="shared" si="0"/>
        <v>131.61600132710254</v>
      </c>
      <c r="K5" s="28"/>
      <c r="N5" s="2"/>
    </row>
    <row r="6" spans="1:21">
      <c r="A6" s="9" t="s">
        <v>1718</v>
      </c>
      <c r="C6">
        <v>4</v>
      </c>
      <c r="E6">
        <f t="shared" si="1"/>
        <v>4.8000000000000007</v>
      </c>
      <c r="F6">
        <f t="shared" si="2"/>
        <v>2.4</v>
      </c>
      <c r="G6" s="28">
        <f t="shared" si="0"/>
        <v>438720.00442367524</v>
      </c>
      <c r="H6" s="1"/>
      <c r="K6" s="1"/>
    </row>
    <row r="7" spans="1:21">
      <c r="A7" s="9" t="s">
        <v>1719</v>
      </c>
      <c r="C7" s="1">
        <v>2E-3</v>
      </c>
      <c r="E7" s="1">
        <f>0.05*C7*24</f>
        <v>2.4000000000000002E-3</v>
      </c>
      <c r="F7">
        <f t="shared" si="2"/>
        <v>1.2000000000000001E-3</v>
      </c>
      <c r="G7" s="28">
        <f>E7*YLLvalue+F7*cancervalue</f>
        <v>219.36000221183761</v>
      </c>
      <c r="H7" s="44"/>
      <c r="K7" s="1"/>
    </row>
    <row r="8" spans="1:21">
      <c r="A8" s="9" t="s">
        <v>1720</v>
      </c>
      <c r="C8">
        <v>1</v>
      </c>
      <c r="E8">
        <f t="shared" si="1"/>
        <v>1.2000000000000002</v>
      </c>
      <c r="F8">
        <f t="shared" si="2"/>
        <v>0.6</v>
      </c>
      <c r="G8" s="28">
        <f t="shared" si="0"/>
        <v>109680.00110591881</v>
      </c>
      <c r="I8" s="9"/>
      <c r="K8" s="1"/>
    </row>
    <row r="9" spans="1:21">
      <c r="A9" s="9" t="s">
        <v>1721</v>
      </c>
      <c r="C9">
        <v>1</v>
      </c>
      <c r="E9">
        <f t="shared" si="1"/>
        <v>1.2000000000000002</v>
      </c>
      <c r="F9">
        <f t="shared" si="2"/>
        <v>0.6</v>
      </c>
      <c r="G9" s="28">
        <f t="shared" si="0"/>
        <v>109680.00110591881</v>
      </c>
      <c r="K9" s="1"/>
    </row>
    <row r="10" spans="1:21">
      <c r="A10" s="9" t="s">
        <v>1722</v>
      </c>
      <c r="C10">
        <v>0.6</v>
      </c>
      <c r="E10">
        <f t="shared" si="1"/>
        <v>0.72</v>
      </c>
      <c r="F10">
        <f t="shared" si="2"/>
        <v>0.36</v>
      </c>
      <c r="G10" s="28">
        <f t="shared" si="0"/>
        <v>65808.000663551284</v>
      </c>
      <c r="K10" s="1"/>
    </row>
    <row r="11" spans="1:21">
      <c r="A11" s="9" t="s">
        <v>1723</v>
      </c>
      <c r="C11">
        <v>1.4999999999999999E-2</v>
      </c>
      <c r="E11">
        <f t="shared" si="1"/>
        <v>1.8000000000000002E-2</v>
      </c>
      <c r="F11">
        <f t="shared" si="2"/>
        <v>8.9999999999999993E-3</v>
      </c>
      <c r="G11" s="28">
        <f t="shared" si="0"/>
        <v>1645.2000165887823</v>
      </c>
      <c r="K11" s="1"/>
    </row>
    <row r="12" spans="1:21">
      <c r="A12" s="9" t="s">
        <v>1724</v>
      </c>
      <c r="C12">
        <v>30</v>
      </c>
      <c r="E12">
        <f t="shared" si="1"/>
        <v>36</v>
      </c>
      <c r="F12">
        <f t="shared" si="2"/>
        <v>18</v>
      </c>
      <c r="G12" s="28">
        <f t="shared" si="0"/>
        <v>3290400.0331775639</v>
      </c>
      <c r="K12" s="1"/>
    </row>
    <row r="13" spans="1:21">
      <c r="A13" s="9" t="s">
        <v>1725</v>
      </c>
      <c r="C13">
        <v>8</v>
      </c>
      <c r="E13">
        <f t="shared" si="1"/>
        <v>9.6000000000000014</v>
      </c>
      <c r="F13">
        <f t="shared" si="2"/>
        <v>4.8</v>
      </c>
      <c r="G13" s="28">
        <f t="shared" si="0"/>
        <v>877440.00884735049</v>
      </c>
      <c r="K13" s="1"/>
    </row>
    <row r="14" spans="1:21">
      <c r="A14" s="9" t="s">
        <v>1726</v>
      </c>
      <c r="C14">
        <v>7</v>
      </c>
      <c r="E14">
        <f t="shared" si="1"/>
        <v>8.4</v>
      </c>
      <c r="F14">
        <f t="shared" si="2"/>
        <v>4.2</v>
      </c>
      <c r="G14" s="28">
        <f t="shared" si="0"/>
        <v>767760.00774143159</v>
      </c>
      <c r="K14" s="1"/>
    </row>
    <row r="16" spans="1:21">
      <c r="A16" s="2" t="s">
        <v>1727</v>
      </c>
    </row>
    <row r="17" spans="1:4">
      <c r="A17" s="9" t="s">
        <v>1720</v>
      </c>
      <c r="D17" s="9" t="s">
        <v>1728</v>
      </c>
    </row>
    <row r="18" spans="1:4">
      <c r="A18" s="9" t="s">
        <v>1721</v>
      </c>
      <c r="D18" s="9" t="s">
        <v>1728</v>
      </c>
    </row>
    <row r="19" spans="1:4">
      <c r="A19" s="9" t="s">
        <v>1722</v>
      </c>
      <c r="D19" s="9" t="s">
        <v>1728</v>
      </c>
    </row>
    <row r="20" spans="1:4">
      <c r="A20" s="9" t="s">
        <v>1724</v>
      </c>
      <c r="D20" s="9" t="s">
        <v>1728</v>
      </c>
    </row>
    <row r="21" spans="1:4">
      <c r="A21" s="9" t="s">
        <v>1725</v>
      </c>
      <c r="D21" s="9" t="s">
        <v>1728</v>
      </c>
    </row>
    <row r="22" spans="1:4">
      <c r="A22" s="9" t="s">
        <v>1729</v>
      </c>
      <c r="D22" s="9" t="s">
        <v>1728</v>
      </c>
    </row>
    <row r="23" spans="1:4">
      <c r="A23" s="9" t="s">
        <v>1726</v>
      </c>
      <c r="D23" s="9" t="s">
        <v>1728</v>
      </c>
    </row>
    <row r="690" spans="1:2">
      <c r="A690" t="s">
        <v>1442</v>
      </c>
      <c r="B690">
        <v>54.8</v>
      </c>
    </row>
  </sheetData>
  <mergeCells count="1">
    <mergeCell ref="J1:M1"/>
  </mergeCells>
  <pageMargins left="0.7" right="0.7" top="0.75" bottom="0.75" header="0.3" footer="0.3"/>
  <pageSetup paperSize="0" orientation="portrait"/>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C1:O8"/>
  <sheetViews>
    <sheetView workbookViewId="0"/>
  </sheetViews>
  <sheetFormatPr baseColWidth="10" defaultColWidth="8.83203125" defaultRowHeight="13"/>
  <cols>
    <col min="6" max="6" width="12.5" bestFit="1" customWidth="1"/>
    <col min="7" max="7" width="10.5" bestFit="1" customWidth="1"/>
    <col min="8" max="8" width="12.5" bestFit="1" customWidth="1"/>
    <col min="9" max="9" width="10.5" bestFit="1" customWidth="1"/>
    <col min="10" max="10" width="12" bestFit="1" customWidth="1"/>
    <col min="11" max="11" width="11" bestFit="1" customWidth="1"/>
  </cols>
  <sheetData>
    <row r="1" spans="3:15" ht="16">
      <c r="C1" s="11" t="s">
        <v>1730</v>
      </c>
    </row>
    <row r="2" spans="3:15" ht="16">
      <c r="C2" s="11" t="s">
        <v>1731</v>
      </c>
    </row>
    <row r="4" spans="3:15" s="2" customFormat="1">
      <c r="F4" s="90" t="s">
        <v>146</v>
      </c>
      <c r="G4" s="90"/>
      <c r="H4" s="91" t="s">
        <v>1732</v>
      </c>
      <c r="I4" s="91"/>
      <c r="J4" s="2" t="s">
        <v>1772</v>
      </c>
    </row>
    <row r="5" spans="3:15" s="2" customFormat="1">
      <c r="E5" s="4"/>
      <c r="F5" s="91" t="s">
        <v>139</v>
      </c>
      <c r="G5" s="91"/>
      <c r="H5" s="91" t="s">
        <v>11</v>
      </c>
      <c r="I5" s="91"/>
      <c r="J5" s="2" t="s">
        <v>1774</v>
      </c>
    </row>
    <row r="6" spans="3:15" s="2" customFormat="1">
      <c r="E6" s="2" t="s">
        <v>1733</v>
      </c>
      <c r="F6" s="2" t="s">
        <v>1734</v>
      </c>
      <c r="G6" s="2" t="s">
        <v>9</v>
      </c>
      <c r="H6" s="2" t="s">
        <v>1734</v>
      </c>
      <c r="I6" s="2" t="s">
        <v>9</v>
      </c>
    </row>
    <row r="7" spans="3:15">
      <c r="C7" s="9" t="s">
        <v>1735</v>
      </c>
      <c r="E7" s="9" t="s">
        <v>1736</v>
      </c>
      <c r="F7">
        <f>4/(3600*24*365)</f>
        <v>1.2683916793505834E-7</v>
      </c>
      <c r="G7">
        <v>1.5</v>
      </c>
      <c r="J7" s="19">
        <f>F7*working_capacity</f>
        <v>5.7965499746321666E-6</v>
      </c>
      <c r="N7" s="16"/>
      <c r="O7" s="9"/>
    </row>
    <row r="8" spans="3:15">
      <c r="C8" s="9" t="s">
        <v>1737</v>
      </c>
      <c r="E8" s="9" t="s">
        <v>11</v>
      </c>
      <c r="H8" s="9"/>
      <c r="J8" s="70">
        <f>F8*working_capacity+0.8</f>
        <v>0.8</v>
      </c>
      <c r="K8" s="1"/>
    </row>
  </sheetData>
  <sheetProtection algorithmName="SHA-512" hashValue="45Jbq1mjfkRTLuIIQ3GmgXSyfRRYvPYEHoNsvH5DZpqtlOMCmctXK23K6T+2/C+41XSav/C8GB5o9plBO5osEQ==" saltValue="U36HwdwgR30s4ss9y92XHQ==" spinCount="100000" sheet="1" objects="1" scenarios="1"/>
  <mergeCells count="4">
    <mergeCell ref="F4:G4"/>
    <mergeCell ref="H4:I4"/>
    <mergeCell ref="F5:G5"/>
    <mergeCell ref="H5:I5"/>
  </mergeCells>
  <pageMargins left="0.7" right="0.7" top="0.75" bottom="0.75" header="0.3" footer="0.3"/>
  <pageSetup paperSize="0" orientation="portrait"/>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R39"/>
  <sheetViews>
    <sheetView workbookViewId="0">
      <pane xSplit="1" ySplit="1" topLeftCell="B2" activePane="bottomRight" state="frozenSplit"/>
      <selection pane="topRight" activeCell="L190" sqref="L190"/>
      <selection pane="bottomLeft" activeCell="L190" sqref="L190"/>
      <selection pane="bottomRight" activeCell="A2" sqref="A2"/>
    </sheetView>
  </sheetViews>
  <sheetFormatPr baseColWidth="10" defaultColWidth="9.1640625" defaultRowHeight="13"/>
  <cols>
    <col min="1" max="1" width="16.1640625" style="17" bestFit="1" customWidth="1"/>
    <col min="2" max="2" width="4.83203125" style="17" bestFit="1" customWidth="1"/>
    <col min="3" max="3" width="21.1640625" style="17" bestFit="1" customWidth="1"/>
    <col min="4" max="4" width="10.5" style="17" customWidth="1"/>
    <col min="5" max="5" width="12.5" style="17" customWidth="1"/>
    <col min="6" max="6" width="15.83203125" style="17" customWidth="1"/>
    <col min="7" max="7" width="12.5" style="17" customWidth="1"/>
    <col min="8" max="8" width="11" style="17" customWidth="1"/>
    <col min="9" max="9" width="12" style="17" customWidth="1"/>
    <col min="10" max="10" width="12.5" style="17" customWidth="1"/>
    <col min="11" max="11" width="14.5" style="17" customWidth="1"/>
    <col min="12" max="12" width="11.33203125" style="17" customWidth="1"/>
    <col min="13" max="13" width="11.6640625" style="17" customWidth="1"/>
    <col min="14" max="16384" width="9.1640625" style="17"/>
  </cols>
  <sheetData>
    <row r="1" spans="1:18" s="60" customFormat="1" ht="58">
      <c r="A1" s="59" t="s">
        <v>250</v>
      </c>
      <c r="B1" s="59" t="s">
        <v>158</v>
      </c>
      <c r="C1" s="60" t="s">
        <v>1738</v>
      </c>
      <c r="D1" s="60" t="s">
        <v>1739</v>
      </c>
      <c r="E1" s="60" t="s">
        <v>252</v>
      </c>
      <c r="F1" s="60" t="s">
        <v>161</v>
      </c>
      <c r="G1" s="59" t="s">
        <v>1740</v>
      </c>
      <c r="H1" s="59" t="s">
        <v>1741</v>
      </c>
      <c r="I1" s="59" t="s">
        <v>1742</v>
      </c>
      <c r="J1" s="59" t="s">
        <v>255</v>
      </c>
      <c r="K1" s="59" t="s">
        <v>256</v>
      </c>
      <c r="L1" s="59" t="s">
        <v>1743</v>
      </c>
      <c r="M1" s="59" t="s">
        <v>1771</v>
      </c>
    </row>
    <row r="3" spans="1:18">
      <c r="A3" s="17" t="s">
        <v>17</v>
      </c>
      <c r="B3" s="17" t="s">
        <v>11</v>
      </c>
      <c r="C3" s="51" t="s">
        <v>274</v>
      </c>
      <c r="D3" s="51" t="s">
        <v>1744</v>
      </c>
      <c r="E3" s="51" t="s">
        <v>11</v>
      </c>
      <c r="F3" s="51" t="s">
        <v>1745</v>
      </c>
      <c r="G3" s="18">
        <v>534000000</v>
      </c>
      <c r="H3" s="17">
        <v>2</v>
      </c>
      <c r="I3" s="18">
        <f>0.00000000000024</f>
        <v>2.3999999999999999E-13</v>
      </c>
      <c r="J3" s="17">
        <v>3</v>
      </c>
      <c r="K3" s="7">
        <f>G3*I3</f>
        <v>1.2815999999999999E-4</v>
      </c>
      <c r="M3" s="7">
        <f>K3*fishvalue</f>
        <v>3.8704319999999996E-4</v>
      </c>
    </row>
    <row r="4" spans="1:18">
      <c r="A4" s="17" t="s">
        <v>17</v>
      </c>
      <c r="B4" s="17" t="s">
        <v>11</v>
      </c>
      <c r="C4" s="51" t="s">
        <v>1746</v>
      </c>
      <c r="D4" s="51" t="s">
        <v>278</v>
      </c>
      <c r="E4" s="51" t="s">
        <v>1747</v>
      </c>
      <c r="F4" s="51" t="s">
        <v>1748</v>
      </c>
      <c r="G4" s="17">
        <v>7.0000000000000001E-3</v>
      </c>
      <c r="H4" s="17">
        <v>3</v>
      </c>
      <c r="I4" s="18">
        <f>0.00000000000024</f>
        <v>2.3999999999999999E-13</v>
      </c>
      <c r="J4" s="17">
        <v>3</v>
      </c>
      <c r="K4" s="7">
        <f>G4*I4</f>
        <v>1.6799999999999999E-15</v>
      </c>
      <c r="M4" s="7">
        <f>K4*speciesvalue</f>
        <v>1.4532E-4</v>
      </c>
    </row>
    <row r="5" spans="1:18">
      <c r="A5" s="17" t="s">
        <v>17</v>
      </c>
      <c r="B5" s="17" t="s">
        <v>11</v>
      </c>
      <c r="C5" s="17" t="s">
        <v>279</v>
      </c>
      <c r="E5" s="51"/>
      <c r="F5" s="17" t="s">
        <v>279</v>
      </c>
      <c r="M5" s="88">
        <f>M3+M4</f>
        <v>5.3236319999999996E-4</v>
      </c>
    </row>
    <row r="6" spans="1:18">
      <c r="E6" s="51"/>
      <c r="M6" s="88"/>
    </row>
    <row r="7" spans="1:18">
      <c r="A7" s="51" t="s">
        <v>1749</v>
      </c>
      <c r="B7" s="17" t="s">
        <v>11</v>
      </c>
      <c r="C7" s="51" t="s">
        <v>274</v>
      </c>
      <c r="D7" s="51" t="s">
        <v>1744</v>
      </c>
      <c r="E7" s="51" t="s">
        <v>11</v>
      </c>
      <c r="F7" s="51" t="s">
        <v>1745</v>
      </c>
      <c r="G7" s="1">
        <v>245000000</v>
      </c>
      <c r="H7" s="17">
        <v>2</v>
      </c>
      <c r="I7" s="18">
        <v>1.37E-12</v>
      </c>
      <c r="J7" s="17">
        <v>3</v>
      </c>
      <c r="K7" s="7">
        <f>G7*I7</f>
        <v>3.3565E-4</v>
      </c>
      <c r="M7" s="7">
        <f>K7*fishvalue</f>
        <v>1.0136629999999999E-3</v>
      </c>
    </row>
    <row r="8" spans="1:18">
      <c r="A8" s="51" t="s">
        <v>1749</v>
      </c>
      <c r="B8" s="17" t="s">
        <v>11</v>
      </c>
      <c r="C8" s="51" t="s">
        <v>1746</v>
      </c>
      <c r="D8" s="51" t="s">
        <v>278</v>
      </c>
      <c r="E8" s="51" t="s">
        <v>1747</v>
      </c>
      <c r="F8" s="51" t="s">
        <v>1748</v>
      </c>
      <c r="G8" s="21">
        <f>G4</f>
        <v>7.0000000000000001E-3</v>
      </c>
      <c r="H8" s="17">
        <v>3</v>
      </c>
      <c r="I8" s="18">
        <v>1.37E-12</v>
      </c>
      <c r="J8" s="17">
        <v>3</v>
      </c>
      <c r="K8" s="7">
        <f>G8*I8</f>
        <v>9.59E-15</v>
      </c>
      <c r="M8" s="7">
        <f>K8*speciesvalue</f>
        <v>8.2953499999999995E-4</v>
      </c>
      <c r="R8"/>
    </row>
    <row r="9" spans="1:18">
      <c r="A9" s="51" t="s">
        <v>1749</v>
      </c>
      <c r="B9" s="17" t="s">
        <v>11</v>
      </c>
      <c r="C9" s="17" t="s">
        <v>279</v>
      </c>
      <c r="E9" s="51"/>
      <c r="F9" s="17" t="s">
        <v>279</v>
      </c>
      <c r="M9" s="88">
        <f>M7+M8</f>
        <v>1.8431979999999999E-3</v>
      </c>
    </row>
    <row r="10" spans="1:18">
      <c r="E10" s="51"/>
      <c r="F10" s="51"/>
      <c r="G10" s="18"/>
    </row>
    <row r="11" spans="1:18">
      <c r="A11" s="17" t="s">
        <v>20</v>
      </c>
      <c r="B11" s="17" t="s">
        <v>1750</v>
      </c>
      <c r="C11" s="51" t="s">
        <v>274</v>
      </c>
      <c r="D11" s="51" t="s">
        <v>1744</v>
      </c>
      <c r="E11" s="51" t="s">
        <v>11</v>
      </c>
      <c r="F11" s="17" t="s">
        <v>1745</v>
      </c>
      <c r="G11" s="7">
        <f>G3</f>
        <v>534000000</v>
      </c>
      <c r="H11" s="17">
        <v>2</v>
      </c>
      <c r="I11" s="18">
        <v>8.4099999999999999E-12</v>
      </c>
      <c r="J11" s="17">
        <v>2</v>
      </c>
      <c r="K11" s="7">
        <f>G11*I11</f>
        <v>4.4909399999999997E-3</v>
      </c>
      <c r="M11" s="7">
        <f>K11*fishvalue</f>
        <v>1.3562638799999999E-2</v>
      </c>
    </row>
    <row r="12" spans="1:18">
      <c r="A12" s="17" t="s">
        <v>20</v>
      </c>
      <c r="B12" s="17" t="s">
        <v>1750</v>
      </c>
      <c r="C12" s="51" t="s">
        <v>274</v>
      </c>
      <c r="D12" s="51" t="s">
        <v>1744</v>
      </c>
      <c r="E12" s="51" t="s">
        <v>11</v>
      </c>
      <c r="F12" s="17" t="s">
        <v>1751</v>
      </c>
      <c r="G12" s="1">
        <v>-37</v>
      </c>
      <c r="H12">
        <v>1.1000000000000001</v>
      </c>
      <c r="I12" s="1">
        <f>0.07</f>
        <v>7.0000000000000007E-2</v>
      </c>
      <c r="J12" s="17">
        <v>2</v>
      </c>
      <c r="K12" s="7">
        <f>G12*I12</f>
        <v>-2.5900000000000003</v>
      </c>
      <c r="M12" s="7">
        <f>K12*fishvalue</f>
        <v>-7.8218000000000005</v>
      </c>
    </row>
    <row r="13" spans="1:18">
      <c r="A13" s="17" t="s">
        <v>20</v>
      </c>
      <c r="B13" s="17" t="s">
        <v>1750</v>
      </c>
      <c r="C13" s="51" t="s">
        <v>1746</v>
      </c>
      <c r="D13" s="51" t="s">
        <v>278</v>
      </c>
      <c r="E13" s="51" t="s">
        <v>1747</v>
      </c>
      <c r="F13" s="51" t="s">
        <v>1748</v>
      </c>
      <c r="G13" s="21">
        <f>G4</f>
        <v>7.0000000000000001E-3</v>
      </c>
      <c r="H13" s="17">
        <v>3</v>
      </c>
      <c r="I13" s="7">
        <f>I11</f>
        <v>8.4099999999999999E-12</v>
      </c>
      <c r="J13" s="17">
        <v>2</v>
      </c>
      <c r="K13" s="7">
        <f>G13*I13</f>
        <v>5.8870000000000006E-14</v>
      </c>
      <c r="M13" s="7">
        <f>K13*speciesvalue</f>
        <v>5.0922550000000004E-3</v>
      </c>
    </row>
    <row r="14" spans="1:18">
      <c r="A14" s="17" t="s">
        <v>20</v>
      </c>
      <c r="B14" s="17" t="s">
        <v>1750</v>
      </c>
      <c r="C14" s="17" t="s">
        <v>279</v>
      </c>
      <c r="F14" s="17" t="s">
        <v>279</v>
      </c>
      <c r="M14" s="88">
        <f>M11+M12+M13</f>
        <v>-7.8031451062000006</v>
      </c>
    </row>
    <row r="16" spans="1:18">
      <c r="A16" s="17" t="s">
        <v>21</v>
      </c>
      <c r="B16" s="17" t="s">
        <v>1750</v>
      </c>
      <c r="C16" s="51" t="s">
        <v>274</v>
      </c>
      <c r="D16" s="51" t="s">
        <v>1744</v>
      </c>
      <c r="E16" s="51" t="s">
        <v>11</v>
      </c>
      <c r="F16" s="17" t="s">
        <v>1745</v>
      </c>
      <c r="G16" s="7">
        <f>G7</f>
        <v>245000000</v>
      </c>
      <c r="H16" s="21">
        <v>3</v>
      </c>
      <c r="I16" s="18">
        <f xml:space="preserve"> 1/(47800000000+830000000)</f>
        <v>2.0563438206868189E-11</v>
      </c>
      <c r="J16" s="17">
        <v>2</v>
      </c>
      <c r="K16" s="7">
        <f>G16*I16</f>
        <v>5.0380423606827063E-3</v>
      </c>
      <c r="M16" s="7">
        <f>K16*fishvalue</f>
        <v>1.5214887929261773E-2</v>
      </c>
    </row>
    <row r="17" spans="1:13">
      <c r="A17" s="17" t="s">
        <v>21</v>
      </c>
      <c r="B17" s="17" t="s">
        <v>1750</v>
      </c>
      <c r="C17" s="51" t="s">
        <v>274</v>
      </c>
      <c r="D17" s="51" t="s">
        <v>1744</v>
      </c>
      <c r="E17" s="51" t="s">
        <v>11</v>
      </c>
      <c r="F17" s="17" t="s">
        <v>1751</v>
      </c>
      <c r="G17" s="7">
        <f>G12</f>
        <v>-37</v>
      </c>
      <c r="H17" s="21">
        <f>H12</f>
        <v>1.1000000000000001</v>
      </c>
      <c r="I17" s="1">
        <v>0.2</v>
      </c>
      <c r="J17" s="17">
        <v>2</v>
      </c>
      <c r="K17" s="7">
        <f>G17*I17</f>
        <v>-7.4</v>
      </c>
      <c r="M17" s="7">
        <f>K17*fishvalue</f>
        <v>-22.348000000000003</v>
      </c>
    </row>
    <row r="18" spans="1:13">
      <c r="A18" s="17" t="s">
        <v>21</v>
      </c>
      <c r="B18" s="17" t="s">
        <v>1750</v>
      </c>
      <c r="C18" s="51" t="s">
        <v>1746</v>
      </c>
      <c r="D18" s="51" t="s">
        <v>278</v>
      </c>
      <c r="E18" s="51" t="s">
        <v>1747</v>
      </c>
      <c r="F18" s="51" t="s">
        <v>1748</v>
      </c>
      <c r="G18" s="21">
        <f>G4</f>
        <v>7.0000000000000001E-3</v>
      </c>
      <c r="H18" s="17">
        <v>3</v>
      </c>
      <c r="I18" s="7">
        <f>I16</f>
        <v>2.0563438206868189E-11</v>
      </c>
      <c r="J18" s="17">
        <v>2</v>
      </c>
      <c r="K18" s="7">
        <f>G18*I18</f>
        <v>1.4394406744807733E-13</v>
      </c>
      <c r="M18" s="7">
        <f>K18*speciesvalue</f>
        <v>1.2451161834258689E-2</v>
      </c>
    </row>
    <row r="19" spans="1:13">
      <c r="A19" s="17" t="s">
        <v>21</v>
      </c>
      <c r="B19" s="17" t="s">
        <v>1750</v>
      </c>
      <c r="C19" s="17" t="s">
        <v>279</v>
      </c>
      <c r="F19" s="17" t="s">
        <v>279</v>
      </c>
      <c r="M19" s="88">
        <f>M16+M17+M18</f>
        <v>-22.320333950236481</v>
      </c>
    </row>
    <row r="20" spans="1:13">
      <c r="L20" s="20"/>
    </row>
    <row r="21" spans="1:13">
      <c r="A21" s="17" t="s">
        <v>22</v>
      </c>
      <c r="B21" s="17" t="s">
        <v>1752</v>
      </c>
      <c r="C21" s="51" t="s">
        <v>274</v>
      </c>
      <c r="D21" s="51" t="s">
        <v>1744</v>
      </c>
      <c r="E21" s="51" t="s">
        <v>11</v>
      </c>
      <c r="F21" s="51" t="s">
        <v>1745</v>
      </c>
      <c r="G21" s="7">
        <f>G3</f>
        <v>534000000</v>
      </c>
      <c r="H21" s="17">
        <v>2</v>
      </c>
      <c r="I21" s="18">
        <v>2.6200000000000001E-11</v>
      </c>
      <c r="J21" s="17">
        <v>2</v>
      </c>
      <c r="K21" s="7">
        <f>G21*I21</f>
        <v>1.3990800000000001E-2</v>
      </c>
      <c r="M21" s="7">
        <f>K21*fishvalue</f>
        <v>4.2252216000000002E-2</v>
      </c>
    </row>
    <row r="22" spans="1:13">
      <c r="A22" s="17" t="s">
        <v>22</v>
      </c>
      <c r="B22" s="17" t="s">
        <v>1752</v>
      </c>
      <c r="C22" s="51" t="s">
        <v>274</v>
      </c>
      <c r="D22" s="51" t="s">
        <v>1744</v>
      </c>
      <c r="E22" s="51" t="s">
        <v>11</v>
      </c>
      <c r="F22" s="17" t="s">
        <v>1751</v>
      </c>
      <c r="G22" s="1">
        <v>-1</v>
      </c>
      <c r="H22" s="17">
        <v>2</v>
      </c>
      <c r="I22" s="18">
        <v>1</v>
      </c>
      <c r="J22" s="17">
        <v>2</v>
      </c>
      <c r="K22" s="7">
        <f>G22*I22</f>
        <v>-1</v>
      </c>
      <c r="M22" s="7">
        <f>K22*fishvalue</f>
        <v>-3.02</v>
      </c>
    </row>
    <row r="23" spans="1:13">
      <c r="A23" s="17" t="s">
        <v>22</v>
      </c>
      <c r="B23" s="17" t="s">
        <v>1752</v>
      </c>
      <c r="C23" s="51" t="s">
        <v>1746</v>
      </c>
      <c r="D23" s="51" t="s">
        <v>278</v>
      </c>
      <c r="E23" s="51" t="s">
        <v>1747</v>
      </c>
      <c r="F23" s="51" t="s">
        <v>1748</v>
      </c>
      <c r="G23" s="21">
        <f>G4</f>
        <v>7.0000000000000001E-3</v>
      </c>
      <c r="H23" s="17">
        <v>3</v>
      </c>
      <c r="I23" s="18">
        <v>2.6200000000000001E-11</v>
      </c>
      <c r="J23" s="17">
        <v>2</v>
      </c>
      <c r="K23" s="7">
        <f>G23*I23</f>
        <v>1.8340000000000001E-13</v>
      </c>
      <c r="M23" s="7">
        <f>K23*speciesvalue</f>
        <v>1.5864099999999999E-2</v>
      </c>
    </row>
    <row r="24" spans="1:13">
      <c r="A24" s="17" t="s">
        <v>22</v>
      </c>
      <c r="B24" s="17" t="s">
        <v>1752</v>
      </c>
      <c r="C24" s="17" t="s">
        <v>279</v>
      </c>
      <c r="F24" s="17" t="s">
        <v>279</v>
      </c>
      <c r="M24" s="7">
        <f>M21+M22+M23</f>
        <v>-2.961883684</v>
      </c>
    </row>
    <row r="25" spans="1:13">
      <c r="M25"/>
    </row>
    <row r="26" spans="1:13">
      <c r="A26" s="17" t="s">
        <v>13</v>
      </c>
      <c r="B26" s="17" t="s">
        <v>11</v>
      </c>
      <c r="C26" s="51" t="s">
        <v>1753</v>
      </c>
      <c r="D26" s="17" t="s">
        <v>257</v>
      </c>
      <c r="E26" s="51" t="s">
        <v>139</v>
      </c>
      <c r="F26" s="51" t="s">
        <v>1754</v>
      </c>
      <c r="G26" s="1">
        <v>2.9032258064516134E-9</v>
      </c>
      <c r="H26" s="17">
        <v>4</v>
      </c>
      <c r="I26" s="17">
        <v>1</v>
      </c>
      <c r="J26" s="17">
        <v>1.1000000000000001</v>
      </c>
      <c r="K26" s="7">
        <f>G26*I26</f>
        <v>2.9032258064516134E-9</v>
      </c>
      <c r="M26" s="7">
        <f>K26*YLLvalue</f>
        <v>2.6535483870967748E-4</v>
      </c>
    </row>
    <row r="27" spans="1:13">
      <c r="A27" s="17" t="s">
        <v>13</v>
      </c>
      <c r="B27" s="17" t="s">
        <v>11</v>
      </c>
      <c r="C27" s="51" t="s">
        <v>1753</v>
      </c>
      <c r="D27" s="17" t="s">
        <v>257</v>
      </c>
      <c r="E27" s="51" t="s">
        <v>139</v>
      </c>
      <c r="F27" s="51" t="s">
        <v>1755</v>
      </c>
      <c r="G27" s="1">
        <v>7.4999999999999997E-2</v>
      </c>
      <c r="H27" s="17">
        <v>5</v>
      </c>
      <c r="I27" s="17">
        <v>1</v>
      </c>
      <c r="J27" s="17">
        <v>1.1000000000000001</v>
      </c>
      <c r="K27" s="7">
        <f>G27*I27</f>
        <v>7.4999999999999997E-2</v>
      </c>
      <c r="M27" s="7">
        <f>K27*YLLvalue</f>
        <v>6855</v>
      </c>
    </row>
    <row r="28" spans="1:13">
      <c r="A28" s="17" t="s">
        <v>13</v>
      </c>
      <c r="B28" s="17" t="s">
        <v>11</v>
      </c>
      <c r="C28" s="51" t="s">
        <v>1753</v>
      </c>
      <c r="D28" s="17" t="s">
        <v>257</v>
      </c>
      <c r="E28" s="51" t="s">
        <v>139</v>
      </c>
      <c r="F28" s="51" t="s">
        <v>1756</v>
      </c>
      <c r="G28" s="28">
        <v>4.2800000000000002E-7</v>
      </c>
      <c r="H28" s="17">
        <v>4</v>
      </c>
      <c r="I28" s="17">
        <v>1</v>
      </c>
      <c r="J28" s="17">
        <v>1.1000000000000001</v>
      </c>
      <c r="K28" s="7">
        <f>G28*I28</f>
        <v>4.2800000000000002E-7</v>
      </c>
      <c r="M28" s="7">
        <f>K28*YLLvalue</f>
        <v>3.91192E-2</v>
      </c>
    </row>
    <row r="29" spans="1:13">
      <c r="A29" s="17" t="s">
        <v>13</v>
      </c>
      <c r="B29" s="17" t="s">
        <v>11</v>
      </c>
      <c r="C29" s="51" t="s">
        <v>279</v>
      </c>
      <c r="D29" s="51"/>
      <c r="M29" s="7">
        <f>SUM(M26:M28)</f>
        <v>6855.0393845548388</v>
      </c>
    </row>
    <row r="31" spans="1:13">
      <c r="A31" s="17" t="s">
        <v>16</v>
      </c>
      <c r="B31" s="17" t="s">
        <v>11</v>
      </c>
      <c r="C31" s="51" t="s">
        <v>155</v>
      </c>
      <c r="D31" s="51" t="s">
        <v>1757</v>
      </c>
      <c r="E31" s="51" t="s">
        <v>139</v>
      </c>
      <c r="F31" s="51" t="s">
        <v>1758</v>
      </c>
      <c r="G31" s="1">
        <f>0.008*0.00875</f>
        <v>7.0000000000000007E-5</v>
      </c>
      <c r="H31" s="17">
        <v>4</v>
      </c>
      <c r="I31" s="17">
        <v>1</v>
      </c>
      <c r="J31" s="17">
        <v>1.1000000000000001</v>
      </c>
      <c r="K31" s="7">
        <f>G31*I31</f>
        <v>7.0000000000000007E-5</v>
      </c>
      <c r="M31" s="7">
        <f>K31*osteoporosisvalue</f>
        <v>8.1894400000000012</v>
      </c>
    </row>
    <row r="32" spans="1:13">
      <c r="A32" s="17" t="s">
        <v>16</v>
      </c>
      <c r="B32" s="17" t="s">
        <v>11</v>
      </c>
      <c r="C32" s="51" t="s">
        <v>157</v>
      </c>
      <c r="D32" s="51" t="s">
        <v>1757</v>
      </c>
      <c r="E32" s="51" t="s">
        <v>1759</v>
      </c>
      <c r="F32" s="51" t="s">
        <v>1758</v>
      </c>
      <c r="G32" s="1">
        <f>0.0004*0.00875</f>
        <v>3.5000000000000004E-6</v>
      </c>
      <c r="H32" s="17">
        <v>4</v>
      </c>
      <c r="I32" s="17">
        <v>1</v>
      </c>
      <c r="J32" s="17">
        <v>1.1000000000000001</v>
      </c>
      <c r="K32" s="7">
        <f>G32*I32</f>
        <v>3.5000000000000004E-6</v>
      </c>
      <c r="M32" s="7">
        <f>K32*renaldysfunctionvalue</f>
        <v>0.20473600000000003</v>
      </c>
    </row>
    <row r="33" spans="1:13">
      <c r="A33" s="17" t="s">
        <v>16</v>
      </c>
      <c r="B33" s="17" t="s">
        <v>11</v>
      </c>
      <c r="C33" s="51" t="s">
        <v>279</v>
      </c>
      <c r="D33" s="51"/>
      <c r="M33" s="7">
        <f>SUM(M31:M32)</f>
        <v>8.3941760000000016</v>
      </c>
    </row>
    <row r="35" spans="1:13">
      <c r="A35" s="17" t="s">
        <v>19</v>
      </c>
      <c r="B35" s="17" t="s">
        <v>11</v>
      </c>
      <c r="C35" s="51" t="s">
        <v>157</v>
      </c>
      <c r="D35" s="51" t="s">
        <v>1757</v>
      </c>
      <c r="E35" s="51" t="s">
        <v>1759</v>
      </c>
      <c r="F35" s="51" t="s">
        <v>1758</v>
      </c>
      <c r="G35" s="1">
        <f>0.045*0.003*0.00857</f>
        <v>1.15695E-6</v>
      </c>
      <c r="H35" s="17">
        <v>4</v>
      </c>
      <c r="I35" s="17">
        <v>1</v>
      </c>
      <c r="J35" s="17">
        <v>1.1000000000000001</v>
      </c>
      <c r="K35" s="7">
        <f>G35*I35</f>
        <v>1.15695E-6</v>
      </c>
      <c r="M35" s="7">
        <f>K35*renaldysfunctionvalue</f>
        <v>6.7676947200000004E-2</v>
      </c>
    </row>
    <row r="37" spans="1:13">
      <c r="A37" s="17" t="s">
        <v>18</v>
      </c>
      <c r="B37" s="17" t="s">
        <v>11</v>
      </c>
      <c r="C37" s="51" t="s">
        <v>157</v>
      </c>
      <c r="D37" s="51" t="s">
        <v>1757</v>
      </c>
      <c r="E37" s="51" t="s">
        <v>1759</v>
      </c>
      <c r="F37" s="51" t="s">
        <v>1758</v>
      </c>
      <c r="G37" s="1">
        <f>0.0006*0.00857</f>
        <v>5.1419999999999992E-6</v>
      </c>
      <c r="H37" s="17">
        <v>4</v>
      </c>
      <c r="I37" s="17">
        <v>1</v>
      </c>
      <c r="J37" s="17">
        <v>1.1000000000000001</v>
      </c>
      <c r="K37" s="7">
        <f>G37*I37</f>
        <v>5.1419999999999992E-6</v>
      </c>
      <c r="M37" s="7">
        <f>K37*renaldysfunctionvalue</f>
        <v>0.30078643199999994</v>
      </c>
    </row>
    <row r="39" spans="1:13">
      <c r="A39" s="51" t="s">
        <v>12</v>
      </c>
      <c r="B39" s="51" t="s">
        <v>11</v>
      </c>
      <c r="C39" s="17" t="s">
        <v>154</v>
      </c>
      <c r="D39" s="51" t="s">
        <v>1757</v>
      </c>
      <c r="E39" s="51" t="s">
        <v>139</v>
      </c>
      <c r="F39" s="17" t="s">
        <v>305</v>
      </c>
      <c r="G39" s="18">
        <v>100000</v>
      </c>
      <c r="H39" s="17">
        <v>3</v>
      </c>
      <c r="I39" s="18">
        <f>1/7630000</f>
        <v>1.3106159895150722E-7</v>
      </c>
      <c r="J39" s="17">
        <v>2</v>
      </c>
      <c r="K39" s="7">
        <f>G39*I39</f>
        <v>1.3106159895150722E-2</v>
      </c>
      <c r="L39" s="18"/>
      <c r="M39" s="7">
        <f>K39*Intellectualdisability_value</f>
        <v>37.134993446920056</v>
      </c>
    </row>
  </sheetData>
  <sheetProtection algorithmName="SHA-512" hashValue="FVbVfxXXNSdKIeitmNNX65jAXYNIGiOiUG2cxrPC4gNLxosw7sjSyxbJZD6I+5oY/jCSnAsx3+bF8eRM6tGTQQ==" saltValue="tx8IkVvQ6DzJcFJd98AXVQ==" spinCount="100000" sheet="1" objects="1" scenarios="1"/>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145"/>
  <sheetViews>
    <sheetView zoomScale="114" zoomScaleNormal="100" workbookViewId="0">
      <selection activeCell="H119" sqref="H119"/>
    </sheetView>
  </sheetViews>
  <sheetFormatPr baseColWidth="10" defaultColWidth="8.83203125" defaultRowHeight="13"/>
  <cols>
    <col min="1" max="1" width="51.5" bestFit="1" customWidth="1"/>
    <col min="2" max="2" width="29.5" bestFit="1" customWidth="1"/>
    <col min="3" max="3" width="12.6640625" bestFit="1" customWidth="1"/>
    <col min="4" max="4" width="18.5" bestFit="1" customWidth="1"/>
    <col min="5" max="5" width="12.33203125" customWidth="1"/>
    <col min="12" max="12" width="12.5" bestFit="1" customWidth="1"/>
  </cols>
  <sheetData>
    <row r="1" spans="1:1" ht="15">
      <c r="A1" s="54"/>
    </row>
    <row r="2" spans="1:1">
      <c r="A2" s="2"/>
    </row>
    <row r="3" spans="1:1">
      <c r="A3" s="9"/>
    </row>
    <row r="4" spans="1:1">
      <c r="A4" s="9"/>
    </row>
    <row r="5" spans="1:1">
      <c r="A5" s="9"/>
    </row>
    <row r="6" spans="1:1">
      <c r="A6" s="9"/>
    </row>
    <row r="7" spans="1:1">
      <c r="A7" s="9"/>
    </row>
    <row r="8" spans="1:1">
      <c r="A8" s="9"/>
    </row>
    <row r="9" spans="1:1">
      <c r="A9" s="9"/>
    </row>
    <row r="10" spans="1:1">
      <c r="A10" s="9"/>
    </row>
    <row r="11" spans="1:1">
      <c r="A11" s="9"/>
    </row>
    <row r="12" spans="1:1">
      <c r="A12" s="9"/>
    </row>
    <row r="13" spans="1:1">
      <c r="A13" s="9"/>
    </row>
    <row r="14" spans="1:1">
      <c r="A14" s="9"/>
    </row>
    <row r="15" spans="1:1">
      <c r="A15" s="9"/>
    </row>
    <row r="16" spans="1:1">
      <c r="A16" s="9"/>
    </row>
    <row r="17" spans="1:5">
      <c r="A17" s="9"/>
    </row>
    <row r="18" spans="1:5">
      <c r="A18" s="9"/>
    </row>
    <row r="20" spans="1:5" ht="44">
      <c r="A20" s="71" t="s">
        <v>37</v>
      </c>
      <c r="B20" s="71" t="s">
        <v>38</v>
      </c>
      <c r="C20" s="72" t="s">
        <v>39</v>
      </c>
      <c r="D20" s="71" t="s">
        <v>1764</v>
      </c>
      <c r="E20" s="71" t="s">
        <v>1765</v>
      </c>
    </row>
    <row r="21" spans="1:5">
      <c r="A21" s="9" t="s">
        <v>40</v>
      </c>
      <c r="B21" s="9" t="s">
        <v>41</v>
      </c>
      <c r="C21" t="s">
        <v>11</v>
      </c>
      <c r="D21">
        <v>0.42799999999999999</v>
      </c>
      <c r="E21">
        <v>1.1000000000000001</v>
      </c>
    </row>
    <row r="22" spans="1:5">
      <c r="A22" s="9" t="s">
        <v>42</v>
      </c>
      <c r="B22" s="9" t="s">
        <v>41</v>
      </c>
      <c r="C22" t="s">
        <v>11</v>
      </c>
      <c r="D22">
        <v>0.23</v>
      </c>
      <c r="E22">
        <v>1.2</v>
      </c>
    </row>
    <row r="23" spans="1:5">
      <c r="A23" s="9" t="s">
        <v>43</v>
      </c>
      <c r="B23" s="9" t="s">
        <v>41</v>
      </c>
      <c r="C23" t="s">
        <v>11</v>
      </c>
      <c r="D23" s="3">
        <f>2.85*0.85</f>
        <v>2.4224999999999999</v>
      </c>
      <c r="E23">
        <v>1.2</v>
      </c>
    </row>
    <row r="24" spans="1:5">
      <c r="A24" s="9" t="s">
        <v>44</v>
      </c>
      <c r="B24" s="9" t="s">
        <v>41</v>
      </c>
      <c r="C24" t="s">
        <v>11</v>
      </c>
      <c r="D24">
        <v>3.02</v>
      </c>
      <c r="E24">
        <v>1.5</v>
      </c>
    </row>
    <row r="25" spans="1:5">
      <c r="A25" s="9" t="s">
        <v>45</v>
      </c>
      <c r="B25" s="9" t="s">
        <v>41</v>
      </c>
      <c r="C25" s="9" t="s">
        <v>11</v>
      </c>
      <c r="D25" s="9">
        <v>1.4300000000000001E-3</v>
      </c>
      <c r="E25">
        <v>2</v>
      </c>
    </row>
    <row r="26" spans="1:5">
      <c r="A26" t="s">
        <v>46</v>
      </c>
      <c r="B26" t="s">
        <v>47</v>
      </c>
      <c r="C26" s="9" t="s">
        <v>48</v>
      </c>
      <c r="D26" s="1">
        <v>86500000000</v>
      </c>
      <c r="E26">
        <v>2</v>
      </c>
    </row>
    <row r="27" spans="1:5">
      <c r="A27" t="s">
        <v>49</v>
      </c>
      <c r="B27" t="s">
        <v>50</v>
      </c>
      <c r="C27" t="s">
        <v>11</v>
      </c>
      <c r="D27" s="5">
        <f>1.68</f>
        <v>1.68</v>
      </c>
      <c r="E27">
        <v>2</v>
      </c>
    </row>
    <row r="28" spans="1:5">
      <c r="A28" t="s">
        <v>51</v>
      </c>
      <c r="B28" t="s">
        <v>50</v>
      </c>
      <c r="C28" t="s">
        <v>11</v>
      </c>
      <c r="D28" s="5">
        <v>0.36599999999999999</v>
      </c>
      <c r="E28">
        <v>2</v>
      </c>
    </row>
    <row r="29" spans="1:5">
      <c r="A29" t="s">
        <v>52</v>
      </c>
      <c r="B29" t="s">
        <v>50</v>
      </c>
      <c r="C29" t="s">
        <v>11</v>
      </c>
      <c r="D29" s="5">
        <v>0.11</v>
      </c>
      <c r="E29">
        <v>2</v>
      </c>
    </row>
    <row r="30" spans="1:5">
      <c r="A30" t="s">
        <v>53</v>
      </c>
      <c r="B30" t="s">
        <v>50</v>
      </c>
      <c r="C30" s="9" t="s">
        <v>54</v>
      </c>
      <c r="D30" s="68">
        <v>0.495</v>
      </c>
      <c r="E30">
        <v>2</v>
      </c>
    </row>
    <row r="31" spans="1:5">
      <c r="A31" s="9" t="s">
        <v>55</v>
      </c>
      <c r="B31" t="s">
        <v>50</v>
      </c>
      <c r="C31" t="s">
        <v>56</v>
      </c>
      <c r="D31" s="7">
        <f>Ag_orevalue</f>
        <v>73702.830188679247</v>
      </c>
      <c r="E31" s="21">
        <v>2</v>
      </c>
    </row>
    <row r="32" spans="1:5">
      <c r="A32" t="s">
        <v>57</v>
      </c>
      <c r="B32" t="s">
        <v>50</v>
      </c>
      <c r="C32" t="s">
        <v>56</v>
      </c>
      <c r="D32" s="1">
        <v>0.19</v>
      </c>
      <c r="E32">
        <v>1.3</v>
      </c>
    </row>
    <row r="33" spans="1:5">
      <c r="A33" t="s">
        <v>58</v>
      </c>
      <c r="B33" t="s">
        <v>50</v>
      </c>
      <c r="C33" t="s">
        <v>56</v>
      </c>
      <c r="D33" s="7">
        <f>Ar_value</f>
        <v>0</v>
      </c>
      <c r="E33" s="21">
        <f>'Abiotic resources'!I78</f>
        <v>1</v>
      </c>
    </row>
    <row r="34" spans="1:5">
      <c r="A34" t="s">
        <v>59</v>
      </c>
      <c r="B34" t="s">
        <v>50</v>
      </c>
      <c r="C34" t="s">
        <v>56</v>
      </c>
      <c r="D34" s="7">
        <f>As_orevalue</f>
        <v>813.80208333333337</v>
      </c>
      <c r="E34" s="21">
        <f>'Abiotic resources'!I3</f>
        <v>2</v>
      </c>
    </row>
    <row r="35" spans="1:5">
      <c r="A35" t="s">
        <v>60</v>
      </c>
      <c r="B35" t="s">
        <v>50</v>
      </c>
      <c r="C35" t="s">
        <v>56</v>
      </c>
      <c r="D35" s="7">
        <f>Au_orevalue</f>
        <v>2604166.6666666665</v>
      </c>
      <c r="E35" s="21">
        <f>'Abiotic resources'!I4</f>
        <v>2</v>
      </c>
    </row>
    <row r="36" spans="1:5">
      <c r="A36" s="9" t="s">
        <v>61</v>
      </c>
      <c r="B36" t="s">
        <v>50</v>
      </c>
      <c r="C36" t="s">
        <v>56</v>
      </c>
      <c r="D36" s="7">
        <f>B_orevalue</f>
        <v>10.6</v>
      </c>
      <c r="E36" s="21">
        <f>'Abiotic resources'!I67</f>
        <v>2</v>
      </c>
    </row>
    <row r="37" spans="1:5">
      <c r="A37" t="s">
        <v>62</v>
      </c>
      <c r="B37" t="s">
        <v>50</v>
      </c>
      <c r="C37" t="s">
        <v>56</v>
      </c>
      <c r="D37" s="7">
        <f>Ba_orevalue</f>
        <v>35.543676069153776</v>
      </c>
      <c r="E37" s="21">
        <v>3</v>
      </c>
    </row>
    <row r="38" spans="1:5">
      <c r="A38" t="s">
        <v>63</v>
      </c>
      <c r="B38" t="s">
        <v>50</v>
      </c>
      <c r="C38" t="s">
        <v>56</v>
      </c>
      <c r="D38" s="7">
        <f>Be_orevalue</f>
        <v>2976.1904761904761</v>
      </c>
      <c r="E38" s="21">
        <f>'Abiotic resources'!I6</f>
        <v>4</v>
      </c>
    </row>
    <row r="39" spans="1:5">
      <c r="A39" t="s">
        <v>64</v>
      </c>
      <c r="B39" t="s">
        <v>50</v>
      </c>
      <c r="C39" t="s">
        <v>56</v>
      </c>
      <c r="D39" s="7">
        <f>Bi_orevalue</f>
        <v>24414.0625</v>
      </c>
      <c r="E39" s="21">
        <f>'Abiotic resources'!I7</f>
        <v>2</v>
      </c>
    </row>
    <row r="40" spans="1:5">
      <c r="A40" t="s">
        <v>65</v>
      </c>
      <c r="B40" t="s">
        <v>50</v>
      </c>
      <c r="C40" t="s">
        <v>56</v>
      </c>
      <c r="D40" s="7">
        <f>Br_orevalue</f>
        <v>0</v>
      </c>
      <c r="E40" s="21">
        <f>'Abiotic resources'!I68</f>
        <v>1</v>
      </c>
    </row>
    <row r="41" spans="1:5">
      <c r="A41" t="s">
        <v>66</v>
      </c>
      <c r="B41" t="s">
        <v>50</v>
      </c>
      <c r="C41" t="s">
        <v>56</v>
      </c>
      <c r="D41" s="7">
        <f>Cd_orevalue</f>
        <v>99206.349206349201</v>
      </c>
      <c r="E41" s="21">
        <f>'Abiotic resources'!I9</f>
        <v>2</v>
      </c>
    </row>
    <row r="42" spans="1:5">
      <c r="A42" s="9" t="s">
        <v>67</v>
      </c>
      <c r="B42" t="s">
        <v>50</v>
      </c>
      <c r="C42" t="s">
        <v>56</v>
      </c>
      <c r="D42" s="7">
        <f>Ca_orevalue</f>
        <v>0</v>
      </c>
      <c r="E42" s="21">
        <f>'Abiotic resources'!I8</f>
        <v>1</v>
      </c>
    </row>
    <row r="43" spans="1:5">
      <c r="A43" t="s">
        <v>68</v>
      </c>
      <c r="B43" t="s">
        <v>50</v>
      </c>
      <c r="C43" t="s">
        <v>56</v>
      </c>
      <c r="D43" s="7">
        <f>Ce_orevalue</f>
        <v>62.003968253968246</v>
      </c>
      <c r="E43" s="21">
        <f>'Abiotic resources'!I10</f>
        <v>2</v>
      </c>
    </row>
    <row r="44" spans="1:5">
      <c r="A44" t="s">
        <v>69</v>
      </c>
      <c r="B44" t="s">
        <v>50</v>
      </c>
      <c r="C44" t="s">
        <v>56</v>
      </c>
      <c r="D44" s="7">
        <f>Cl_orevalue</f>
        <v>0</v>
      </c>
      <c r="E44" s="21">
        <f>'Abiotic resources'!I76</f>
        <v>1</v>
      </c>
    </row>
    <row r="45" spans="1:5">
      <c r="A45" t="s">
        <v>70</v>
      </c>
      <c r="B45" t="s">
        <v>50</v>
      </c>
      <c r="C45" t="s">
        <v>56</v>
      </c>
      <c r="D45" s="7">
        <f>Co_orevalue</f>
        <v>286.72355261950634</v>
      </c>
      <c r="E45" s="21">
        <f>'Abiotic resources'!I11</f>
        <v>2</v>
      </c>
    </row>
    <row r="46" spans="1:5">
      <c r="A46" t="s">
        <v>71</v>
      </c>
      <c r="B46" t="s">
        <v>50</v>
      </c>
      <c r="C46" t="s">
        <v>56</v>
      </c>
      <c r="D46" s="7">
        <f>Cr_orevalue</f>
        <v>56.612318840579711</v>
      </c>
      <c r="E46" s="21">
        <f>'Abiotic resources'!I12</f>
        <v>2</v>
      </c>
    </row>
    <row r="47" spans="1:5">
      <c r="A47" t="s">
        <v>72</v>
      </c>
      <c r="B47" t="s">
        <v>50</v>
      </c>
      <c r="C47" t="s">
        <v>56</v>
      </c>
      <c r="D47" s="7">
        <f>Cs_orevalue</f>
        <v>0</v>
      </c>
      <c r="E47" s="21">
        <v>3</v>
      </c>
    </row>
    <row r="48" spans="1:5">
      <c r="A48" t="s">
        <v>73</v>
      </c>
      <c r="B48" t="s">
        <v>50</v>
      </c>
      <c r="C48" t="s">
        <v>56</v>
      </c>
      <c r="D48" s="7">
        <f>Cu_orevalue</f>
        <v>139.50892857142856</v>
      </c>
      <c r="E48" s="21">
        <f>'Abiotic resources'!I14</f>
        <v>2</v>
      </c>
    </row>
    <row r="49" spans="1:5">
      <c r="A49" t="s">
        <v>74</v>
      </c>
      <c r="B49" t="s">
        <v>50</v>
      </c>
      <c r="C49" t="s">
        <v>56</v>
      </c>
      <c r="D49" s="7">
        <f>Dy_orevalue</f>
        <v>1116.0714285714284</v>
      </c>
      <c r="E49" s="21">
        <f>'Abiotic resources'!I15</f>
        <v>2</v>
      </c>
    </row>
    <row r="50" spans="1:5">
      <c r="A50" t="s">
        <v>75</v>
      </c>
      <c r="B50" t="s">
        <v>50</v>
      </c>
      <c r="C50" t="s">
        <v>56</v>
      </c>
      <c r="D50" s="7">
        <f>Er_orevalue</f>
        <v>1698.3695652173915</v>
      </c>
      <c r="E50" s="21">
        <f>'Abiotic resources'!I16</f>
        <v>2</v>
      </c>
    </row>
    <row r="51" spans="1:5">
      <c r="A51" t="s">
        <v>76</v>
      </c>
      <c r="B51" t="s">
        <v>50</v>
      </c>
      <c r="C51" t="s">
        <v>56</v>
      </c>
      <c r="D51" s="7">
        <f>Eu_orevalue</f>
        <v>3906.25</v>
      </c>
      <c r="E51" s="21">
        <f>'Abiotic resources'!I17</f>
        <v>2</v>
      </c>
    </row>
    <row r="52" spans="1:5">
      <c r="A52" t="s">
        <v>77</v>
      </c>
      <c r="B52" t="s">
        <v>50</v>
      </c>
      <c r="C52" t="s">
        <v>56</v>
      </c>
      <c r="D52" s="7">
        <f>F_orevalue</f>
        <v>7.0130161579892283</v>
      </c>
      <c r="E52" s="21">
        <f>'Abiotic resources'!I18</f>
        <v>3</v>
      </c>
    </row>
    <row r="53" spans="1:5">
      <c r="A53" t="s">
        <v>78</v>
      </c>
      <c r="B53" t="s">
        <v>50</v>
      </c>
      <c r="C53" t="s">
        <v>56</v>
      </c>
      <c r="D53" s="1">
        <v>1.1970000000000001</v>
      </c>
      <c r="E53">
        <v>1.6</v>
      </c>
    </row>
    <row r="54" spans="1:5">
      <c r="A54" t="s">
        <v>79</v>
      </c>
      <c r="B54" t="s">
        <v>50</v>
      </c>
      <c r="C54" t="s">
        <v>56</v>
      </c>
      <c r="D54" s="7">
        <f>Ga_orevalue</f>
        <v>0.19</v>
      </c>
      <c r="E54" s="21">
        <f>'Abiotic resources'!I19</f>
        <v>2</v>
      </c>
    </row>
    <row r="55" spans="1:5">
      <c r="A55" t="s">
        <v>80</v>
      </c>
      <c r="B55" t="s">
        <v>50</v>
      </c>
      <c r="C55" t="s">
        <v>56</v>
      </c>
      <c r="D55" s="7">
        <f>Gd_orevalue</f>
        <v>976.5625</v>
      </c>
      <c r="E55" s="21">
        <f>'Abiotic resources'!I20</f>
        <v>2</v>
      </c>
    </row>
    <row r="56" spans="1:5">
      <c r="A56" t="s">
        <v>81</v>
      </c>
      <c r="B56" t="s">
        <v>50</v>
      </c>
      <c r="C56" t="s">
        <v>56</v>
      </c>
      <c r="D56" s="7">
        <f>Ge_orevalue</f>
        <v>100000</v>
      </c>
      <c r="E56" s="21">
        <f>'Abiotic resources'!I21</f>
        <v>4</v>
      </c>
    </row>
    <row r="57" spans="1:5">
      <c r="A57" t="s">
        <v>82</v>
      </c>
      <c r="B57" t="s">
        <v>50</v>
      </c>
      <c r="C57" t="s">
        <v>56</v>
      </c>
      <c r="D57" s="7">
        <f>H_value</f>
        <v>0</v>
      </c>
      <c r="E57" s="21">
        <f>'Abiotic resources'!I69</f>
        <v>1</v>
      </c>
    </row>
    <row r="58" spans="1:5">
      <c r="A58" t="s">
        <v>83</v>
      </c>
      <c r="B58" t="s">
        <v>50</v>
      </c>
      <c r="C58" t="s">
        <v>56</v>
      </c>
      <c r="D58" s="7">
        <f>Hf_orevalue</f>
        <v>737.02830188679241</v>
      </c>
      <c r="E58" s="21">
        <f>'Abiotic resources'!I22</f>
        <v>2</v>
      </c>
    </row>
    <row r="59" spans="1:5">
      <c r="A59" t="s">
        <v>84</v>
      </c>
      <c r="B59" t="s">
        <v>50</v>
      </c>
      <c r="C59" t="s">
        <v>56</v>
      </c>
      <c r="D59" s="7">
        <f>He_value</f>
        <v>0</v>
      </c>
      <c r="E59" s="21">
        <f>'Abiotic resources'!I79</f>
        <v>1</v>
      </c>
    </row>
    <row r="60" spans="1:5">
      <c r="A60" t="s">
        <v>85</v>
      </c>
      <c r="B60" t="s">
        <v>50</v>
      </c>
      <c r="C60" t="s">
        <v>56</v>
      </c>
      <c r="D60" s="7">
        <f>Hg_orevalue</f>
        <v>78124.999999999985</v>
      </c>
      <c r="E60" s="21">
        <f>'Abiotic resources'!I23</f>
        <v>2</v>
      </c>
    </row>
    <row r="61" spans="1:5">
      <c r="A61" t="s">
        <v>86</v>
      </c>
      <c r="B61" t="s">
        <v>50</v>
      </c>
      <c r="C61" t="s">
        <v>56</v>
      </c>
      <c r="D61" s="7">
        <f>Ho_orevalue</f>
        <v>4706.325301204819</v>
      </c>
      <c r="E61" s="21">
        <f>'Abiotic resources'!I24</f>
        <v>2</v>
      </c>
    </row>
    <row r="62" spans="1:5">
      <c r="A62" t="s">
        <v>87</v>
      </c>
      <c r="B62" t="s">
        <v>50</v>
      </c>
      <c r="C62" t="s">
        <v>56</v>
      </c>
      <c r="D62" s="21">
        <f>I_orevalue</f>
        <v>31.8</v>
      </c>
      <c r="E62" s="21">
        <f>'Abiotic resources'!I75</f>
        <v>3</v>
      </c>
    </row>
    <row r="63" spans="1:5">
      <c r="A63" t="s">
        <v>88</v>
      </c>
      <c r="B63" t="s">
        <v>50</v>
      </c>
      <c r="C63" t="s">
        <v>56</v>
      </c>
      <c r="D63" s="7">
        <f>In_orevalue</f>
        <v>69754.464285714275</v>
      </c>
      <c r="E63" s="21">
        <f>'Abiotic resources'!I25</f>
        <v>2</v>
      </c>
    </row>
    <row r="64" spans="1:5">
      <c r="A64" t="s">
        <v>89</v>
      </c>
      <c r="B64" t="s">
        <v>50</v>
      </c>
      <c r="C64" t="s">
        <v>56</v>
      </c>
      <c r="D64" s="7">
        <f>Ir_orevalue</f>
        <v>177556818.18181819</v>
      </c>
      <c r="E64" s="21">
        <f>'Abiotic resources'!I26</f>
        <v>3</v>
      </c>
    </row>
    <row r="65" spans="1:5">
      <c r="A65" t="s">
        <v>90</v>
      </c>
      <c r="B65" t="s">
        <v>50</v>
      </c>
      <c r="C65" t="s">
        <v>56</v>
      </c>
      <c r="D65" s="7">
        <f>K_orevalue</f>
        <v>0</v>
      </c>
      <c r="E65" s="21">
        <f>'Abiotic resources'!I71</f>
        <v>1</v>
      </c>
    </row>
    <row r="66" spans="1:5">
      <c r="A66" t="s">
        <v>91</v>
      </c>
      <c r="B66" t="s">
        <v>50</v>
      </c>
      <c r="C66" t="s">
        <v>56</v>
      </c>
      <c r="D66" s="7">
        <f>La_orevalue</f>
        <v>126.00806451612904</v>
      </c>
      <c r="E66" s="21">
        <f>'Abiotic resources'!I27</f>
        <v>2</v>
      </c>
    </row>
    <row r="67" spans="1:5">
      <c r="A67" t="s">
        <v>92</v>
      </c>
      <c r="B67" t="s">
        <v>50</v>
      </c>
      <c r="C67" t="s">
        <v>56</v>
      </c>
      <c r="D67" s="7">
        <f>Li_orevalue</f>
        <v>14</v>
      </c>
      <c r="E67" s="21">
        <f>'Abiotic resources'!I28</f>
        <v>2</v>
      </c>
    </row>
    <row r="68" spans="1:5">
      <c r="A68" t="s">
        <v>93</v>
      </c>
      <c r="B68" t="s">
        <v>50</v>
      </c>
      <c r="C68" t="s">
        <v>56</v>
      </c>
      <c r="D68" s="7">
        <f>Lu_orevalue</f>
        <v>12600.806451612903</v>
      </c>
      <c r="E68" s="21">
        <f>'Abiotic resources'!I29</f>
        <v>2</v>
      </c>
    </row>
    <row r="69" spans="1:5">
      <c r="A69" t="s">
        <v>94</v>
      </c>
      <c r="B69" t="s">
        <v>50</v>
      </c>
      <c r="C69" t="s">
        <v>56</v>
      </c>
      <c r="D69" s="7">
        <f>Mg_orevalue</f>
        <v>0</v>
      </c>
      <c r="E69" s="21">
        <f>'Abiotic resources'!I72</f>
        <v>1</v>
      </c>
    </row>
    <row r="70" spans="1:5">
      <c r="A70" t="s">
        <v>95</v>
      </c>
      <c r="B70" t="s">
        <v>50</v>
      </c>
      <c r="C70" t="s">
        <v>56</v>
      </c>
      <c r="D70" s="7">
        <f>Mn_orevalue</f>
        <v>4.6886721680420109</v>
      </c>
      <c r="E70" s="21">
        <f>'Abiotic resources'!I30</f>
        <v>2</v>
      </c>
    </row>
    <row r="71" spans="1:5">
      <c r="A71" t="s">
        <v>96</v>
      </c>
      <c r="B71" t="s">
        <v>50</v>
      </c>
      <c r="C71" t="s">
        <v>56</v>
      </c>
      <c r="D71" s="7">
        <f>Mo_orevalue</f>
        <v>3551.1363636363635</v>
      </c>
      <c r="E71" s="21">
        <f>'Abiotic resources'!I31</f>
        <v>2</v>
      </c>
    </row>
    <row r="72" spans="1:5">
      <c r="A72" t="s">
        <v>97</v>
      </c>
      <c r="B72" t="s">
        <v>50</v>
      </c>
      <c r="C72" t="s">
        <v>56</v>
      </c>
      <c r="D72" s="21">
        <f>Na_orevalue</f>
        <v>0</v>
      </c>
      <c r="E72" s="21">
        <f>'Abiotic resources'!I70</f>
        <v>1</v>
      </c>
    </row>
    <row r="73" spans="1:5">
      <c r="A73" t="s">
        <v>98</v>
      </c>
      <c r="B73" t="s">
        <v>50</v>
      </c>
      <c r="C73" t="s">
        <v>56</v>
      </c>
      <c r="D73" s="21">
        <f>Ne_value</f>
        <v>0</v>
      </c>
      <c r="E73" s="21">
        <f>'Abiotic resources'!I80</f>
        <v>1</v>
      </c>
    </row>
    <row r="74" spans="1:5">
      <c r="A74" t="s">
        <v>99</v>
      </c>
      <c r="B74" t="s">
        <v>50</v>
      </c>
      <c r="C74" t="s">
        <v>56</v>
      </c>
      <c r="D74" s="21">
        <f>N_value</f>
        <v>0</v>
      </c>
      <c r="E74" s="21">
        <f>'Abiotic resources'!I81</f>
        <v>1</v>
      </c>
    </row>
    <row r="75" spans="1:5">
      <c r="A75" t="s">
        <v>100</v>
      </c>
      <c r="B75" t="s">
        <v>50</v>
      </c>
      <c r="C75" t="s">
        <v>56</v>
      </c>
      <c r="D75" s="7">
        <f>Nb_orevalue</f>
        <v>325.52083333333326</v>
      </c>
      <c r="E75" s="21">
        <f>'Abiotic resources'!I32</f>
        <v>2</v>
      </c>
    </row>
    <row r="76" spans="1:5">
      <c r="A76" t="s">
        <v>101</v>
      </c>
      <c r="B76" t="s">
        <v>50</v>
      </c>
      <c r="C76" t="s">
        <v>56</v>
      </c>
      <c r="D76" s="7">
        <f>Ni_orevalue</f>
        <v>147.96401515151516</v>
      </c>
      <c r="E76" s="21">
        <f>'Abiotic resources'!I34</f>
        <v>2</v>
      </c>
    </row>
    <row r="77" spans="1:5">
      <c r="A77" t="s">
        <v>102</v>
      </c>
      <c r="B77" t="s">
        <v>50</v>
      </c>
      <c r="C77" t="s">
        <v>56</v>
      </c>
      <c r="D77" s="7">
        <f>Nd_orevalue</f>
        <v>144.67592592592592</v>
      </c>
      <c r="E77" s="21">
        <f>'Abiotic resources'!I33</f>
        <v>2</v>
      </c>
    </row>
    <row r="78" spans="1:5">
      <c r="A78" t="s">
        <v>103</v>
      </c>
      <c r="B78" t="s">
        <v>50</v>
      </c>
      <c r="C78" t="s">
        <v>56</v>
      </c>
      <c r="D78" s="7">
        <f>Os_orevalue</f>
        <v>126008064.51612903</v>
      </c>
      <c r="E78" s="21">
        <f>'Abiotic resources'!I35</f>
        <v>3</v>
      </c>
    </row>
    <row r="79" spans="1:5">
      <c r="A79" s="9" t="s">
        <v>104</v>
      </c>
      <c r="B79" t="s">
        <v>50</v>
      </c>
      <c r="C79" t="s">
        <v>56</v>
      </c>
      <c r="D79" s="7">
        <f>O_value</f>
        <v>0</v>
      </c>
      <c r="E79" s="21">
        <v>1</v>
      </c>
    </row>
    <row r="80" spans="1:5">
      <c r="A80" t="s">
        <v>105</v>
      </c>
      <c r="B80" t="s">
        <v>50</v>
      </c>
      <c r="C80" t="s">
        <v>56</v>
      </c>
      <c r="D80" s="7">
        <f>P_orevalue</f>
        <v>5.9637404580152671</v>
      </c>
      <c r="E80" s="21">
        <f>'Abiotic resources'!I36</f>
        <v>2</v>
      </c>
    </row>
    <row r="81" spans="1:5">
      <c r="A81" t="s">
        <v>106</v>
      </c>
      <c r="B81" t="s">
        <v>50</v>
      </c>
      <c r="C81" t="s">
        <v>56</v>
      </c>
      <c r="D81" s="7">
        <f>Pb_orevalue</f>
        <v>496.82034976152624</v>
      </c>
      <c r="E81" s="21">
        <f>'Abiotic resources'!I37</f>
        <v>2</v>
      </c>
    </row>
    <row r="82" spans="1:5">
      <c r="A82" t="s">
        <v>107</v>
      </c>
      <c r="B82" t="s">
        <v>50</v>
      </c>
      <c r="C82" t="s">
        <v>56</v>
      </c>
      <c r="D82" s="7">
        <f>Pd_orevalue</f>
        <v>1383332.0365183109</v>
      </c>
      <c r="E82" s="21">
        <f>'Abiotic resources'!I38</f>
        <v>3</v>
      </c>
    </row>
    <row r="83" spans="1:5">
      <c r="A83" t="s">
        <v>108</v>
      </c>
      <c r="B83" t="s">
        <v>50</v>
      </c>
      <c r="C83" t="s">
        <v>56</v>
      </c>
      <c r="D83" s="7">
        <f>Pr_orevalue</f>
        <v>550.17605633802816</v>
      </c>
      <c r="E83" s="21">
        <f>'Abiotic resources'!I39</f>
        <v>2</v>
      </c>
    </row>
    <row r="84" spans="1:5">
      <c r="A84" t="s">
        <v>109</v>
      </c>
      <c r="B84" t="s">
        <v>50</v>
      </c>
      <c r="C84" t="s">
        <v>56</v>
      </c>
      <c r="D84" s="7">
        <f>Pt_orevalue</f>
        <v>7812500</v>
      </c>
      <c r="E84" s="21">
        <f>'Abiotic resources'!I40</f>
        <v>3</v>
      </c>
    </row>
    <row r="85" spans="1:5">
      <c r="A85" t="s">
        <v>110</v>
      </c>
      <c r="B85" t="s">
        <v>50</v>
      </c>
      <c r="C85" t="s">
        <v>56</v>
      </c>
      <c r="D85" s="7">
        <f>Rb_orevalue</f>
        <v>0</v>
      </c>
      <c r="E85" s="21">
        <f>'Abiotic resources'!I41</f>
        <v>1</v>
      </c>
    </row>
    <row r="86" spans="1:5">
      <c r="A86" s="9" t="s">
        <v>111</v>
      </c>
      <c r="B86" t="s">
        <v>50</v>
      </c>
      <c r="C86" t="s">
        <v>56</v>
      </c>
      <c r="D86" s="7">
        <f>Re_orevalue</f>
        <v>19728535.353535354</v>
      </c>
      <c r="E86" s="21">
        <f>'Abiotic resources'!I42</f>
        <v>3</v>
      </c>
    </row>
    <row r="87" spans="1:5">
      <c r="A87" t="s">
        <v>112</v>
      </c>
      <c r="B87" t="s">
        <v>50</v>
      </c>
      <c r="C87" t="s">
        <v>56</v>
      </c>
      <c r="D87" s="7">
        <f>Rh_orevalue</f>
        <v>13571246.607814349</v>
      </c>
      <c r="E87" s="21">
        <f>'Abiotic resources'!I43</f>
        <v>3</v>
      </c>
    </row>
    <row r="88" spans="1:5">
      <c r="A88" t="s">
        <v>113</v>
      </c>
      <c r="B88" t="s">
        <v>50</v>
      </c>
      <c r="C88" t="s">
        <v>56</v>
      </c>
      <c r="D88" s="7">
        <f>Ru_orevalue</f>
        <v>6056589.395222933</v>
      </c>
      <c r="E88" s="21">
        <f>'Abiotic resources'!I44</f>
        <v>3</v>
      </c>
    </row>
    <row r="89" spans="1:5">
      <c r="A89" t="s">
        <v>114</v>
      </c>
      <c r="B89" t="s">
        <v>50</v>
      </c>
      <c r="C89" t="s">
        <v>56</v>
      </c>
      <c r="D89" s="7">
        <f>S_orevalue</f>
        <v>0.2</v>
      </c>
      <c r="E89" s="21">
        <f>'Abiotic resources'!I73</f>
        <v>2</v>
      </c>
    </row>
    <row r="90" spans="1:5">
      <c r="A90" t="s">
        <v>115</v>
      </c>
      <c r="B90" t="s">
        <v>50</v>
      </c>
      <c r="C90" t="s">
        <v>56</v>
      </c>
      <c r="D90" s="7">
        <f>Sb_orevalue</f>
        <v>9765.6249999999982</v>
      </c>
      <c r="E90" s="21">
        <f>'Abiotic resources'!I45</f>
        <v>2</v>
      </c>
    </row>
    <row r="91" spans="1:5">
      <c r="A91" t="s">
        <v>116</v>
      </c>
      <c r="B91" t="s">
        <v>50</v>
      </c>
      <c r="C91" t="s">
        <v>56</v>
      </c>
      <c r="D91" s="7">
        <f>Sc_orevalue</f>
        <v>279.01785714285711</v>
      </c>
      <c r="E91" s="21">
        <f>'Abiotic resources'!I46</f>
        <v>2</v>
      </c>
    </row>
    <row r="92" spans="1:5">
      <c r="A92" t="s">
        <v>117</v>
      </c>
      <c r="B92" t="s">
        <v>50</v>
      </c>
      <c r="C92" t="s">
        <v>56</v>
      </c>
      <c r="D92" s="7">
        <f>Se_orevalue</f>
        <v>56</v>
      </c>
      <c r="E92" s="21">
        <f>'Abiotic resources'!I47</f>
        <v>5</v>
      </c>
    </row>
    <row r="93" spans="1:5">
      <c r="A93" s="9" t="s">
        <v>118</v>
      </c>
      <c r="B93" t="s">
        <v>50</v>
      </c>
      <c r="C93" t="s">
        <v>56</v>
      </c>
      <c r="D93" s="7">
        <f>Si_orevalue</f>
        <v>0</v>
      </c>
      <c r="E93" s="21">
        <f>'Abiotic resources'!I74</f>
        <v>1</v>
      </c>
    </row>
    <row r="94" spans="1:5">
      <c r="A94" t="s">
        <v>119</v>
      </c>
      <c r="B94" t="s">
        <v>50</v>
      </c>
      <c r="C94" t="s">
        <v>56</v>
      </c>
      <c r="D94" s="7">
        <f>Sm_orevalue</f>
        <v>831.11702127659566</v>
      </c>
      <c r="E94" s="21">
        <f>'Abiotic resources'!I48</f>
        <v>2</v>
      </c>
    </row>
    <row r="95" spans="1:5">
      <c r="A95" t="s">
        <v>120</v>
      </c>
      <c r="B95" t="s">
        <v>50</v>
      </c>
      <c r="C95" t="s">
        <v>56</v>
      </c>
      <c r="D95" s="7">
        <f>Sn_orevalue</f>
        <v>1984.1269841269839</v>
      </c>
      <c r="E95" s="21">
        <f>'Abiotic resources'!I49</f>
        <v>2</v>
      </c>
    </row>
    <row r="96" spans="1:5">
      <c r="A96" t="s">
        <v>121</v>
      </c>
      <c r="B96" t="s">
        <v>50</v>
      </c>
      <c r="C96" t="s">
        <v>56</v>
      </c>
      <c r="D96" s="7">
        <f>Sr_orevalue</f>
        <v>0</v>
      </c>
      <c r="E96" s="21">
        <f>'Abiotic resources'!I50</f>
        <v>1</v>
      </c>
    </row>
    <row r="97" spans="1:5">
      <c r="A97" t="s">
        <v>122</v>
      </c>
      <c r="B97" t="s">
        <v>50</v>
      </c>
      <c r="C97" t="s">
        <v>56</v>
      </c>
      <c r="D97" s="7">
        <f>Ta_orevalue</f>
        <v>4340.2777777777774</v>
      </c>
      <c r="E97" s="21">
        <f>'Abiotic resources'!I51</f>
        <v>2</v>
      </c>
    </row>
    <row r="98" spans="1:5">
      <c r="A98" t="s">
        <v>123</v>
      </c>
      <c r="B98" t="s">
        <v>50</v>
      </c>
      <c r="C98" t="s">
        <v>56</v>
      </c>
      <c r="D98" s="7">
        <f>Tb_orevalue</f>
        <v>5580.3571428571431</v>
      </c>
      <c r="E98" s="21">
        <f>'Abiotic resources'!I52</f>
        <v>2</v>
      </c>
    </row>
    <row r="99" spans="1:5">
      <c r="A99" t="s">
        <v>124</v>
      </c>
      <c r="B99" t="s">
        <v>50</v>
      </c>
      <c r="C99" t="s">
        <v>56</v>
      </c>
      <c r="D99" s="7">
        <f>Te_orevalue</f>
        <v>3906250</v>
      </c>
      <c r="E99" s="21">
        <f>'Abiotic resources'!I53</f>
        <v>3</v>
      </c>
    </row>
    <row r="100" spans="1:5">
      <c r="A100" t="s">
        <v>125</v>
      </c>
      <c r="B100" t="s">
        <v>50</v>
      </c>
      <c r="C100" t="s">
        <v>56</v>
      </c>
      <c r="D100" s="7">
        <f>Ti_orevalue</f>
        <v>1.0199086161879896</v>
      </c>
      <c r="E100" s="21">
        <f>'Abiotic resources'!I55</f>
        <v>2</v>
      </c>
    </row>
    <row r="101" spans="1:5">
      <c r="A101" t="s">
        <v>126</v>
      </c>
      <c r="B101" t="s">
        <v>50</v>
      </c>
      <c r="C101" t="s">
        <v>56</v>
      </c>
      <c r="D101" s="7">
        <f>Th_orevalue</f>
        <v>372.02380952380952</v>
      </c>
      <c r="E101" s="21">
        <f>'Abiotic resources'!I56</f>
        <v>3</v>
      </c>
    </row>
    <row r="102" spans="1:5">
      <c r="A102" t="s">
        <v>127</v>
      </c>
      <c r="B102" t="s">
        <v>50</v>
      </c>
      <c r="C102" t="s">
        <v>56</v>
      </c>
      <c r="D102" s="7">
        <f>Th_orevalue</f>
        <v>372.02380952380952</v>
      </c>
      <c r="E102" s="21">
        <f>'Abiotic resources'!I54</f>
        <v>2</v>
      </c>
    </row>
    <row r="103" spans="1:5">
      <c r="A103" t="s">
        <v>128</v>
      </c>
      <c r="B103" t="s">
        <v>50</v>
      </c>
      <c r="C103" t="s">
        <v>56</v>
      </c>
      <c r="D103" s="7">
        <f>Tm_orevalue</f>
        <v>13020.833333333334</v>
      </c>
      <c r="E103" s="21">
        <f>'Abiotic resources'!I57</f>
        <v>2</v>
      </c>
    </row>
    <row r="104" spans="1:5" ht="15">
      <c r="A104" s="9" t="s">
        <v>129</v>
      </c>
      <c r="B104" t="s">
        <v>50</v>
      </c>
      <c r="C104" t="s">
        <v>56</v>
      </c>
      <c r="D104" s="7">
        <f>U235_orevalue</f>
        <v>206679.89417989418</v>
      </c>
      <c r="E104" s="21">
        <f>'Abiotic resources'!I58</f>
        <v>2</v>
      </c>
    </row>
    <row r="105" spans="1:5" ht="15">
      <c r="A105" s="9" t="s">
        <v>130</v>
      </c>
      <c r="B105" t="s">
        <v>50</v>
      </c>
      <c r="C105" t="s">
        <v>56</v>
      </c>
      <c r="D105" s="7">
        <f>U238_orevalue</f>
        <v>14575.559701492537</v>
      </c>
      <c r="E105" s="21">
        <f>'Abiotic resources'!I59</f>
        <v>2</v>
      </c>
    </row>
    <row r="106" spans="1:5">
      <c r="A106" s="9" t="s">
        <v>131</v>
      </c>
      <c r="B106" t="s">
        <v>50</v>
      </c>
      <c r="C106" t="s">
        <v>56</v>
      </c>
      <c r="D106" s="7">
        <f>V_orevalue</f>
        <v>40.270618556701024</v>
      </c>
      <c r="E106" s="21">
        <f>'Abiotic resources'!I61</f>
        <v>2</v>
      </c>
    </row>
    <row r="107" spans="1:5">
      <c r="A107" s="9" t="s">
        <v>132</v>
      </c>
      <c r="B107" t="s">
        <v>50</v>
      </c>
      <c r="C107" t="s">
        <v>56</v>
      </c>
      <c r="D107" s="7">
        <f>W_orevalue</f>
        <v>6325.9109311740895</v>
      </c>
      <c r="E107" s="21">
        <f>'Abiotic resources'!I60</f>
        <v>3</v>
      </c>
    </row>
    <row r="108" spans="1:5">
      <c r="A108" s="9" t="s">
        <v>133</v>
      </c>
      <c r="B108" t="s">
        <v>50</v>
      </c>
      <c r="C108" t="s">
        <v>56</v>
      </c>
      <c r="D108" s="7">
        <f>Y_orevalue</f>
        <v>186.01190476190476</v>
      </c>
      <c r="E108" s="21">
        <f>'Abiotic resources'!I62</f>
        <v>2</v>
      </c>
    </row>
    <row r="109" spans="1:5">
      <c r="A109" s="9" t="s">
        <v>134</v>
      </c>
      <c r="B109" t="s">
        <v>50</v>
      </c>
      <c r="C109" t="s">
        <v>56</v>
      </c>
      <c r="D109" s="7">
        <f>Yb_orevalue</f>
        <v>1992.9846938775511</v>
      </c>
      <c r="E109" s="21">
        <f>'Abiotic resources'!I63</f>
        <v>2</v>
      </c>
    </row>
    <row r="110" spans="1:5">
      <c r="A110" s="9" t="s">
        <v>135</v>
      </c>
      <c r="B110" t="s">
        <v>50</v>
      </c>
      <c r="C110" t="s">
        <v>56</v>
      </c>
      <c r="D110" s="7">
        <f>Zn_orevalue</f>
        <v>49.618926643378856</v>
      </c>
      <c r="E110" s="21">
        <f>'Abiotic resources'!I64</f>
        <v>2</v>
      </c>
    </row>
    <row r="111" spans="1:5">
      <c r="A111" s="9" t="s">
        <v>136</v>
      </c>
      <c r="B111" t="s">
        <v>50</v>
      </c>
      <c r="C111" t="s">
        <v>56</v>
      </c>
      <c r="D111" s="7">
        <f>Zr_orevalue</f>
        <v>32.383419689119172</v>
      </c>
      <c r="E111" s="21">
        <f>'Abiotic resources'!I65</f>
        <v>3</v>
      </c>
    </row>
    <row r="112" spans="1:5">
      <c r="A112" s="9" t="s">
        <v>137</v>
      </c>
      <c r="B112" s="9" t="s">
        <v>138</v>
      </c>
      <c r="C112" s="9" t="s">
        <v>139</v>
      </c>
      <c r="D112">
        <v>91400</v>
      </c>
      <c r="E112">
        <v>1.2</v>
      </c>
    </row>
    <row r="113" spans="1:5">
      <c r="A113" s="9" t="s">
        <v>137</v>
      </c>
      <c r="B113" s="9" t="s">
        <v>140</v>
      </c>
      <c r="C113" t="s">
        <v>139</v>
      </c>
      <c r="D113">
        <f>0.128*YLLvalue</f>
        <v>11699.2</v>
      </c>
      <c r="E113">
        <v>1.1000000000000001</v>
      </c>
    </row>
    <row r="114" spans="1:5">
      <c r="A114" s="9" t="s">
        <v>137</v>
      </c>
      <c r="B114" s="9" t="s">
        <v>141</v>
      </c>
      <c r="C114" t="s">
        <v>139</v>
      </c>
      <c r="D114">
        <f>0.188*YLLvalue</f>
        <v>17183.2</v>
      </c>
      <c r="E114">
        <v>2</v>
      </c>
    </row>
    <row r="115" spans="1:5">
      <c r="A115" s="9" t="s">
        <v>137</v>
      </c>
      <c r="B115" s="9" t="s">
        <v>142</v>
      </c>
      <c r="C115" t="s">
        <v>139</v>
      </c>
      <c r="D115">
        <f>YLLvalue*0.1091</f>
        <v>9971.74</v>
      </c>
      <c r="E115">
        <v>1.1000000000000001</v>
      </c>
    </row>
    <row r="116" spans="1:5">
      <c r="A116" s="9" t="s">
        <v>137</v>
      </c>
      <c r="B116" s="9" t="s">
        <v>143</v>
      </c>
      <c r="C116" s="9" t="s">
        <v>139</v>
      </c>
      <c r="D116">
        <f>0.08*YLLvalue</f>
        <v>7312</v>
      </c>
      <c r="E116">
        <v>2</v>
      </c>
    </row>
    <row r="117" spans="1:5">
      <c r="A117" s="9" t="s">
        <v>137</v>
      </c>
      <c r="B117" s="9" t="s">
        <v>144</v>
      </c>
      <c r="C117" s="9" t="s">
        <v>139</v>
      </c>
      <c r="D117">
        <f>0.1*YLLvalue</f>
        <v>9140</v>
      </c>
      <c r="E117">
        <v>3</v>
      </c>
    </row>
    <row r="118" spans="1:5">
      <c r="A118" s="9" t="s">
        <v>137</v>
      </c>
      <c r="B118" s="9" t="s">
        <v>145</v>
      </c>
      <c r="C118" s="9" t="s">
        <v>139</v>
      </c>
      <c r="D118">
        <f>(0.422*2+0.056*28)/30*YLLvalue</f>
        <v>7348.5599999999995</v>
      </c>
      <c r="E118">
        <v>1.3</v>
      </c>
    </row>
    <row r="119" spans="1:5" ht="12" customHeight="1">
      <c r="A119" s="9" t="s">
        <v>137</v>
      </c>
      <c r="B119" s="9" t="s">
        <v>146</v>
      </c>
      <c r="C119" t="s">
        <v>147</v>
      </c>
      <c r="D119">
        <f>YLLvalue/2000</f>
        <v>45.7</v>
      </c>
      <c r="E119" s="21">
        <f>E112</f>
        <v>1.2</v>
      </c>
    </row>
    <row r="120" spans="1:5" ht="12" customHeight="1">
      <c r="A120" s="9" t="s">
        <v>137</v>
      </c>
      <c r="B120" s="9" t="s">
        <v>148</v>
      </c>
      <c r="C120" t="s">
        <v>139</v>
      </c>
      <c r="D120">
        <f>0.036*YLLvalue</f>
        <v>3290.3999999999996</v>
      </c>
      <c r="E120">
        <v>2</v>
      </c>
    </row>
    <row r="121" spans="1:5" ht="12" customHeight="1">
      <c r="A121" s="9" t="s">
        <v>137</v>
      </c>
      <c r="B121" s="9" t="s">
        <v>149</v>
      </c>
      <c r="C121" t="s">
        <v>139</v>
      </c>
      <c r="D121">
        <f>0.2*YLLvalue</f>
        <v>18280</v>
      </c>
      <c r="E121">
        <v>3</v>
      </c>
    </row>
    <row r="122" spans="1:5" ht="12" customHeight="1">
      <c r="A122" s="9" t="s">
        <v>137</v>
      </c>
      <c r="B122" s="9" t="s">
        <v>150</v>
      </c>
      <c r="C122" s="9" t="s">
        <v>139</v>
      </c>
      <c r="D122">
        <f>0.3*YLLvalue</f>
        <v>27420</v>
      </c>
      <c r="E122">
        <v>2</v>
      </c>
    </row>
    <row r="123" spans="1:5" ht="12" customHeight="1">
      <c r="A123" s="9" t="s">
        <v>137</v>
      </c>
      <c r="B123" s="9" t="s">
        <v>151</v>
      </c>
      <c r="C123" s="9" t="s">
        <v>139</v>
      </c>
      <c r="D123">
        <f>0.05*YLLvalue</f>
        <v>4570</v>
      </c>
      <c r="E123">
        <v>1.3</v>
      </c>
    </row>
    <row r="124" spans="1:5" ht="12" customHeight="1">
      <c r="A124" s="9" t="s">
        <v>137</v>
      </c>
      <c r="B124" s="9" t="s">
        <v>152</v>
      </c>
      <c r="C124" s="9" t="s">
        <v>139</v>
      </c>
      <c r="D124">
        <f>YLLvalue*0.089</f>
        <v>8134.5999999999995</v>
      </c>
      <c r="E124">
        <v>2</v>
      </c>
    </row>
    <row r="125" spans="1:5" ht="12" customHeight="1">
      <c r="A125" s="9" t="s">
        <v>137</v>
      </c>
      <c r="B125" s="9" t="s">
        <v>153</v>
      </c>
      <c r="C125" s="9" t="s">
        <v>139</v>
      </c>
      <c r="D125">
        <f>0.163*YLLvalue</f>
        <v>14898.2</v>
      </c>
      <c r="E125">
        <v>1.2</v>
      </c>
    </row>
    <row r="126" spans="1:5" ht="12" customHeight="1">
      <c r="A126" s="9" t="s">
        <v>137</v>
      </c>
      <c r="B126" s="9" t="s">
        <v>154</v>
      </c>
      <c r="C126" s="9" t="s">
        <v>139</v>
      </c>
      <c r="D126">
        <f>0.031*YLLvalue</f>
        <v>2833.4</v>
      </c>
      <c r="E126">
        <v>1.3</v>
      </c>
    </row>
    <row r="127" spans="1:5" ht="12" customHeight="1">
      <c r="A127" s="9" t="s">
        <v>137</v>
      </c>
      <c r="B127" s="9" t="s">
        <v>155</v>
      </c>
      <c r="C127" s="9" t="s">
        <v>156</v>
      </c>
      <c r="D127">
        <f>1.28*YLLvalue</f>
        <v>116992</v>
      </c>
      <c r="E127">
        <v>2</v>
      </c>
    </row>
    <row r="128" spans="1:5" ht="12" customHeight="1">
      <c r="A128" s="9" t="s">
        <v>137</v>
      </c>
      <c r="B128" s="9" t="s">
        <v>157</v>
      </c>
      <c r="C128" s="9" t="s">
        <v>156</v>
      </c>
      <c r="D128">
        <f>0.64*YLLvalue</f>
        <v>58496</v>
      </c>
      <c r="E128">
        <v>3</v>
      </c>
    </row>
    <row r="129" spans="1:6">
      <c r="A129" s="9"/>
      <c r="B129" s="9"/>
      <c r="C129" s="9"/>
    </row>
    <row r="130" spans="1:6">
      <c r="A130" s="9"/>
      <c r="B130" s="9"/>
      <c r="C130" s="9"/>
    </row>
    <row r="131" spans="1:6">
      <c r="B131" s="9"/>
      <c r="C131" s="9"/>
    </row>
    <row r="132" spans="1:6">
      <c r="A132" s="9"/>
      <c r="B132" s="9"/>
      <c r="C132" s="9"/>
    </row>
    <row r="133" spans="1:6">
      <c r="A133" s="9"/>
      <c r="B133" s="9"/>
      <c r="C133" s="9"/>
    </row>
    <row r="134" spans="1:6">
      <c r="A134" s="9"/>
      <c r="B134" s="9"/>
      <c r="C134" s="9"/>
    </row>
    <row r="135" spans="1:6">
      <c r="B135" s="9"/>
      <c r="C135" s="9"/>
      <c r="D135" s="6"/>
    </row>
    <row r="136" spans="1:6">
      <c r="A136" s="9"/>
      <c r="B136" s="9"/>
      <c r="C136" s="9"/>
    </row>
    <row r="137" spans="1:6">
      <c r="A137" s="9"/>
      <c r="B137" s="9"/>
      <c r="C137" s="9"/>
    </row>
    <row r="138" spans="1:6">
      <c r="A138" s="9"/>
      <c r="B138" s="9"/>
      <c r="C138" s="9"/>
    </row>
    <row r="139" spans="1:6">
      <c r="A139" s="9"/>
      <c r="B139" s="9"/>
      <c r="C139" s="9"/>
    </row>
    <row r="140" spans="1:6">
      <c r="A140" s="9"/>
      <c r="B140" s="9"/>
      <c r="C140" s="9"/>
    </row>
    <row r="141" spans="1:6">
      <c r="B141" s="9"/>
      <c r="C141" s="9"/>
      <c r="F141" s="9"/>
    </row>
    <row r="142" spans="1:6">
      <c r="A142" s="9"/>
      <c r="B142" s="9"/>
      <c r="C142" s="9"/>
      <c r="F142" s="9"/>
    </row>
    <row r="143" spans="1:6">
      <c r="B143" s="9"/>
      <c r="C143" s="9"/>
      <c r="F143" s="9"/>
    </row>
    <row r="144" spans="1:6">
      <c r="A144" s="9"/>
      <c r="B144" s="9"/>
      <c r="C144" s="9"/>
      <c r="F144" s="9"/>
    </row>
    <row r="145" spans="1:3">
      <c r="A145" s="9"/>
      <c r="B145" s="9"/>
      <c r="C145" s="9"/>
    </row>
  </sheetData>
  <sheetProtection algorithmName="SHA-512" hashValue="nowBcbT/7RSI+udhoV6jRV47gGYndDda0C1ocBrf8WYl5W2/ICGOIxJGLgBKqfjaRhkk75EBPTZyitL4sAhKcQ==" saltValue="Bpaf95d5uJDSTSQNWqDNCQ==" spinCount="100000" sheet="1" objects="1" scenarios="1"/>
  <phoneticPr fontId="0" type="noConversion"/>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82"/>
  <sheetViews>
    <sheetView zoomScale="115" zoomScaleNormal="100" workbookViewId="0">
      <selection activeCell="H2" sqref="H2"/>
    </sheetView>
  </sheetViews>
  <sheetFormatPr baseColWidth="10" defaultColWidth="8.83203125" defaultRowHeight="13"/>
  <cols>
    <col min="1" max="1" width="21.1640625" bestFit="1" customWidth="1"/>
    <col min="2" max="2" width="9.5" bestFit="1" customWidth="1"/>
    <col min="3" max="3" width="17.5" bestFit="1" customWidth="1"/>
    <col min="4" max="4" width="9.83203125" customWidth="1"/>
    <col min="5" max="5" width="8.83203125" bestFit="1" customWidth="1"/>
    <col min="6" max="6" width="14.83203125" bestFit="1" customWidth="1"/>
    <col min="7" max="7" width="9.5" bestFit="1" customWidth="1"/>
    <col min="8" max="8" width="13" customWidth="1"/>
    <col min="9" max="9" width="6.1640625" customWidth="1"/>
    <col min="11" max="11" width="11" bestFit="1" customWidth="1"/>
    <col min="12" max="13" width="11.5" bestFit="1" customWidth="1"/>
  </cols>
  <sheetData>
    <row r="1" spans="1:16" s="2" customFormat="1" ht="56">
      <c r="A1" s="4" t="s">
        <v>1760</v>
      </c>
      <c r="B1" s="2" t="s">
        <v>158</v>
      </c>
      <c r="C1" s="4" t="s">
        <v>159</v>
      </c>
      <c r="D1" s="4" t="s">
        <v>160</v>
      </c>
      <c r="E1" s="2" t="s">
        <v>161</v>
      </c>
      <c r="F1" s="4" t="s">
        <v>162</v>
      </c>
      <c r="G1" s="4" t="s">
        <v>163</v>
      </c>
      <c r="H1" s="4" t="s">
        <v>1766</v>
      </c>
      <c r="I1" s="4" t="s">
        <v>164</v>
      </c>
      <c r="J1" s="4"/>
      <c r="K1" s="4"/>
      <c r="L1" s="4"/>
    </row>
    <row r="2" spans="1:16">
      <c r="A2" t="s">
        <v>165</v>
      </c>
      <c r="B2" t="s">
        <v>166</v>
      </c>
      <c r="C2" t="s">
        <v>167</v>
      </c>
      <c r="D2" t="s">
        <v>166</v>
      </c>
      <c r="E2" t="s">
        <v>168</v>
      </c>
      <c r="F2" s="1">
        <v>5.2999999999999999E-2</v>
      </c>
      <c r="G2" s="1">
        <v>0.8</v>
      </c>
      <c r="H2" s="1">
        <f>62.5*1000/(F2*G2*20)</f>
        <v>73702.830188679247</v>
      </c>
      <c r="I2">
        <v>2.5</v>
      </c>
    </row>
    <row r="3" spans="1:16">
      <c r="A3" t="s">
        <v>169</v>
      </c>
      <c r="B3" t="s">
        <v>166</v>
      </c>
      <c r="C3" t="s">
        <v>167</v>
      </c>
      <c r="D3" t="s">
        <v>166</v>
      </c>
      <c r="E3" t="s">
        <v>168</v>
      </c>
      <c r="F3" s="1">
        <v>4.8</v>
      </c>
      <c r="G3" s="1">
        <v>0.8</v>
      </c>
      <c r="H3" s="1">
        <f>62.5*1000/(F3*G3*20)</f>
        <v>813.80208333333337</v>
      </c>
      <c r="I3">
        <v>2</v>
      </c>
      <c r="P3" s="1"/>
    </row>
    <row r="4" spans="1:16">
      <c r="A4" t="s">
        <v>170</v>
      </c>
      <c r="B4" t="s">
        <v>166</v>
      </c>
      <c r="C4" t="s">
        <v>167</v>
      </c>
      <c r="D4" t="s">
        <v>166</v>
      </c>
      <c r="E4" t="s">
        <v>168</v>
      </c>
      <c r="F4" s="1">
        <v>1.5E-3</v>
      </c>
      <c r="G4" s="1">
        <v>0.8</v>
      </c>
      <c r="H4" s="1">
        <f>62.5*1000/(F4*G4*20)</f>
        <v>2604166.6666666665</v>
      </c>
      <c r="I4">
        <v>2</v>
      </c>
    </row>
    <row r="5" spans="1:16">
      <c r="A5" t="s">
        <v>171</v>
      </c>
      <c r="B5" t="s">
        <v>166</v>
      </c>
      <c r="C5" t="s">
        <v>167</v>
      </c>
      <c r="D5" t="s">
        <v>166</v>
      </c>
      <c r="E5" t="s">
        <v>168</v>
      </c>
      <c r="F5" s="1">
        <v>628</v>
      </c>
      <c r="G5" s="1">
        <v>0.14000000000000001</v>
      </c>
      <c r="H5" s="1">
        <f t="shared" ref="H5:H42" si="0">62.5*1000/(F5*G5*20)</f>
        <v>35.543676069153776</v>
      </c>
      <c r="I5">
        <v>3</v>
      </c>
    </row>
    <row r="6" spans="1:16">
      <c r="A6" t="s">
        <v>172</v>
      </c>
      <c r="B6" t="s">
        <v>166</v>
      </c>
      <c r="C6" t="s">
        <v>167</v>
      </c>
      <c r="D6" t="s">
        <v>166</v>
      </c>
      <c r="E6" t="s">
        <v>168</v>
      </c>
      <c r="F6" s="1">
        <v>2.1</v>
      </c>
      <c r="G6" s="1">
        <v>0.5</v>
      </c>
      <c r="H6" s="1">
        <f t="shared" si="0"/>
        <v>2976.1904761904761</v>
      </c>
      <c r="I6">
        <v>4</v>
      </c>
    </row>
    <row r="7" spans="1:16">
      <c r="A7" t="s">
        <v>173</v>
      </c>
      <c r="B7" t="s">
        <v>166</v>
      </c>
      <c r="C7" t="s">
        <v>167</v>
      </c>
      <c r="D7" t="s">
        <v>166</v>
      </c>
      <c r="E7" t="s">
        <v>168</v>
      </c>
      <c r="F7" s="1">
        <v>0.16</v>
      </c>
      <c r="G7" s="1">
        <v>0.8</v>
      </c>
      <c r="H7" s="1">
        <f t="shared" si="0"/>
        <v>24414.0625</v>
      </c>
      <c r="I7">
        <v>2</v>
      </c>
    </row>
    <row r="8" spans="1:16">
      <c r="A8" s="9" t="s">
        <v>174</v>
      </c>
      <c r="B8" t="s">
        <v>166</v>
      </c>
      <c r="C8" t="s">
        <v>167</v>
      </c>
      <c r="D8" t="s">
        <v>166</v>
      </c>
      <c r="E8" t="s">
        <v>168</v>
      </c>
      <c r="F8" s="1">
        <v>25600</v>
      </c>
      <c r="G8" s="1">
        <v>1</v>
      </c>
      <c r="H8" s="1">
        <v>0</v>
      </c>
      <c r="I8">
        <v>1</v>
      </c>
    </row>
    <row r="9" spans="1:16">
      <c r="A9" t="s">
        <v>176</v>
      </c>
      <c r="B9" t="s">
        <v>166</v>
      </c>
      <c r="C9" t="s">
        <v>167</v>
      </c>
      <c r="D9" t="s">
        <v>166</v>
      </c>
      <c r="E9" t="s">
        <v>168</v>
      </c>
      <c r="F9" s="1">
        <v>0.09</v>
      </c>
      <c r="G9" s="1">
        <v>0.35</v>
      </c>
      <c r="H9" s="1">
        <f t="shared" si="0"/>
        <v>99206.349206349201</v>
      </c>
      <c r="I9">
        <v>2</v>
      </c>
      <c r="M9" s="1"/>
    </row>
    <row r="10" spans="1:16">
      <c r="A10" t="s">
        <v>177</v>
      </c>
      <c r="B10" t="s">
        <v>166</v>
      </c>
      <c r="C10" t="s">
        <v>167</v>
      </c>
      <c r="D10" t="s">
        <v>166</v>
      </c>
      <c r="E10" t="s">
        <v>168</v>
      </c>
      <c r="F10" s="1">
        <v>63</v>
      </c>
      <c r="G10" s="1">
        <v>0.8</v>
      </c>
      <c r="H10" s="1">
        <f t="shared" si="0"/>
        <v>62.003968253968246</v>
      </c>
      <c r="I10">
        <v>2</v>
      </c>
    </row>
    <row r="11" spans="1:16">
      <c r="A11" t="s">
        <v>178</v>
      </c>
      <c r="B11" t="s">
        <v>166</v>
      </c>
      <c r="C11" t="s">
        <v>167</v>
      </c>
      <c r="D11" t="s">
        <v>166</v>
      </c>
      <c r="E11" t="s">
        <v>168</v>
      </c>
      <c r="F11" s="1">
        <v>17.3</v>
      </c>
      <c r="G11" s="1">
        <v>0.63</v>
      </c>
      <c r="H11" s="1">
        <f t="shared" si="0"/>
        <v>286.72355261950634</v>
      </c>
      <c r="I11">
        <v>2</v>
      </c>
      <c r="M11" s="1"/>
    </row>
    <row r="12" spans="1:16">
      <c r="A12" t="s">
        <v>179</v>
      </c>
      <c r="B12" t="s">
        <v>166</v>
      </c>
      <c r="C12" t="s">
        <v>167</v>
      </c>
      <c r="D12" t="s">
        <v>166</v>
      </c>
      <c r="E12" t="s">
        <v>168</v>
      </c>
      <c r="F12" s="1">
        <v>92</v>
      </c>
      <c r="G12" s="1">
        <v>0.6</v>
      </c>
      <c r="H12" s="1">
        <f t="shared" si="0"/>
        <v>56.612318840579711</v>
      </c>
      <c r="I12">
        <v>2</v>
      </c>
      <c r="M12" s="1"/>
    </row>
    <row r="13" spans="1:16">
      <c r="A13" t="s">
        <v>180</v>
      </c>
      <c r="B13" t="s">
        <v>166</v>
      </c>
      <c r="C13" t="s">
        <v>167</v>
      </c>
      <c r="D13" t="s">
        <v>166</v>
      </c>
      <c r="E13" t="s">
        <v>168</v>
      </c>
      <c r="F13" s="1">
        <v>4.9000000000000004</v>
      </c>
      <c r="G13" s="1">
        <v>1</v>
      </c>
      <c r="H13" s="1">
        <v>0</v>
      </c>
      <c r="I13">
        <v>1</v>
      </c>
    </row>
    <row r="14" spans="1:16">
      <c r="A14" t="s">
        <v>181</v>
      </c>
      <c r="B14" t="s">
        <v>166</v>
      </c>
      <c r="C14" t="s">
        <v>167</v>
      </c>
      <c r="D14" t="s">
        <v>166</v>
      </c>
      <c r="E14" t="s">
        <v>168</v>
      </c>
      <c r="F14" s="1">
        <v>28</v>
      </c>
      <c r="G14" s="1">
        <v>0.8</v>
      </c>
      <c r="H14" s="1">
        <f t="shared" si="0"/>
        <v>139.50892857142856</v>
      </c>
      <c r="I14">
        <v>2</v>
      </c>
      <c r="O14" s="1"/>
    </row>
    <row r="15" spans="1:16">
      <c r="A15" t="s">
        <v>182</v>
      </c>
      <c r="B15" t="s">
        <v>166</v>
      </c>
      <c r="C15" t="s">
        <v>167</v>
      </c>
      <c r="D15" t="s">
        <v>166</v>
      </c>
      <c r="E15" t="s">
        <v>168</v>
      </c>
      <c r="F15" s="1">
        <v>3.5</v>
      </c>
      <c r="G15" s="1">
        <v>0.8</v>
      </c>
      <c r="H15" s="1">
        <f t="shared" si="0"/>
        <v>1116.0714285714284</v>
      </c>
      <c r="I15">
        <v>2</v>
      </c>
    </row>
    <row r="16" spans="1:16">
      <c r="A16" t="s">
        <v>183</v>
      </c>
      <c r="B16" t="s">
        <v>166</v>
      </c>
      <c r="C16" t="s">
        <v>167</v>
      </c>
      <c r="D16" t="s">
        <v>166</v>
      </c>
      <c r="E16" t="s">
        <v>168</v>
      </c>
      <c r="F16" s="1">
        <v>2.2999999999999998</v>
      </c>
      <c r="G16" s="1">
        <v>0.8</v>
      </c>
      <c r="H16" s="1">
        <f t="shared" si="0"/>
        <v>1698.3695652173915</v>
      </c>
      <c r="I16">
        <v>2</v>
      </c>
    </row>
    <row r="17" spans="1:9">
      <c r="A17" t="s">
        <v>184</v>
      </c>
      <c r="B17" t="s">
        <v>166</v>
      </c>
      <c r="C17" t="s">
        <v>167</v>
      </c>
      <c r="D17" t="s">
        <v>166</v>
      </c>
      <c r="E17" t="s">
        <v>168</v>
      </c>
      <c r="F17" s="1">
        <v>1</v>
      </c>
      <c r="G17" s="1">
        <v>0.8</v>
      </c>
      <c r="H17" s="1">
        <f t="shared" si="0"/>
        <v>3906.25</v>
      </c>
      <c r="I17">
        <v>2</v>
      </c>
    </row>
    <row r="18" spans="1:9">
      <c r="A18" t="s">
        <v>185</v>
      </c>
      <c r="B18" t="s">
        <v>166</v>
      </c>
      <c r="C18" t="s">
        <v>167</v>
      </c>
      <c r="D18" t="s">
        <v>166</v>
      </c>
      <c r="E18" t="s">
        <v>168</v>
      </c>
      <c r="F18" s="1">
        <v>557</v>
      </c>
      <c r="G18" s="1">
        <v>0.8</v>
      </c>
      <c r="H18" s="1">
        <f t="shared" si="0"/>
        <v>7.0130161579892283</v>
      </c>
      <c r="I18">
        <v>3</v>
      </c>
    </row>
    <row r="19" spans="1:9">
      <c r="A19" t="s">
        <v>186</v>
      </c>
      <c r="B19" t="s">
        <v>166</v>
      </c>
      <c r="C19" t="s">
        <v>167</v>
      </c>
      <c r="D19" t="s">
        <v>166</v>
      </c>
      <c r="E19" t="s">
        <v>168</v>
      </c>
      <c r="F19" s="1">
        <v>17.5</v>
      </c>
      <c r="G19" s="1" t="s">
        <v>175</v>
      </c>
      <c r="H19" s="1">
        <f>'Env. goods'!D32</f>
        <v>0.19</v>
      </c>
      <c r="I19">
        <v>2</v>
      </c>
    </row>
    <row r="20" spans="1:9">
      <c r="A20" t="s">
        <v>187</v>
      </c>
      <c r="B20" t="s">
        <v>166</v>
      </c>
      <c r="C20" t="s">
        <v>167</v>
      </c>
      <c r="D20" t="s">
        <v>166</v>
      </c>
      <c r="E20" t="s">
        <v>168</v>
      </c>
      <c r="F20" s="1">
        <v>4</v>
      </c>
      <c r="G20" s="1">
        <v>0.8</v>
      </c>
      <c r="H20" s="1">
        <f t="shared" si="0"/>
        <v>976.5625</v>
      </c>
      <c r="I20">
        <v>2</v>
      </c>
    </row>
    <row r="21" spans="1:9">
      <c r="A21" t="s">
        <v>188</v>
      </c>
      <c r="B21" t="s">
        <v>166</v>
      </c>
      <c r="C21" t="s">
        <v>167</v>
      </c>
      <c r="D21" t="s">
        <v>166</v>
      </c>
      <c r="E21" t="s">
        <v>168</v>
      </c>
      <c r="F21" s="1">
        <v>1.4</v>
      </c>
      <c r="G21" s="1" t="s">
        <v>175</v>
      </c>
      <c r="H21" s="1">
        <v>100000</v>
      </c>
      <c r="I21">
        <v>4</v>
      </c>
    </row>
    <row r="22" spans="1:9">
      <c r="A22" t="s">
        <v>189</v>
      </c>
      <c r="B22" t="s">
        <v>166</v>
      </c>
      <c r="C22" t="s">
        <v>167</v>
      </c>
      <c r="D22" t="s">
        <v>166</v>
      </c>
      <c r="E22" t="s">
        <v>168</v>
      </c>
      <c r="F22" s="1">
        <v>5.3</v>
      </c>
      <c r="G22" s="1">
        <v>0.8</v>
      </c>
      <c r="H22" s="1">
        <f t="shared" si="0"/>
        <v>737.02830188679241</v>
      </c>
      <c r="I22">
        <v>2</v>
      </c>
    </row>
    <row r="23" spans="1:9">
      <c r="A23" t="s">
        <v>190</v>
      </c>
      <c r="B23" t="s">
        <v>166</v>
      </c>
      <c r="C23" t="s">
        <v>167</v>
      </c>
      <c r="D23" t="s">
        <v>166</v>
      </c>
      <c r="E23" t="s">
        <v>168</v>
      </c>
      <c r="F23" s="1">
        <v>0.05</v>
      </c>
      <c r="G23" s="1">
        <v>0.8</v>
      </c>
      <c r="H23" s="1">
        <f t="shared" si="0"/>
        <v>78124.999999999985</v>
      </c>
      <c r="I23">
        <v>2</v>
      </c>
    </row>
    <row r="24" spans="1:9">
      <c r="A24" t="s">
        <v>191</v>
      </c>
      <c r="B24" t="s">
        <v>166</v>
      </c>
      <c r="C24" t="s">
        <v>167</v>
      </c>
      <c r="D24" t="s">
        <v>166</v>
      </c>
      <c r="E24" t="s">
        <v>168</v>
      </c>
      <c r="F24" s="1">
        <v>0.83</v>
      </c>
      <c r="G24" s="1">
        <v>0.8</v>
      </c>
      <c r="H24" s="1">
        <f t="shared" si="0"/>
        <v>4706.325301204819</v>
      </c>
      <c r="I24">
        <v>2</v>
      </c>
    </row>
    <row r="25" spans="1:9">
      <c r="A25" t="s">
        <v>192</v>
      </c>
      <c r="B25" t="s">
        <v>166</v>
      </c>
      <c r="C25" t="s">
        <v>167</v>
      </c>
      <c r="D25" t="s">
        <v>166</v>
      </c>
      <c r="E25" t="s">
        <v>168</v>
      </c>
      <c r="F25" s="1">
        <v>5.6000000000000001E-2</v>
      </c>
      <c r="G25" s="1">
        <v>0.8</v>
      </c>
      <c r="H25" s="1">
        <f t="shared" si="0"/>
        <v>69754.464285714275</v>
      </c>
      <c r="I25">
        <v>2</v>
      </c>
    </row>
    <row r="26" spans="1:9">
      <c r="A26" t="s">
        <v>193</v>
      </c>
      <c r="B26" t="s">
        <v>166</v>
      </c>
      <c r="C26" t="s">
        <v>167</v>
      </c>
      <c r="D26" t="s">
        <v>166</v>
      </c>
      <c r="E26" t="s">
        <v>168</v>
      </c>
      <c r="F26" s="1">
        <v>2.1999999999999999E-5</v>
      </c>
      <c r="G26" s="1">
        <v>0.8</v>
      </c>
      <c r="H26" s="1">
        <f t="shared" si="0"/>
        <v>177556818.18181819</v>
      </c>
      <c r="I26">
        <v>3</v>
      </c>
    </row>
    <row r="27" spans="1:9">
      <c r="A27" t="s">
        <v>194</v>
      </c>
      <c r="B27" t="s">
        <v>166</v>
      </c>
      <c r="C27" t="s">
        <v>167</v>
      </c>
      <c r="D27" t="s">
        <v>166</v>
      </c>
      <c r="E27" t="s">
        <v>168</v>
      </c>
      <c r="F27" s="1">
        <v>31</v>
      </c>
      <c r="G27" s="1">
        <v>0.8</v>
      </c>
      <c r="H27" s="1">
        <f t="shared" si="0"/>
        <v>126.00806451612904</v>
      </c>
      <c r="I27">
        <v>2</v>
      </c>
    </row>
    <row r="28" spans="1:9">
      <c r="A28" t="s">
        <v>195</v>
      </c>
      <c r="B28" t="s">
        <v>166</v>
      </c>
      <c r="C28" t="s">
        <v>167</v>
      </c>
      <c r="D28" t="s">
        <v>166</v>
      </c>
      <c r="E28" t="s">
        <v>168</v>
      </c>
      <c r="F28" s="1">
        <v>24</v>
      </c>
      <c r="G28" s="1">
        <v>0.8</v>
      </c>
      <c r="H28" s="1">
        <v>14</v>
      </c>
      <c r="I28">
        <v>2</v>
      </c>
    </row>
    <row r="29" spans="1:9">
      <c r="A29" t="s">
        <v>196</v>
      </c>
      <c r="B29" t="s">
        <v>166</v>
      </c>
      <c r="C29" t="s">
        <v>167</v>
      </c>
      <c r="D29" t="s">
        <v>166</v>
      </c>
      <c r="E29" t="s">
        <v>168</v>
      </c>
      <c r="F29" s="1">
        <v>0.31</v>
      </c>
      <c r="G29" s="1">
        <v>0.8</v>
      </c>
      <c r="H29" s="1">
        <f t="shared" si="0"/>
        <v>12600.806451612903</v>
      </c>
      <c r="I29">
        <v>2</v>
      </c>
    </row>
    <row r="30" spans="1:9">
      <c r="A30" t="s">
        <v>197</v>
      </c>
      <c r="B30" t="s">
        <v>166</v>
      </c>
      <c r="C30" t="s">
        <v>167</v>
      </c>
      <c r="D30" t="s">
        <v>166</v>
      </c>
      <c r="E30" t="s">
        <v>168</v>
      </c>
      <c r="F30" s="1">
        <v>775</v>
      </c>
      <c r="G30" s="1">
        <v>0.86</v>
      </c>
      <c r="H30" s="1">
        <f t="shared" si="0"/>
        <v>4.6886721680420109</v>
      </c>
      <c r="I30">
        <v>2</v>
      </c>
    </row>
    <row r="31" spans="1:9">
      <c r="A31" t="s">
        <v>198</v>
      </c>
      <c r="B31" t="s">
        <v>166</v>
      </c>
      <c r="C31" t="s">
        <v>167</v>
      </c>
      <c r="D31" t="s">
        <v>166</v>
      </c>
      <c r="E31" t="s">
        <v>168</v>
      </c>
      <c r="F31" s="1">
        <v>1.1000000000000001</v>
      </c>
      <c r="G31" s="1">
        <v>0.8</v>
      </c>
      <c r="H31" s="1">
        <f t="shared" si="0"/>
        <v>3551.1363636363635</v>
      </c>
      <c r="I31">
        <v>2</v>
      </c>
    </row>
    <row r="32" spans="1:9">
      <c r="A32" t="s">
        <v>199</v>
      </c>
      <c r="B32" t="s">
        <v>166</v>
      </c>
      <c r="C32" t="s">
        <v>167</v>
      </c>
      <c r="D32" t="s">
        <v>166</v>
      </c>
      <c r="E32" t="s">
        <v>168</v>
      </c>
      <c r="F32" s="1">
        <v>12</v>
      </c>
      <c r="G32" s="1">
        <v>0.8</v>
      </c>
      <c r="H32" s="1">
        <f t="shared" si="0"/>
        <v>325.52083333333326</v>
      </c>
      <c r="I32">
        <v>2</v>
      </c>
    </row>
    <row r="33" spans="1:13">
      <c r="A33" t="s">
        <v>200</v>
      </c>
      <c r="B33" t="s">
        <v>166</v>
      </c>
      <c r="C33" t="s">
        <v>167</v>
      </c>
      <c r="D33" t="s">
        <v>166</v>
      </c>
      <c r="E33" t="s">
        <v>168</v>
      </c>
      <c r="F33" s="1">
        <v>27</v>
      </c>
      <c r="G33" s="1">
        <v>0.8</v>
      </c>
      <c r="H33" s="1">
        <f t="shared" si="0"/>
        <v>144.67592592592592</v>
      </c>
      <c r="I33">
        <v>2</v>
      </c>
    </row>
    <row r="34" spans="1:13">
      <c r="A34" t="s">
        <v>201</v>
      </c>
      <c r="B34" t="s">
        <v>166</v>
      </c>
      <c r="C34" t="s">
        <v>167</v>
      </c>
      <c r="D34" t="s">
        <v>166</v>
      </c>
      <c r="E34" t="s">
        <v>168</v>
      </c>
      <c r="F34" s="1">
        <v>44</v>
      </c>
      <c r="G34" s="1">
        <v>0.48</v>
      </c>
      <c r="H34" s="1">
        <f t="shared" si="0"/>
        <v>147.96401515151516</v>
      </c>
      <c r="I34">
        <v>2</v>
      </c>
    </row>
    <row r="35" spans="1:13">
      <c r="A35" t="s">
        <v>202</v>
      </c>
      <c r="B35" t="s">
        <v>166</v>
      </c>
      <c r="C35" t="s">
        <v>167</v>
      </c>
      <c r="D35" t="s">
        <v>166</v>
      </c>
      <c r="E35" t="s">
        <v>168</v>
      </c>
      <c r="F35" s="1">
        <v>3.1000000000000001E-5</v>
      </c>
      <c r="G35" s="1">
        <v>0.8</v>
      </c>
      <c r="H35" s="1">
        <f t="shared" si="0"/>
        <v>126008064.51612903</v>
      </c>
      <c r="I35">
        <v>3</v>
      </c>
    </row>
    <row r="36" spans="1:13">
      <c r="A36" t="s">
        <v>203</v>
      </c>
      <c r="B36" t="s">
        <v>166</v>
      </c>
      <c r="C36" t="s">
        <v>167</v>
      </c>
      <c r="D36" t="s">
        <v>166</v>
      </c>
      <c r="E36" t="s">
        <v>168</v>
      </c>
      <c r="F36" s="1">
        <v>655</v>
      </c>
      <c r="G36" s="1">
        <v>0.8</v>
      </c>
      <c r="H36" s="1">
        <f t="shared" si="0"/>
        <v>5.9637404580152671</v>
      </c>
      <c r="I36">
        <v>2</v>
      </c>
      <c r="M36" s="1"/>
    </row>
    <row r="37" spans="1:13">
      <c r="A37" t="s">
        <v>204</v>
      </c>
      <c r="B37" t="s">
        <v>166</v>
      </c>
      <c r="C37" t="s">
        <v>167</v>
      </c>
      <c r="D37" t="s">
        <v>166</v>
      </c>
      <c r="E37" t="s">
        <v>168</v>
      </c>
      <c r="F37" s="1">
        <v>17</v>
      </c>
      <c r="G37" s="1">
        <v>0.37</v>
      </c>
      <c r="H37" s="1">
        <f t="shared" si="0"/>
        <v>496.82034976152624</v>
      </c>
      <c r="I37">
        <v>2</v>
      </c>
    </row>
    <row r="38" spans="1:13">
      <c r="A38" t="s">
        <v>205</v>
      </c>
      <c r="B38" t="s">
        <v>166</v>
      </c>
      <c r="C38" t="s">
        <v>167</v>
      </c>
      <c r="D38" t="s">
        <v>166</v>
      </c>
      <c r="E38" t="s">
        <v>168</v>
      </c>
      <c r="F38" s="1">
        <v>5.1999999999999995E-4</v>
      </c>
      <c r="G38" s="1">
        <v>0.8</v>
      </c>
      <c r="H38" s="1">
        <f>(U235_orevalue*0.041+H54*0.927)/((0.002125)*3)</f>
        <v>1383332.0365183109</v>
      </c>
      <c r="I38">
        <v>3</v>
      </c>
    </row>
    <row r="39" spans="1:13">
      <c r="A39" t="s">
        <v>206</v>
      </c>
      <c r="B39" t="s">
        <v>166</v>
      </c>
      <c r="C39" t="s">
        <v>167</v>
      </c>
      <c r="D39" t="s">
        <v>166</v>
      </c>
      <c r="E39" t="s">
        <v>168</v>
      </c>
      <c r="F39" s="1">
        <v>7.1</v>
      </c>
      <c r="G39" s="1">
        <v>0.8</v>
      </c>
      <c r="H39" s="1">
        <f t="shared" si="0"/>
        <v>550.17605633802816</v>
      </c>
      <c r="I39">
        <v>2</v>
      </c>
    </row>
    <row r="40" spans="1:13">
      <c r="A40" t="s">
        <v>207</v>
      </c>
      <c r="B40" t="s">
        <v>166</v>
      </c>
      <c r="C40" t="s">
        <v>167</v>
      </c>
      <c r="D40" t="s">
        <v>166</v>
      </c>
      <c r="E40" t="s">
        <v>168</v>
      </c>
      <c r="F40" s="1">
        <v>5.0000000000000001E-4</v>
      </c>
      <c r="G40" s="1">
        <v>0.8</v>
      </c>
      <c r="H40" s="1">
        <f t="shared" si="0"/>
        <v>7812500</v>
      </c>
      <c r="I40">
        <v>3</v>
      </c>
    </row>
    <row r="41" spans="1:13">
      <c r="A41" t="s">
        <v>208</v>
      </c>
      <c r="B41" t="s">
        <v>166</v>
      </c>
      <c r="C41" t="s">
        <v>167</v>
      </c>
      <c r="D41" t="s">
        <v>166</v>
      </c>
      <c r="E41" t="s">
        <v>168</v>
      </c>
      <c r="F41" s="1">
        <v>84</v>
      </c>
      <c r="G41" s="1" t="s">
        <v>175</v>
      </c>
      <c r="H41" s="1">
        <v>0</v>
      </c>
      <c r="I41">
        <v>1</v>
      </c>
    </row>
    <row r="42" spans="1:13">
      <c r="A42" t="s">
        <v>209</v>
      </c>
      <c r="B42" t="s">
        <v>166</v>
      </c>
      <c r="C42" t="s">
        <v>167</v>
      </c>
      <c r="D42" t="s">
        <v>166</v>
      </c>
      <c r="E42" t="s">
        <v>168</v>
      </c>
      <c r="F42" s="1">
        <v>1.9799999999999999E-4</v>
      </c>
      <c r="G42" s="1">
        <v>0.8</v>
      </c>
      <c r="H42" s="1">
        <f t="shared" si="0"/>
        <v>19728535.353535354</v>
      </c>
      <c r="I42">
        <v>3</v>
      </c>
    </row>
    <row r="43" spans="1:13">
      <c r="A43" t="s">
        <v>210</v>
      </c>
      <c r="B43" t="s">
        <v>166</v>
      </c>
      <c r="C43" t="s">
        <v>167</v>
      </c>
      <c r="D43" t="s">
        <v>166</v>
      </c>
      <c r="E43" t="s">
        <v>168</v>
      </c>
      <c r="F43" s="1">
        <v>1.8E-5</v>
      </c>
      <c r="G43" s="1" t="s">
        <v>175</v>
      </c>
      <c r="H43" s="1">
        <f>(U235_orevalue*0.041+H59*0.927)/((0.00054)*3)</f>
        <v>13571246.607814349</v>
      </c>
      <c r="I43">
        <v>3</v>
      </c>
    </row>
    <row r="44" spans="1:13">
      <c r="A44" t="s">
        <v>211</v>
      </c>
      <c r="B44" t="s">
        <v>166</v>
      </c>
      <c r="C44" t="s">
        <v>167</v>
      </c>
      <c r="D44" t="s">
        <v>166</v>
      </c>
      <c r="E44" t="s">
        <v>168</v>
      </c>
      <c r="F44" s="1">
        <v>3.4000000000000002E-4</v>
      </c>
      <c r="G44" s="1" t="s">
        <v>175</v>
      </c>
      <c r="H44" s="1">
        <f>(U235_orevalue*0.041+H59*0.927)/((0.00121)*3)</f>
        <v>6056589.395222933</v>
      </c>
      <c r="I44">
        <v>3</v>
      </c>
    </row>
    <row r="45" spans="1:13">
      <c r="A45" t="s">
        <v>212</v>
      </c>
      <c r="B45" t="s">
        <v>166</v>
      </c>
      <c r="C45" t="s">
        <v>167</v>
      </c>
      <c r="D45" t="s">
        <v>166</v>
      </c>
      <c r="E45" t="s">
        <v>168</v>
      </c>
      <c r="F45" s="1">
        <v>0.4</v>
      </c>
      <c r="G45" s="1">
        <v>0.8</v>
      </c>
      <c r="H45" s="1">
        <f t="shared" ref="H45:H46" si="1">62.5*1000/(F45*G45*20)</f>
        <v>9765.6249999999982</v>
      </c>
      <c r="I45">
        <v>2</v>
      </c>
    </row>
    <row r="46" spans="1:13">
      <c r="A46" t="s">
        <v>213</v>
      </c>
      <c r="B46" t="s">
        <v>166</v>
      </c>
      <c r="C46" t="s">
        <v>167</v>
      </c>
      <c r="D46" t="s">
        <v>166</v>
      </c>
      <c r="E46" t="s">
        <v>168</v>
      </c>
      <c r="F46" s="1">
        <v>14</v>
      </c>
      <c r="G46" s="1">
        <v>0.8</v>
      </c>
      <c r="H46" s="1">
        <f t="shared" si="1"/>
        <v>279.01785714285711</v>
      </c>
      <c r="I46">
        <v>2</v>
      </c>
    </row>
    <row r="47" spans="1:13">
      <c r="A47" t="s">
        <v>214</v>
      </c>
      <c r="B47" t="s">
        <v>166</v>
      </c>
      <c r="C47" t="s">
        <v>167</v>
      </c>
      <c r="D47" t="s">
        <v>166</v>
      </c>
      <c r="E47" t="s">
        <v>168</v>
      </c>
      <c r="F47" s="1">
        <v>0.09</v>
      </c>
      <c r="G47" s="1" t="s">
        <v>175</v>
      </c>
      <c r="H47" s="1">
        <v>56</v>
      </c>
      <c r="I47">
        <v>5</v>
      </c>
    </row>
    <row r="48" spans="1:13">
      <c r="A48" t="s">
        <v>215</v>
      </c>
      <c r="B48" t="s">
        <v>166</v>
      </c>
      <c r="C48" t="s">
        <v>167</v>
      </c>
      <c r="D48" t="s">
        <v>166</v>
      </c>
      <c r="E48" t="s">
        <v>168</v>
      </c>
      <c r="F48" s="1">
        <v>4.7</v>
      </c>
      <c r="G48" s="1">
        <v>0.8</v>
      </c>
      <c r="H48" s="1">
        <f t="shared" ref="H48:H49" si="2">62.5*1000/(F48*G48*20)</f>
        <v>831.11702127659566</v>
      </c>
      <c r="I48">
        <v>2</v>
      </c>
    </row>
    <row r="49" spans="1:9">
      <c r="A49" t="s">
        <v>216</v>
      </c>
      <c r="B49" t="s">
        <v>166</v>
      </c>
      <c r="C49" t="s">
        <v>167</v>
      </c>
      <c r="D49" t="s">
        <v>166</v>
      </c>
      <c r="E49" t="s">
        <v>168</v>
      </c>
      <c r="F49" s="1">
        <v>2.1</v>
      </c>
      <c r="G49" s="1">
        <v>0.75</v>
      </c>
      <c r="H49" s="1">
        <f t="shared" si="2"/>
        <v>1984.1269841269839</v>
      </c>
      <c r="I49">
        <v>2</v>
      </c>
    </row>
    <row r="50" spans="1:9">
      <c r="A50" t="s">
        <v>217</v>
      </c>
      <c r="B50" t="s">
        <v>166</v>
      </c>
      <c r="C50" t="s">
        <v>167</v>
      </c>
      <c r="D50" t="s">
        <v>166</v>
      </c>
      <c r="E50" t="s">
        <v>168</v>
      </c>
      <c r="F50" s="1">
        <v>320</v>
      </c>
      <c r="G50" s="1" t="s">
        <v>175</v>
      </c>
      <c r="H50" s="1">
        <v>0</v>
      </c>
      <c r="I50">
        <v>1</v>
      </c>
    </row>
    <row r="51" spans="1:9">
      <c r="A51" t="s">
        <v>218</v>
      </c>
      <c r="B51" t="s">
        <v>166</v>
      </c>
      <c r="C51" t="s">
        <v>167</v>
      </c>
      <c r="D51" t="s">
        <v>166</v>
      </c>
      <c r="E51" t="s">
        <v>168</v>
      </c>
      <c r="F51" s="1">
        <v>0.9</v>
      </c>
      <c r="G51" s="1">
        <v>0.8</v>
      </c>
      <c r="H51" s="1">
        <f t="shared" ref="H51:H65" si="3">62.5*1000/(F51*G51*20)</f>
        <v>4340.2777777777774</v>
      </c>
      <c r="I51">
        <v>2</v>
      </c>
    </row>
    <row r="52" spans="1:9">
      <c r="A52" t="s">
        <v>219</v>
      </c>
      <c r="B52" t="s">
        <v>166</v>
      </c>
      <c r="C52" t="s">
        <v>167</v>
      </c>
      <c r="D52" t="s">
        <v>166</v>
      </c>
      <c r="E52" t="s">
        <v>168</v>
      </c>
      <c r="F52" s="1">
        <v>0.7</v>
      </c>
      <c r="G52" s="1">
        <v>0.8</v>
      </c>
      <c r="H52" s="1">
        <f t="shared" si="3"/>
        <v>5580.3571428571431</v>
      </c>
      <c r="I52">
        <v>2</v>
      </c>
    </row>
    <row r="53" spans="1:9">
      <c r="A53" t="s">
        <v>220</v>
      </c>
      <c r="B53" t="s">
        <v>166</v>
      </c>
      <c r="C53" t="s">
        <v>167</v>
      </c>
      <c r="D53" t="s">
        <v>166</v>
      </c>
      <c r="E53" t="s">
        <v>168</v>
      </c>
      <c r="F53" s="1">
        <v>1E-3</v>
      </c>
      <c r="G53" s="1">
        <v>0.8</v>
      </c>
      <c r="H53" s="1">
        <f t="shared" si="3"/>
        <v>3906250</v>
      </c>
      <c r="I53">
        <v>3</v>
      </c>
    </row>
    <row r="54" spans="1:9">
      <c r="A54" t="s">
        <v>221</v>
      </c>
      <c r="B54" t="s">
        <v>166</v>
      </c>
      <c r="C54" t="s">
        <v>167</v>
      </c>
      <c r="D54" t="s">
        <v>166</v>
      </c>
      <c r="E54" t="s">
        <v>168</v>
      </c>
      <c r="F54" s="1">
        <v>10.5</v>
      </c>
      <c r="G54" s="1">
        <v>0.8</v>
      </c>
      <c r="H54" s="1">
        <f t="shared" si="3"/>
        <v>372.02380952380952</v>
      </c>
      <c r="I54">
        <v>2</v>
      </c>
    </row>
    <row r="55" spans="1:9">
      <c r="A55" t="s">
        <v>222</v>
      </c>
      <c r="B55" t="s">
        <v>166</v>
      </c>
      <c r="C55" t="s">
        <v>167</v>
      </c>
      <c r="D55" t="s">
        <v>166</v>
      </c>
      <c r="E55" t="s">
        <v>168</v>
      </c>
      <c r="F55" s="1">
        <v>3830</v>
      </c>
      <c r="G55" s="1">
        <v>0.8</v>
      </c>
      <c r="H55" s="1">
        <f t="shared" si="3"/>
        <v>1.0199086161879896</v>
      </c>
      <c r="I55">
        <v>2</v>
      </c>
    </row>
    <row r="56" spans="1:9">
      <c r="A56" t="s">
        <v>223</v>
      </c>
      <c r="B56" t="s">
        <v>166</v>
      </c>
      <c r="C56" t="s">
        <v>167</v>
      </c>
      <c r="D56" t="s">
        <v>166</v>
      </c>
      <c r="E56" t="s">
        <v>168</v>
      </c>
      <c r="F56" s="1">
        <v>0.9</v>
      </c>
      <c r="G56" s="1">
        <v>0.8</v>
      </c>
      <c r="H56" s="1">
        <f t="shared" si="3"/>
        <v>4340.2777777777774</v>
      </c>
      <c r="I56">
        <v>3</v>
      </c>
    </row>
    <row r="57" spans="1:9">
      <c r="A57" t="s">
        <v>224</v>
      </c>
      <c r="B57" t="s">
        <v>166</v>
      </c>
      <c r="C57" t="s">
        <v>167</v>
      </c>
      <c r="D57" t="s">
        <v>166</v>
      </c>
      <c r="E57" t="s">
        <v>168</v>
      </c>
      <c r="F57" s="1">
        <v>0.3</v>
      </c>
      <c r="G57" s="1">
        <v>0.8</v>
      </c>
      <c r="H57" s="1">
        <f t="shared" si="3"/>
        <v>13020.833333333334</v>
      </c>
      <c r="I57">
        <v>2</v>
      </c>
    </row>
    <row r="58" spans="1:9">
      <c r="A58" t="s">
        <v>225</v>
      </c>
      <c r="B58" t="s">
        <v>166</v>
      </c>
      <c r="C58" t="s">
        <v>167</v>
      </c>
      <c r="D58" t="s">
        <v>166</v>
      </c>
      <c r="E58" t="s">
        <v>168</v>
      </c>
      <c r="F58" s="1">
        <v>1.89E-2</v>
      </c>
      <c r="G58" s="1">
        <v>0.8</v>
      </c>
      <c r="H58" s="1">
        <f t="shared" si="3"/>
        <v>206679.89417989418</v>
      </c>
      <c r="I58">
        <v>2</v>
      </c>
    </row>
    <row r="59" spans="1:9">
      <c r="A59" t="s">
        <v>226</v>
      </c>
      <c r="B59" t="s">
        <v>166</v>
      </c>
      <c r="C59" t="s">
        <v>167</v>
      </c>
      <c r="D59" t="s">
        <v>166</v>
      </c>
      <c r="E59" t="s">
        <v>168</v>
      </c>
      <c r="F59" s="1">
        <f>0.268</f>
        <v>0.26800000000000002</v>
      </c>
      <c r="G59" s="1">
        <v>0.8</v>
      </c>
      <c r="H59" s="1">
        <f t="shared" si="3"/>
        <v>14575.559701492537</v>
      </c>
      <c r="I59">
        <v>2</v>
      </c>
    </row>
    <row r="60" spans="1:9">
      <c r="A60" t="s">
        <v>227</v>
      </c>
      <c r="B60" t="s">
        <v>166</v>
      </c>
      <c r="C60" t="s">
        <v>167</v>
      </c>
      <c r="D60" t="s">
        <v>166</v>
      </c>
      <c r="E60" t="s">
        <v>168</v>
      </c>
      <c r="F60" s="1">
        <v>1.9</v>
      </c>
      <c r="G60" s="1">
        <v>0.26</v>
      </c>
      <c r="H60" s="1">
        <f t="shared" si="3"/>
        <v>6325.9109311740895</v>
      </c>
      <c r="I60">
        <v>3</v>
      </c>
    </row>
    <row r="61" spans="1:9">
      <c r="A61" t="s">
        <v>228</v>
      </c>
      <c r="B61" t="s">
        <v>166</v>
      </c>
      <c r="C61" t="s">
        <v>167</v>
      </c>
      <c r="D61" t="s">
        <v>166</v>
      </c>
      <c r="E61" t="s">
        <v>168</v>
      </c>
      <c r="F61" s="1">
        <v>97</v>
      </c>
      <c r="G61" s="1">
        <v>0.8</v>
      </c>
      <c r="H61" s="1">
        <f t="shared" si="3"/>
        <v>40.270618556701024</v>
      </c>
      <c r="I61">
        <v>2</v>
      </c>
    </row>
    <row r="62" spans="1:9">
      <c r="A62" t="s">
        <v>229</v>
      </c>
      <c r="B62" t="s">
        <v>166</v>
      </c>
      <c r="C62" t="s">
        <v>167</v>
      </c>
      <c r="D62" t="s">
        <v>166</v>
      </c>
      <c r="E62" t="s">
        <v>168</v>
      </c>
      <c r="F62" s="1">
        <v>21</v>
      </c>
      <c r="G62" s="1">
        <v>0.8</v>
      </c>
      <c r="H62" s="1">
        <f t="shared" si="3"/>
        <v>186.01190476190476</v>
      </c>
      <c r="I62">
        <v>2</v>
      </c>
    </row>
    <row r="63" spans="1:9">
      <c r="A63" t="s">
        <v>230</v>
      </c>
      <c r="B63" t="s">
        <v>166</v>
      </c>
      <c r="C63" t="s">
        <v>167</v>
      </c>
      <c r="D63" t="s">
        <v>166</v>
      </c>
      <c r="E63" t="s">
        <v>168</v>
      </c>
      <c r="F63" s="1">
        <v>1.96</v>
      </c>
      <c r="G63" s="1">
        <v>0.8</v>
      </c>
      <c r="H63" s="1">
        <f t="shared" si="3"/>
        <v>1992.9846938775511</v>
      </c>
      <c r="I63">
        <v>2</v>
      </c>
    </row>
    <row r="64" spans="1:9">
      <c r="A64" t="s">
        <v>231</v>
      </c>
      <c r="B64" t="s">
        <v>166</v>
      </c>
      <c r="C64" t="s">
        <v>167</v>
      </c>
      <c r="D64" t="s">
        <v>166</v>
      </c>
      <c r="E64" t="s">
        <v>168</v>
      </c>
      <c r="F64" s="1">
        <v>67</v>
      </c>
      <c r="G64" s="1">
        <v>0.94</v>
      </c>
      <c r="H64" s="1">
        <f t="shared" si="3"/>
        <v>49.618926643378856</v>
      </c>
      <c r="I64">
        <v>2</v>
      </c>
    </row>
    <row r="65" spans="1:13">
      <c r="A65" t="s">
        <v>232</v>
      </c>
      <c r="B65" t="s">
        <v>166</v>
      </c>
      <c r="C65" t="s">
        <v>167</v>
      </c>
      <c r="D65" t="s">
        <v>166</v>
      </c>
      <c r="E65" t="s">
        <v>168</v>
      </c>
      <c r="F65" s="1">
        <v>193</v>
      </c>
      <c r="G65" s="1">
        <v>0.5</v>
      </c>
      <c r="H65" s="1">
        <f t="shared" si="3"/>
        <v>32.383419689119172</v>
      </c>
      <c r="I65">
        <v>3</v>
      </c>
    </row>
    <row r="67" spans="1:13">
      <c r="A67" s="9" t="s">
        <v>233</v>
      </c>
      <c r="B67" t="s">
        <v>166</v>
      </c>
      <c r="C67" t="s">
        <v>167</v>
      </c>
      <c r="D67" t="s">
        <v>166</v>
      </c>
      <c r="E67" t="s">
        <v>168</v>
      </c>
      <c r="F67" s="1">
        <v>17</v>
      </c>
      <c r="G67" s="9" t="s">
        <v>175</v>
      </c>
      <c r="H67">
        <v>10.6</v>
      </c>
      <c r="I67">
        <v>2</v>
      </c>
      <c r="M67" s="9" t="s">
        <v>234</v>
      </c>
    </row>
    <row r="68" spans="1:13">
      <c r="A68" s="9" t="s">
        <v>235</v>
      </c>
      <c r="B68" t="s">
        <v>166</v>
      </c>
      <c r="C68" t="s">
        <v>167</v>
      </c>
      <c r="D68" t="s">
        <v>166</v>
      </c>
      <c r="E68" t="s">
        <v>168</v>
      </c>
      <c r="F68" s="1">
        <v>67.3</v>
      </c>
      <c r="H68">
        <v>0</v>
      </c>
      <c r="I68">
        <v>1</v>
      </c>
    </row>
    <row r="69" spans="1:13">
      <c r="A69" s="9" t="s">
        <v>236</v>
      </c>
      <c r="B69" t="s">
        <v>166</v>
      </c>
      <c r="C69" t="s">
        <v>167</v>
      </c>
      <c r="D69" t="s">
        <v>166</v>
      </c>
      <c r="E69" t="s">
        <v>168</v>
      </c>
      <c r="F69" s="1">
        <v>108000</v>
      </c>
      <c r="G69" s="1"/>
      <c r="H69">
        <v>0</v>
      </c>
      <c r="I69">
        <v>1</v>
      </c>
    </row>
    <row r="70" spans="1:13">
      <c r="A70" s="9" t="s">
        <v>237</v>
      </c>
      <c r="B70" t="s">
        <v>166</v>
      </c>
      <c r="C70" t="s">
        <v>167</v>
      </c>
      <c r="D70" t="s">
        <v>166</v>
      </c>
      <c r="E70" t="s">
        <v>168</v>
      </c>
      <c r="F70" s="1">
        <v>10800</v>
      </c>
      <c r="G70" s="1"/>
      <c r="H70">
        <v>0</v>
      </c>
      <c r="I70">
        <v>1</v>
      </c>
    </row>
    <row r="71" spans="1:13">
      <c r="A71" s="9" t="s">
        <v>238</v>
      </c>
      <c r="B71" t="s">
        <v>166</v>
      </c>
      <c r="C71" t="s">
        <v>167</v>
      </c>
      <c r="D71" t="s">
        <v>166</v>
      </c>
      <c r="E71" t="s">
        <v>168</v>
      </c>
      <c r="F71" s="1">
        <v>399</v>
      </c>
      <c r="G71" s="1"/>
      <c r="H71">
        <v>0</v>
      </c>
      <c r="I71">
        <v>1</v>
      </c>
    </row>
    <row r="72" spans="1:13">
      <c r="A72" s="9" t="s">
        <v>239</v>
      </c>
      <c r="B72" t="s">
        <v>166</v>
      </c>
      <c r="C72" t="s">
        <v>167</v>
      </c>
      <c r="D72" t="s">
        <v>166</v>
      </c>
      <c r="E72" t="s">
        <v>168</v>
      </c>
      <c r="F72" s="1">
        <v>1290</v>
      </c>
      <c r="G72" s="1"/>
      <c r="H72">
        <v>0</v>
      </c>
      <c r="I72">
        <v>1</v>
      </c>
    </row>
    <row r="73" spans="1:13">
      <c r="A73" s="9" t="s">
        <v>240</v>
      </c>
      <c r="B73" t="s">
        <v>166</v>
      </c>
      <c r="C73" t="s">
        <v>167</v>
      </c>
      <c r="D73" t="s">
        <v>166</v>
      </c>
      <c r="E73" t="s">
        <v>168</v>
      </c>
      <c r="F73" s="1">
        <v>905</v>
      </c>
      <c r="G73" s="1"/>
      <c r="H73">
        <v>0.2</v>
      </c>
      <c r="I73">
        <v>2</v>
      </c>
    </row>
    <row r="74" spans="1:13">
      <c r="A74" s="9" t="s">
        <v>241</v>
      </c>
      <c r="B74" t="s">
        <v>166</v>
      </c>
      <c r="C74" t="s">
        <v>167</v>
      </c>
      <c r="D74" t="s">
        <v>166</v>
      </c>
      <c r="E74" t="s">
        <v>168</v>
      </c>
      <c r="F74" s="1"/>
      <c r="G74" s="1"/>
      <c r="H74">
        <v>0</v>
      </c>
      <c r="I74">
        <v>1</v>
      </c>
    </row>
    <row r="75" spans="1:13">
      <c r="A75" s="9" t="s">
        <v>242</v>
      </c>
      <c r="B75" t="s">
        <v>166</v>
      </c>
      <c r="C75" t="s">
        <v>167</v>
      </c>
      <c r="D75" t="s">
        <v>166</v>
      </c>
      <c r="E75" t="s">
        <v>168</v>
      </c>
      <c r="H75">
        <v>31.8</v>
      </c>
      <c r="I75">
        <v>3</v>
      </c>
    </row>
    <row r="76" spans="1:13">
      <c r="A76" s="9" t="s">
        <v>243</v>
      </c>
      <c r="B76" t="s">
        <v>166</v>
      </c>
      <c r="C76" t="s">
        <v>167</v>
      </c>
      <c r="D76" t="s">
        <v>166</v>
      </c>
      <c r="E76" t="s">
        <v>168</v>
      </c>
      <c r="F76" s="1">
        <v>19400</v>
      </c>
      <c r="G76" s="1"/>
      <c r="H76">
        <v>0</v>
      </c>
      <c r="I76">
        <v>1</v>
      </c>
    </row>
    <row r="78" spans="1:13">
      <c r="A78" s="9" t="s">
        <v>244</v>
      </c>
      <c r="B78" t="s">
        <v>166</v>
      </c>
      <c r="C78" t="s">
        <v>167</v>
      </c>
      <c r="D78" t="s">
        <v>166</v>
      </c>
      <c r="E78" t="s">
        <v>245</v>
      </c>
      <c r="H78">
        <v>0</v>
      </c>
      <c r="I78">
        <v>1</v>
      </c>
    </row>
    <row r="79" spans="1:13">
      <c r="A79" s="9" t="s">
        <v>246</v>
      </c>
      <c r="B79" t="s">
        <v>166</v>
      </c>
      <c r="C79" t="s">
        <v>167</v>
      </c>
      <c r="D79" t="s">
        <v>166</v>
      </c>
      <c r="E79" t="s">
        <v>245</v>
      </c>
      <c r="H79">
        <v>0</v>
      </c>
      <c r="I79">
        <v>1</v>
      </c>
    </row>
    <row r="80" spans="1:13">
      <c r="A80" s="9" t="s">
        <v>247</v>
      </c>
      <c r="B80" t="s">
        <v>166</v>
      </c>
      <c r="C80" t="s">
        <v>167</v>
      </c>
      <c r="D80" t="s">
        <v>166</v>
      </c>
      <c r="E80" t="s">
        <v>245</v>
      </c>
      <c r="H80">
        <v>0</v>
      </c>
      <c r="I80">
        <v>1</v>
      </c>
    </row>
    <row r="81" spans="1:9">
      <c r="A81" s="9" t="s">
        <v>248</v>
      </c>
      <c r="B81" t="s">
        <v>166</v>
      </c>
      <c r="C81" t="s">
        <v>167</v>
      </c>
      <c r="D81" t="s">
        <v>166</v>
      </c>
      <c r="E81" t="s">
        <v>245</v>
      </c>
      <c r="H81">
        <v>0</v>
      </c>
      <c r="I81">
        <v>1</v>
      </c>
    </row>
    <row r="82" spans="1:9">
      <c r="A82" s="9" t="s">
        <v>249</v>
      </c>
      <c r="B82" t="s">
        <v>166</v>
      </c>
      <c r="C82" t="s">
        <v>167</v>
      </c>
      <c r="D82" t="s">
        <v>166</v>
      </c>
      <c r="E82" t="s">
        <v>245</v>
      </c>
      <c r="H82">
        <v>0</v>
      </c>
      <c r="I82">
        <v>1</v>
      </c>
    </row>
  </sheetData>
  <phoneticPr fontId="0" type="noConversion"/>
  <pageMargins left="0.75" right="0.75" top="1" bottom="1" header="0.5" footer="0.5"/>
  <pageSetup paperSize="9" orientation="portrait"/>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L223"/>
  <sheetViews>
    <sheetView zoomScale="105" zoomScaleNormal="70" workbookViewId="0">
      <pane xSplit="1" ySplit="1" topLeftCell="B2" activePane="bottomRight" state="frozenSplit"/>
      <selection pane="topRight" activeCell="T43" sqref="T43"/>
      <selection pane="bottomLeft" activeCell="T43" sqref="T43"/>
      <selection pane="bottomRight" activeCell="L173" activeCellId="12" sqref="G143 F145:G156 J145:J156 L145:L157 F159:G170 J159:J170 L159:L171 F174:G184 H175:H178 H180:H183 H184 J173:J184 L173:L185"/>
    </sheetView>
  </sheetViews>
  <sheetFormatPr baseColWidth="10" defaultColWidth="11.5" defaultRowHeight="13"/>
  <cols>
    <col min="1" max="1" width="10.6640625" style="34" customWidth="1"/>
    <col min="2" max="2" width="9.83203125" style="34" customWidth="1"/>
    <col min="3" max="3" width="14.5" style="34" customWidth="1"/>
    <col min="4" max="4" width="11.5" style="34" customWidth="1"/>
    <col min="5" max="5" width="18.83203125" style="34" bestFit="1" customWidth="1"/>
    <col min="6" max="6" width="10.6640625" style="34" customWidth="1"/>
    <col min="7" max="7" width="12.6640625" style="34" customWidth="1"/>
    <col min="8" max="8" width="13.1640625" style="34" customWidth="1"/>
    <col min="9" max="9" width="11.83203125" style="34" customWidth="1"/>
    <col min="10" max="10" width="14.5" style="34" customWidth="1"/>
    <col min="11" max="11" width="12.5" style="34" customWidth="1"/>
    <col min="12" max="12" width="13.5" style="38" customWidth="1"/>
    <col min="13" max="16384" width="11.5" style="34"/>
  </cols>
  <sheetData>
    <row r="1" spans="1:12" s="62" customFormat="1" ht="54" customHeight="1">
      <c r="A1" s="61" t="s">
        <v>1761</v>
      </c>
      <c r="B1" s="61" t="s">
        <v>158</v>
      </c>
      <c r="C1" s="61" t="s">
        <v>251</v>
      </c>
      <c r="D1" s="62" t="s">
        <v>252</v>
      </c>
      <c r="E1" s="62" t="s">
        <v>161</v>
      </c>
      <c r="F1" s="61" t="s">
        <v>1740</v>
      </c>
      <c r="G1" s="61" t="s">
        <v>253</v>
      </c>
      <c r="H1" s="61" t="s">
        <v>254</v>
      </c>
      <c r="I1" s="61" t="s">
        <v>255</v>
      </c>
      <c r="J1" s="61" t="s">
        <v>256</v>
      </c>
      <c r="K1" s="61" t="s">
        <v>1762</v>
      </c>
      <c r="L1" s="63" t="s">
        <v>1767</v>
      </c>
    </row>
    <row r="2" spans="1:12">
      <c r="L2" s="77"/>
    </row>
    <row r="3" spans="1:12">
      <c r="A3" s="34" t="s">
        <v>14</v>
      </c>
      <c r="B3" s="34" t="s">
        <v>11</v>
      </c>
      <c r="C3" s="34" t="s">
        <v>257</v>
      </c>
      <c r="D3" s="42" t="s">
        <v>139</v>
      </c>
      <c r="E3" s="42" t="s">
        <v>258</v>
      </c>
      <c r="F3" s="35">
        <v>11250000</v>
      </c>
      <c r="G3" s="34">
        <v>2</v>
      </c>
      <c r="H3" s="35">
        <f>0.785/2469000000000000</f>
        <v>3.1794248683677603E-16</v>
      </c>
      <c r="I3" s="34">
        <v>1.2</v>
      </c>
      <c r="J3" s="74">
        <f>F3*H3</f>
        <v>3.5768529769137306E-9</v>
      </c>
      <c r="L3" s="76">
        <f>J3*YLLvalue</f>
        <v>3.2692436208991499E-4</v>
      </c>
    </row>
    <row r="4" spans="1:12">
      <c r="A4" s="34" t="s">
        <v>14</v>
      </c>
      <c r="B4" s="34" t="s">
        <v>11</v>
      </c>
      <c r="C4" s="34" t="s">
        <v>257</v>
      </c>
      <c r="D4" s="42" t="s">
        <v>139</v>
      </c>
      <c r="E4" s="42" t="s">
        <v>259</v>
      </c>
      <c r="F4" s="35">
        <v>-1380000000</v>
      </c>
      <c r="G4" s="34">
        <v>2</v>
      </c>
      <c r="H4" s="74">
        <f>H3</f>
        <v>3.1794248683677603E-16</v>
      </c>
      <c r="I4" s="75">
        <f>I3</f>
        <v>1.2</v>
      </c>
      <c r="J4" s="74">
        <f>F4*H4</f>
        <v>-4.3876063183475092E-7</v>
      </c>
      <c r="L4" s="76">
        <f>J4*YLLvalue</f>
        <v>-4.0102721749696237E-2</v>
      </c>
    </row>
    <row r="5" spans="1:12">
      <c r="A5" s="34" t="s">
        <v>14</v>
      </c>
      <c r="B5" s="34" t="s">
        <v>11</v>
      </c>
      <c r="C5" s="34" t="s">
        <v>257</v>
      </c>
      <c r="D5" s="42" t="s">
        <v>139</v>
      </c>
      <c r="E5" s="34" t="s">
        <v>260</v>
      </c>
      <c r="F5" s="35">
        <f>85000*75*70</f>
        <v>446250000</v>
      </c>
      <c r="G5" s="34">
        <v>2</v>
      </c>
      <c r="H5" s="74">
        <f>H3</f>
        <v>3.1794248683677603E-16</v>
      </c>
      <c r="I5" s="75">
        <v>1.2</v>
      </c>
      <c r="J5" s="74">
        <f>F5*H5</f>
        <v>1.4188183475091131E-7</v>
      </c>
      <c r="L5" s="76">
        <f>J5*YLLvalue</f>
        <v>1.2967999696233294E-2</v>
      </c>
    </row>
    <row r="6" spans="1:12">
      <c r="A6" s="34" t="s">
        <v>14</v>
      </c>
      <c r="B6" s="34" t="s">
        <v>11</v>
      </c>
      <c r="C6" s="34" t="s">
        <v>257</v>
      </c>
      <c r="D6" s="42" t="s">
        <v>139</v>
      </c>
      <c r="E6" s="42" t="s">
        <v>261</v>
      </c>
      <c r="F6" s="35">
        <f>50000*40*75</f>
        <v>150000000</v>
      </c>
      <c r="G6" s="34">
        <v>4</v>
      </c>
      <c r="H6" s="74">
        <f t="shared" ref="H6:H17" si="0">H5</f>
        <v>3.1794248683677603E-16</v>
      </c>
      <c r="I6" s="75">
        <v>1.2</v>
      </c>
      <c r="J6" s="74">
        <f>F6*H6</f>
        <v>4.7691373025516407E-8</v>
      </c>
      <c r="L6" s="76">
        <f>J6*YLLvalue</f>
        <v>4.3589914945321995E-3</v>
      </c>
    </row>
    <row r="7" spans="1:12">
      <c r="A7" s="42" t="s">
        <v>14</v>
      </c>
      <c r="B7" s="34" t="s">
        <v>11</v>
      </c>
      <c r="C7" s="34" t="s">
        <v>257</v>
      </c>
      <c r="D7" s="42" t="s">
        <v>139</v>
      </c>
      <c r="E7" s="42" t="s">
        <v>262</v>
      </c>
      <c r="F7" s="35">
        <f>66000*60*75</f>
        <v>297000000</v>
      </c>
      <c r="G7" s="34">
        <v>2</v>
      </c>
      <c r="H7" s="74">
        <f t="shared" si="0"/>
        <v>3.1794248683677603E-16</v>
      </c>
      <c r="I7" s="75">
        <v>1.2</v>
      </c>
      <c r="J7" s="74">
        <f>F7*H7</f>
        <v>9.4428918590522477E-8</v>
      </c>
      <c r="K7" s="74">
        <f>SUM(J3:J7)</f>
        <v>-1.5118165249088695E-7</v>
      </c>
      <c r="L7" s="76">
        <f>J7*YLLvalue</f>
        <v>8.6308031591737552E-3</v>
      </c>
    </row>
    <row r="8" spans="1:12">
      <c r="A8" s="34" t="s">
        <v>14</v>
      </c>
      <c r="B8" s="34" t="s">
        <v>11</v>
      </c>
      <c r="C8" s="42" t="s">
        <v>263</v>
      </c>
      <c r="D8" s="42" t="s">
        <v>139</v>
      </c>
      <c r="E8" s="42" t="s">
        <v>264</v>
      </c>
      <c r="F8" s="35">
        <f xml:space="preserve"> 4000000*70*75</f>
        <v>21000000000</v>
      </c>
      <c r="G8" s="34">
        <v>2</v>
      </c>
      <c r="H8" s="74">
        <f>H7</f>
        <v>3.1794248683677603E-16</v>
      </c>
      <c r="I8" s="75">
        <v>1.2</v>
      </c>
      <c r="J8" s="74">
        <f t="shared" ref="J8:J17" si="1">F8*H8</f>
        <v>6.6767922235722966E-6</v>
      </c>
      <c r="K8" s="35"/>
      <c r="L8" s="76">
        <f>J8*severe_wasting_value</f>
        <v>7.8113127582017022E-2</v>
      </c>
    </row>
    <row r="9" spans="1:12">
      <c r="A9" s="34" t="s">
        <v>14</v>
      </c>
      <c r="B9" s="34" t="s">
        <v>11</v>
      </c>
      <c r="C9" s="42" t="s">
        <v>265</v>
      </c>
      <c r="D9" s="42" t="s">
        <v>147</v>
      </c>
      <c r="E9" s="42" t="s">
        <v>258</v>
      </c>
      <c r="F9" s="35">
        <f>1800000000*0.01/0.3*8*365*75</f>
        <v>13140000000000</v>
      </c>
      <c r="G9" s="34">
        <v>2</v>
      </c>
      <c r="H9" s="74">
        <f t="shared" si="0"/>
        <v>3.1794248683677603E-16</v>
      </c>
      <c r="I9" s="75">
        <v>1.2</v>
      </c>
      <c r="J9" s="74">
        <f>F9*H9</f>
        <v>4.1777642770352372E-3</v>
      </c>
      <c r="K9" s="35"/>
      <c r="L9" s="76">
        <f>J9*working_capacity</f>
        <v>0.19092382746051034</v>
      </c>
    </row>
    <row r="10" spans="1:12">
      <c r="A10" s="34" t="s">
        <v>14</v>
      </c>
      <c r="B10" s="34" t="s">
        <v>11</v>
      </c>
      <c r="C10" s="42" t="s">
        <v>266</v>
      </c>
      <c r="D10" s="42" t="s">
        <v>267</v>
      </c>
      <c r="E10" s="42" t="s">
        <v>268</v>
      </c>
      <c r="F10" s="35">
        <v>450000000</v>
      </c>
      <c r="G10" s="34">
        <v>2</v>
      </c>
      <c r="H10" s="74">
        <f t="shared" si="0"/>
        <v>3.1794248683677603E-16</v>
      </c>
      <c r="I10" s="75">
        <v>1.2</v>
      </c>
      <c r="J10" s="74">
        <f t="shared" si="1"/>
        <v>1.4307411907654921E-7</v>
      </c>
      <c r="K10" s="35"/>
      <c r="L10" s="76">
        <f>J10*YLLvalue</f>
        <v>1.3076974483596598E-2</v>
      </c>
    </row>
    <row r="11" spans="1:12">
      <c r="A11" s="34" t="s">
        <v>14</v>
      </c>
      <c r="B11" s="34" t="s">
        <v>11</v>
      </c>
      <c r="C11" s="42" t="s">
        <v>269</v>
      </c>
      <c r="D11" s="42" t="s">
        <v>11</v>
      </c>
      <c r="E11" s="42" t="s">
        <v>270</v>
      </c>
      <c r="F11" s="35">
        <f>0.05*9900000000000*10/8*75</f>
        <v>46406250000000</v>
      </c>
      <c r="G11" s="34">
        <v>2</v>
      </c>
      <c r="H11" s="74">
        <f t="shared" si="0"/>
        <v>3.1794248683677603E-16</v>
      </c>
      <c r="I11" s="75">
        <v>1.2</v>
      </c>
      <c r="J11" s="74">
        <f t="shared" si="1"/>
        <v>1.4754518529769138E-2</v>
      </c>
      <c r="K11" s="35"/>
      <c r="L11" s="76">
        <f>J11*cropvalue</f>
        <v>6.3149339307411907E-3</v>
      </c>
    </row>
    <row r="12" spans="1:12">
      <c r="A12" s="34" t="s">
        <v>14</v>
      </c>
      <c r="B12" s="34" t="s">
        <v>11</v>
      </c>
      <c r="C12" s="42" t="s">
        <v>269</v>
      </c>
      <c r="D12" s="42" t="s">
        <v>11</v>
      </c>
      <c r="E12" s="42" t="s">
        <v>271</v>
      </c>
      <c r="F12" s="35">
        <f>12500000*5000*200</f>
        <v>12500000000000</v>
      </c>
      <c r="G12" s="34">
        <v>2</v>
      </c>
      <c r="H12" s="74">
        <f t="shared" si="0"/>
        <v>3.1794248683677603E-16</v>
      </c>
      <c r="I12" s="75">
        <v>1.2</v>
      </c>
      <c r="J12" s="74">
        <f>F12*H12</f>
        <v>3.9742810854597006E-3</v>
      </c>
      <c r="K12" s="74">
        <f>J11+J12</f>
        <v>1.8728799615228837E-2</v>
      </c>
      <c r="L12" s="76">
        <f>J12*cropvalue</f>
        <v>1.7009923045767518E-3</v>
      </c>
    </row>
    <row r="13" spans="1:12">
      <c r="A13" s="34" t="s">
        <v>14</v>
      </c>
      <c r="B13" s="34" t="s">
        <v>11</v>
      </c>
      <c r="C13" s="42" t="s">
        <v>272</v>
      </c>
      <c r="D13" s="42" t="s">
        <v>11</v>
      </c>
      <c r="E13" s="42" t="s">
        <v>273</v>
      </c>
      <c r="F13" s="35">
        <f>75*390000000000*0.085</f>
        <v>2486250000000</v>
      </c>
      <c r="G13" s="34">
        <v>2</v>
      </c>
      <c r="H13" s="74">
        <f t="shared" si="0"/>
        <v>3.1794248683677603E-16</v>
      </c>
      <c r="I13" s="75">
        <v>1.2</v>
      </c>
      <c r="J13" s="74">
        <f t="shared" si="1"/>
        <v>7.9048450789793437E-4</v>
      </c>
      <c r="K13" s="35"/>
      <c r="L13" s="76">
        <f>J13*meatvalue</f>
        <v>1.9149487203827459E-3</v>
      </c>
    </row>
    <row r="14" spans="1:12">
      <c r="A14" s="34" t="s">
        <v>14</v>
      </c>
      <c r="B14" s="34" t="s">
        <v>11</v>
      </c>
      <c r="C14" s="42" t="s">
        <v>274</v>
      </c>
      <c r="D14" s="42" t="s">
        <v>11</v>
      </c>
      <c r="E14" s="42" t="s">
        <v>270</v>
      </c>
      <c r="F14" s="35">
        <v>153000000000</v>
      </c>
      <c r="G14" s="34">
        <v>3</v>
      </c>
      <c r="H14" s="74">
        <f t="shared" si="0"/>
        <v>3.1794248683677603E-16</v>
      </c>
      <c r="I14" s="75">
        <v>1.2</v>
      </c>
      <c r="J14" s="74">
        <f t="shared" si="1"/>
        <v>4.8645200486026732E-5</v>
      </c>
      <c r="K14" s="35"/>
      <c r="L14" s="76">
        <f>J14*fishvalue</f>
        <v>1.4690850546780074E-4</v>
      </c>
    </row>
    <row r="15" spans="1:12">
      <c r="A15" s="34" t="s">
        <v>14</v>
      </c>
      <c r="B15" s="34" t="s">
        <v>11</v>
      </c>
      <c r="C15" s="42" t="s">
        <v>275</v>
      </c>
      <c r="D15" s="42" t="s">
        <v>11</v>
      </c>
      <c r="E15" s="42" t="s">
        <v>270</v>
      </c>
      <c r="F15" s="35">
        <v>-90000000000000</v>
      </c>
      <c r="G15" s="34">
        <v>2</v>
      </c>
      <c r="H15" s="74">
        <f t="shared" si="0"/>
        <v>3.1794248683677603E-16</v>
      </c>
      <c r="I15" s="75">
        <v>1.2</v>
      </c>
      <c r="J15" s="74">
        <f t="shared" si="1"/>
        <v>-2.8614823815309842E-2</v>
      </c>
      <c r="K15" s="35"/>
      <c r="L15" s="76">
        <f>J15*woodvalue</f>
        <v>-6.5814094775212637E-3</v>
      </c>
    </row>
    <row r="16" spans="1:12">
      <c r="A16" s="34" t="s">
        <v>14</v>
      </c>
      <c r="B16" s="34" t="s">
        <v>11</v>
      </c>
      <c r="C16" s="34" t="s">
        <v>276</v>
      </c>
      <c r="D16" s="42" t="s">
        <v>11</v>
      </c>
      <c r="E16" s="42" t="s">
        <v>270</v>
      </c>
      <c r="F16" s="35">
        <f>6300000000000*75</f>
        <v>472500000000000</v>
      </c>
      <c r="G16" s="34">
        <v>3</v>
      </c>
      <c r="H16" s="74">
        <f t="shared" si="0"/>
        <v>3.1794248683677603E-16</v>
      </c>
      <c r="I16" s="75">
        <v>1.2</v>
      </c>
      <c r="J16" s="74">
        <f t="shared" si="1"/>
        <v>0.15022782503037668</v>
      </c>
      <c r="K16" s="35"/>
      <c r="L16" s="76">
        <f>J16*drinkingwatervalue</f>
        <v>2.1482578979343866E-4</v>
      </c>
    </row>
    <row r="17" spans="1:12">
      <c r="A17" s="34" t="s">
        <v>14</v>
      </c>
      <c r="B17" s="34" t="s">
        <v>11</v>
      </c>
      <c r="C17" s="34" t="s">
        <v>277</v>
      </c>
      <c r="D17" s="51" t="s">
        <v>278</v>
      </c>
      <c r="E17" s="34" t="s">
        <v>270</v>
      </c>
      <c r="F17" s="35">
        <v>0.4</v>
      </c>
      <c r="G17" s="34">
        <v>2</v>
      </c>
      <c r="H17" s="74">
        <f t="shared" si="0"/>
        <v>3.1794248683677603E-16</v>
      </c>
      <c r="I17" s="75">
        <v>1.2</v>
      </c>
      <c r="J17" s="74">
        <f t="shared" si="1"/>
        <v>1.2717699473471042E-16</v>
      </c>
      <c r="K17" s="35"/>
      <c r="L17" s="76">
        <f>speciesvalue*J17</f>
        <v>1.1000810044552451E-5</v>
      </c>
    </row>
    <row r="18" spans="1:12">
      <c r="A18" s="34" t="s">
        <v>14</v>
      </c>
      <c r="B18" s="34" t="s">
        <v>11</v>
      </c>
      <c r="C18" s="34" t="s">
        <v>279</v>
      </c>
      <c r="E18" s="34" t="s">
        <v>279</v>
      </c>
      <c r="H18" s="35"/>
      <c r="L18" s="76">
        <f>SUM(L3:L17)</f>
        <v>0.27201812707194206</v>
      </c>
    </row>
    <row r="20" spans="1:12">
      <c r="A20" s="34" t="s">
        <v>23</v>
      </c>
      <c r="B20" s="34" t="s">
        <v>11</v>
      </c>
      <c r="C20" s="34" t="s">
        <v>257</v>
      </c>
      <c r="D20" s="34" t="s">
        <v>139</v>
      </c>
      <c r="E20" s="34" t="s">
        <v>270</v>
      </c>
      <c r="F20" s="74">
        <f>CO2_YLL_charfact</f>
        <v>-1.5118165249088695E-7</v>
      </c>
      <c r="G20" s="78">
        <v>3</v>
      </c>
      <c r="H20" s="34">
        <v>2.2999999999999998</v>
      </c>
      <c r="I20" s="34">
        <v>1.5</v>
      </c>
      <c r="J20" s="74">
        <f>F20*H20</f>
        <v>-3.4771780072903994E-7</v>
      </c>
      <c r="K20" s="74">
        <f>J20</f>
        <v>-3.4771780072903994E-7</v>
      </c>
      <c r="L20" s="76">
        <f>YLLvalue*J20</f>
        <v>-3.1781406986634252E-2</v>
      </c>
    </row>
    <row r="21" spans="1:12">
      <c r="A21" s="34" t="s">
        <v>23</v>
      </c>
      <c r="B21" s="34" t="s">
        <v>11</v>
      </c>
      <c r="C21" s="34" t="s">
        <v>257</v>
      </c>
      <c r="D21" s="34" t="s">
        <v>139</v>
      </c>
      <c r="E21" s="42" t="s">
        <v>280</v>
      </c>
      <c r="F21" s="74">
        <f>NOx_YOLL_Oxidant_charfact</f>
        <v>2.6262399999999998E-5</v>
      </c>
      <c r="G21" s="79">
        <f>EXP(SQRT(LN(G35)^2+LN(I35)^2))</f>
        <v>2.2322914680502111</v>
      </c>
      <c r="H21" s="35">
        <f>0.021/0.62</f>
        <v>3.3870967741935487E-2</v>
      </c>
      <c r="I21" s="42">
        <v>2</v>
      </c>
      <c r="J21" s="74">
        <f>F21*H21</f>
        <v>8.8953290322580643E-7</v>
      </c>
      <c r="K21" s="35"/>
      <c r="L21" s="76">
        <f>YLLvalue*J21</f>
        <v>8.1303307354838705E-2</v>
      </c>
    </row>
    <row r="22" spans="1:12">
      <c r="A22" s="34" t="s">
        <v>23</v>
      </c>
      <c r="B22" s="34" t="s">
        <v>11</v>
      </c>
      <c r="C22" s="42" t="s">
        <v>263</v>
      </c>
      <c r="D22" s="42" t="s">
        <v>139</v>
      </c>
      <c r="E22" s="34" t="s">
        <v>270</v>
      </c>
      <c r="F22" s="74">
        <f>CO2_severewasting_charfact</f>
        <v>6.6767922235722966E-6</v>
      </c>
      <c r="G22" s="79">
        <f>EXP(SQRT(LN(G8)^2+LN(I8)^2))</f>
        <v>2.0477151450930107</v>
      </c>
      <c r="H22" s="75">
        <f>H20</f>
        <v>2.2999999999999998</v>
      </c>
      <c r="I22" s="34">
        <v>1.5</v>
      </c>
      <c r="J22" s="74">
        <f t="shared" ref="J22:J30" si="2">F22*H22</f>
        <v>1.5356622114216282E-5</v>
      </c>
      <c r="L22" s="76">
        <f>J22*severe_wasting_value</f>
        <v>0.17966019343863915</v>
      </c>
    </row>
    <row r="23" spans="1:12">
      <c r="A23" s="34" t="s">
        <v>23</v>
      </c>
      <c r="B23" s="34" t="s">
        <v>11</v>
      </c>
      <c r="C23" s="42" t="s">
        <v>265</v>
      </c>
      <c r="D23" s="42" t="s">
        <v>139</v>
      </c>
      <c r="E23" s="34" t="s">
        <v>270</v>
      </c>
      <c r="F23" s="74">
        <f>J9</f>
        <v>4.1777642770352372E-3</v>
      </c>
      <c r="G23" s="79">
        <f>EXP(SQRT(LN(G9)^2+LN(I9)^2))</f>
        <v>2.0477151450930107</v>
      </c>
      <c r="H23" s="75">
        <f>H22</f>
        <v>2.2999999999999998</v>
      </c>
      <c r="I23" s="34">
        <v>1.5</v>
      </c>
      <c r="J23" s="74">
        <f t="shared" si="2"/>
        <v>9.6088578371810451E-3</v>
      </c>
      <c r="K23" s="74">
        <f>SUM(J22:J22)</f>
        <v>1.5356622114216282E-5</v>
      </c>
      <c r="L23" s="76">
        <f>J23*working_capacity</f>
        <v>0.43912480315917379</v>
      </c>
    </row>
    <row r="24" spans="1:12">
      <c r="A24" s="34" t="s">
        <v>23</v>
      </c>
      <c r="B24" s="34" t="s">
        <v>11</v>
      </c>
      <c r="C24" s="42" t="s">
        <v>266</v>
      </c>
      <c r="D24" s="42" t="s">
        <v>11</v>
      </c>
      <c r="E24" s="34" t="s">
        <v>270</v>
      </c>
      <c r="F24" s="74">
        <f>J10</f>
        <v>1.4307411907654921E-7</v>
      </c>
      <c r="G24" s="79">
        <f>EXP(SQRT(LN(G10)^2+LN(I10)^2))</f>
        <v>2.0477151450930107</v>
      </c>
      <c r="H24" s="75">
        <f t="shared" ref="H24:H30" si="3">H23</f>
        <v>2.2999999999999998</v>
      </c>
      <c r="I24" s="34">
        <v>1.5</v>
      </c>
      <c r="J24" s="74">
        <f t="shared" si="2"/>
        <v>3.2907047387606314E-7</v>
      </c>
      <c r="K24" s="74">
        <f>J24</f>
        <v>3.2907047387606314E-7</v>
      </c>
      <c r="L24" s="76">
        <f>J24*diarrhea_value</f>
        <v>5.6544837667071683E-3</v>
      </c>
    </row>
    <row r="25" spans="1:12">
      <c r="A25" s="34" t="s">
        <v>23</v>
      </c>
      <c r="B25" s="34" t="s">
        <v>11</v>
      </c>
      <c r="C25" s="34" t="s">
        <v>269</v>
      </c>
      <c r="D25" s="42" t="s">
        <v>11</v>
      </c>
      <c r="E25" s="34" t="s">
        <v>270</v>
      </c>
      <c r="F25" s="74">
        <f>J11+J12</f>
        <v>1.8728799615228837E-2</v>
      </c>
      <c r="G25" s="79">
        <f t="shared" ref="G25:G30" si="4">EXP(SQRT(LN(G12)^2+LN(I12)^2))</f>
        <v>2.0477151450930107</v>
      </c>
      <c r="H25" s="75">
        <f t="shared" si="3"/>
        <v>2.2999999999999998</v>
      </c>
      <c r="I25" s="34">
        <v>1.5</v>
      </c>
      <c r="J25" s="74">
        <f>F25*H25</f>
        <v>4.3076239115026324E-2</v>
      </c>
      <c r="K25" s="74">
        <f>J25</f>
        <v>4.3076239115026324E-2</v>
      </c>
      <c r="L25" s="76">
        <f>J25*cropvalue</f>
        <v>1.8436630341231268E-2</v>
      </c>
    </row>
    <row r="26" spans="1:12">
      <c r="A26" s="34" t="s">
        <v>23</v>
      </c>
      <c r="B26" s="34" t="s">
        <v>11</v>
      </c>
      <c r="C26" s="34" t="s">
        <v>272</v>
      </c>
      <c r="D26" s="42" t="s">
        <v>11</v>
      </c>
      <c r="E26" s="34" t="s">
        <v>270</v>
      </c>
      <c r="F26" s="74">
        <f>J13</f>
        <v>7.9048450789793437E-4</v>
      </c>
      <c r="G26" s="79">
        <f t="shared" si="4"/>
        <v>2.0477151450930107</v>
      </c>
      <c r="H26" s="75">
        <f t="shared" si="3"/>
        <v>2.2999999999999998</v>
      </c>
      <c r="I26" s="34">
        <v>1.5</v>
      </c>
      <c r="J26" s="74">
        <f t="shared" si="2"/>
        <v>1.818114368165249E-3</v>
      </c>
      <c r="L26" s="76">
        <f>J26*meatvalue</f>
        <v>4.4043820568803157E-3</v>
      </c>
    </row>
    <row r="27" spans="1:12">
      <c r="A27" s="34" t="s">
        <v>23</v>
      </c>
      <c r="B27" s="34" t="s">
        <v>11</v>
      </c>
      <c r="C27" s="34" t="s">
        <v>274</v>
      </c>
      <c r="D27" s="42" t="s">
        <v>11</v>
      </c>
      <c r="E27" s="34" t="s">
        <v>270</v>
      </c>
      <c r="F27" s="74">
        <f>J14</f>
        <v>4.8645200486026732E-5</v>
      </c>
      <c r="G27" s="79">
        <f t="shared" si="4"/>
        <v>3.0454181999036112</v>
      </c>
      <c r="H27" s="75">
        <f t="shared" si="3"/>
        <v>2.2999999999999998</v>
      </c>
      <c r="I27" s="34">
        <v>1.5</v>
      </c>
      <c r="J27" s="74"/>
      <c r="L27" s="76"/>
    </row>
    <row r="28" spans="1:12">
      <c r="A28" s="34" t="s">
        <v>23</v>
      </c>
      <c r="B28" s="34" t="s">
        <v>11</v>
      </c>
      <c r="C28" s="34" t="s">
        <v>275</v>
      </c>
      <c r="D28" s="42" t="s">
        <v>11</v>
      </c>
      <c r="E28" s="34" t="s">
        <v>270</v>
      </c>
      <c r="F28" s="74">
        <f>CO2_wood_charfact</f>
        <v>-2.8614823815309842E-2</v>
      </c>
      <c r="G28" s="79">
        <f t="shared" si="4"/>
        <v>2.0477151450930107</v>
      </c>
      <c r="H28" s="75">
        <f t="shared" si="3"/>
        <v>2.2999999999999998</v>
      </c>
      <c r="I28" s="34">
        <v>1.5</v>
      </c>
      <c r="J28" s="74">
        <f t="shared" si="2"/>
        <v>-6.5814094775212634E-2</v>
      </c>
      <c r="L28" s="76">
        <f>J28*woodvalue</f>
        <v>-1.5137241798298907E-2</v>
      </c>
    </row>
    <row r="29" spans="1:12">
      <c r="A29" s="34" t="s">
        <v>23</v>
      </c>
      <c r="B29" s="34" t="s">
        <v>11</v>
      </c>
      <c r="C29" s="34" t="s">
        <v>276</v>
      </c>
      <c r="D29" s="42" t="s">
        <v>11</v>
      </c>
      <c r="E29" s="34" t="s">
        <v>270</v>
      </c>
      <c r="F29" s="74">
        <f>J16</f>
        <v>0.15022782503037668</v>
      </c>
      <c r="G29" s="79">
        <f t="shared" si="4"/>
        <v>3.0454181999036112</v>
      </c>
      <c r="H29" s="75">
        <f t="shared" si="3"/>
        <v>2.2999999999999998</v>
      </c>
      <c r="I29" s="34">
        <v>1.5</v>
      </c>
      <c r="J29" s="74">
        <f t="shared" si="2"/>
        <v>0.34552399756986635</v>
      </c>
      <c r="K29" s="74">
        <f>SUM(J26:J28)</f>
        <v>-6.399598040704739E-2</v>
      </c>
      <c r="L29" s="76">
        <f>J29*drinkingwatervalue</f>
        <v>4.9409931652490894E-4</v>
      </c>
    </row>
    <row r="30" spans="1:12">
      <c r="A30" s="34" t="s">
        <v>23</v>
      </c>
      <c r="B30" s="34" t="s">
        <v>11</v>
      </c>
      <c r="C30" s="34" t="s">
        <v>277</v>
      </c>
      <c r="D30" s="42" t="s">
        <v>281</v>
      </c>
      <c r="E30" s="34" t="s">
        <v>270</v>
      </c>
      <c r="F30" s="74">
        <f>J17</f>
        <v>1.2717699473471042E-16</v>
      </c>
      <c r="G30" s="79">
        <f t="shared" si="4"/>
        <v>2.0477151450930107</v>
      </c>
      <c r="H30" s="75">
        <f t="shared" si="3"/>
        <v>2.2999999999999998</v>
      </c>
      <c r="I30" s="34">
        <v>1.5</v>
      </c>
      <c r="J30" s="74">
        <f t="shared" si="2"/>
        <v>2.9250708788983393E-16</v>
      </c>
      <c r="K30" s="74">
        <f>J30</f>
        <v>2.9250708788983393E-16</v>
      </c>
      <c r="L30" s="76">
        <f>speciesvalue*J30</f>
        <v>2.5301863102470635E-5</v>
      </c>
    </row>
    <row r="31" spans="1:12">
      <c r="A31" s="34" t="s">
        <v>23</v>
      </c>
      <c r="B31" s="34" t="s">
        <v>11</v>
      </c>
      <c r="C31" s="34" t="s">
        <v>279</v>
      </c>
      <c r="E31" s="34" t="s">
        <v>279</v>
      </c>
      <c r="F31" s="35"/>
      <c r="L31" s="76">
        <f>SUM(L20:L30)</f>
        <v>0.68218455251216459</v>
      </c>
    </row>
    <row r="32" spans="1:12">
      <c r="F32" s="35"/>
    </row>
    <row r="33" spans="1:12">
      <c r="A33" s="42" t="s">
        <v>24</v>
      </c>
      <c r="B33" s="34" t="s">
        <v>282</v>
      </c>
      <c r="C33" s="34" t="s">
        <v>257</v>
      </c>
      <c r="D33" s="42" t="s">
        <v>139</v>
      </c>
      <c r="E33" s="42" t="s">
        <v>283</v>
      </c>
      <c r="F33" s="36">
        <f>Particles!F4</f>
        <v>232000000</v>
      </c>
      <c r="G33" s="40">
        <f>Particles!G4</f>
        <v>2</v>
      </c>
      <c r="H33" s="57">
        <v>4.27E-13</v>
      </c>
      <c r="I33" s="34">
        <v>1.5</v>
      </c>
      <c r="J33" s="36">
        <f>F33*H33</f>
        <v>9.9063999999999999E-5</v>
      </c>
      <c r="L33" s="50">
        <f>J33*YLLvalue</f>
        <v>9.0544495999999999</v>
      </c>
    </row>
    <row r="34" spans="1:12">
      <c r="A34" s="34" t="s">
        <v>24</v>
      </c>
      <c r="B34" s="34" t="s">
        <v>282</v>
      </c>
      <c r="C34" s="34" t="s">
        <v>257</v>
      </c>
      <c r="D34" s="42" t="s">
        <v>139</v>
      </c>
      <c r="E34" s="42" t="s">
        <v>270</v>
      </c>
      <c r="F34" s="36">
        <f>CO2_YLL_charfact</f>
        <v>-1.5118165249088695E-7</v>
      </c>
      <c r="G34" s="34">
        <v>3</v>
      </c>
      <c r="H34" s="34">
        <v>-20</v>
      </c>
      <c r="I34" s="34">
        <v>2</v>
      </c>
      <c r="J34" s="36">
        <f>F34*H34</f>
        <v>3.0236330498177392E-6</v>
      </c>
      <c r="L34" s="50">
        <f>J34*YLLvalue</f>
        <v>0.27636006075334135</v>
      </c>
    </row>
    <row r="35" spans="1:12">
      <c r="A35" s="34" t="s">
        <v>24</v>
      </c>
      <c r="B35" s="34" t="s">
        <v>282</v>
      </c>
      <c r="C35" s="34" t="s">
        <v>257</v>
      </c>
      <c r="D35" s="42" t="s">
        <v>139</v>
      </c>
      <c r="E35" s="34" t="s">
        <v>280</v>
      </c>
      <c r="F35" s="35">
        <v>5660000</v>
      </c>
      <c r="G35" s="34">
        <v>2</v>
      </c>
      <c r="H35" s="57">
        <v>4.6399999999999996E-12</v>
      </c>
      <c r="I35" s="34">
        <v>1.5</v>
      </c>
      <c r="J35" s="36">
        <f>F35*H35</f>
        <v>2.6262399999999998E-5</v>
      </c>
      <c r="K35" s="36">
        <f>SUM(J33:J35)</f>
        <v>1.2835003304981774E-4</v>
      </c>
      <c r="L35" s="37">
        <f>J35*YLLvalue</f>
        <v>2.4003833599999997</v>
      </c>
    </row>
    <row r="36" spans="1:12">
      <c r="A36" s="34" t="s">
        <v>24</v>
      </c>
      <c r="B36" s="34" t="s">
        <v>282</v>
      </c>
      <c r="C36" s="42" t="s">
        <v>263</v>
      </c>
      <c r="D36" s="42" t="s">
        <v>139</v>
      </c>
      <c r="E36" s="34" t="s">
        <v>270</v>
      </c>
      <c r="F36" s="36">
        <f>J8</f>
        <v>6.6767922235722966E-6</v>
      </c>
      <c r="G36" s="39">
        <f>EXP(SQRT(LN(G8)^2+LN(I8)^2))</f>
        <v>2.0477151450930107</v>
      </c>
      <c r="H36" s="40">
        <f>H34</f>
        <v>-20</v>
      </c>
      <c r="I36" s="40">
        <f>I34</f>
        <v>2</v>
      </c>
      <c r="J36" s="36">
        <f t="shared" ref="J36:J51" si="5">F36*H36</f>
        <v>-1.3353584447144592E-4</v>
      </c>
      <c r="L36" s="50">
        <f>J36*severe_wasting_value</f>
        <v>-1.5622625516403403</v>
      </c>
    </row>
    <row r="37" spans="1:12">
      <c r="A37" s="34" t="s">
        <v>24</v>
      </c>
      <c r="B37" s="34" t="s">
        <v>282</v>
      </c>
      <c r="C37" s="42" t="s">
        <v>265</v>
      </c>
      <c r="D37" s="42" t="s">
        <v>139</v>
      </c>
      <c r="E37" s="34" t="s">
        <v>270</v>
      </c>
      <c r="F37" s="36">
        <f>J9</f>
        <v>4.1777642770352372E-3</v>
      </c>
      <c r="G37" s="39">
        <f>EXP(SQRT(LN(G9)^2+LN(I9)^2))</f>
        <v>2.0477151450930107</v>
      </c>
      <c r="H37" s="40">
        <f>H34</f>
        <v>-20</v>
      </c>
      <c r="I37" s="40">
        <f>I34</f>
        <v>2</v>
      </c>
      <c r="J37" s="36">
        <f>F37*H37</f>
        <v>-8.3555285540704738E-2</v>
      </c>
      <c r="K37" s="35"/>
      <c r="L37" s="50">
        <f>J37*working_capacity</f>
        <v>-3.8184765492102066</v>
      </c>
    </row>
    <row r="38" spans="1:12">
      <c r="A38" s="34" t="s">
        <v>24</v>
      </c>
      <c r="B38" s="34" t="s">
        <v>282</v>
      </c>
      <c r="C38" s="42" t="s">
        <v>266</v>
      </c>
      <c r="D38" s="42" t="s">
        <v>11</v>
      </c>
      <c r="E38" s="34" t="s">
        <v>270</v>
      </c>
      <c r="F38" s="36">
        <f>J10</f>
        <v>1.4307411907654921E-7</v>
      </c>
      <c r="G38" s="39">
        <f>EXP(SQRT(LN(G10)^2+LN(I10)^2))</f>
        <v>2.0477151450930107</v>
      </c>
      <c r="H38" s="40">
        <f>H34</f>
        <v>-20</v>
      </c>
      <c r="I38" s="40">
        <f>I34</f>
        <v>2</v>
      </c>
      <c r="J38" s="36">
        <f t="shared" si="5"/>
        <v>-2.8614823815309842E-6</v>
      </c>
      <c r="K38" s="35"/>
      <c r="L38" s="50">
        <f>J38*diarrhea_value</f>
        <v>-4.9169424058323211E-2</v>
      </c>
    </row>
    <row r="39" spans="1:12">
      <c r="A39" s="34" t="s">
        <v>24</v>
      </c>
      <c r="B39" s="34" t="s">
        <v>282</v>
      </c>
      <c r="C39" s="34" t="s">
        <v>269</v>
      </c>
      <c r="D39" s="42" t="s">
        <v>11</v>
      </c>
      <c r="E39" s="34" t="s">
        <v>280</v>
      </c>
      <c r="F39" s="35">
        <f>218000000000</f>
        <v>218000000000</v>
      </c>
      <c r="G39" s="34">
        <v>1.5</v>
      </c>
      <c r="H39" s="36">
        <f>H35</f>
        <v>4.6399999999999996E-12</v>
      </c>
      <c r="I39" s="40">
        <f>I35</f>
        <v>1.5</v>
      </c>
      <c r="J39" s="36">
        <f t="shared" si="5"/>
        <v>1.01152</v>
      </c>
      <c r="K39" s="35"/>
      <c r="L39" s="37">
        <f>J39*cropvalue</f>
        <v>0.43293055999999996</v>
      </c>
    </row>
    <row r="40" spans="1:12">
      <c r="A40" s="34" t="s">
        <v>24</v>
      </c>
      <c r="B40" s="34" t="s">
        <v>282</v>
      </c>
      <c r="C40" s="34" t="s">
        <v>269</v>
      </c>
      <c r="D40" s="42" t="s">
        <v>11</v>
      </c>
      <c r="E40" s="34" t="s">
        <v>270</v>
      </c>
      <c r="F40" s="36">
        <f>J11</f>
        <v>1.4754518529769138E-2</v>
      </c>
      <c r="G40" s="39">
        <f>EXP(SQRT(LN(G11)^2+LN(I11)^2))</f>
        <v>2.0477151450930107</v>
      </c>
      <c r="H40" s="40">
        <f>H34</f>
        <v>-20</v>
      </c>
      <c r="I40" s="40">
        <f>I34</f>
        <v>2</v>
      </c>
      <c r="J40" s="36">
        <f t="shared" si="5"/>
        <v>-0.29509037059538273</v>
      </c>
      <c r="L40" s="50">
        <f>J40*cropvalue</f>
        <v>-0.1262986786148238</v>
      </c>
    </row>
    <row r="41" spans="1:12">
      <c r="A41" s="34" t="s">
        <v>24</v>
      </c>
      <c r="B41" s="34" t="s">
        <v>282</v>
      </c>
      <c r="C41" s="34" t="s">
        <v>272</v>
      </c>
      <c r="D41" s="42" t="s">
        <v>11</v>
      </c>
      <c r="E41" s="34" t="s">
        <v>270</v>
      </c>
      <c r="F41" s="36">
        <f>J13</f>
        <v>7.9048450789793437E-4</v>
      </c>
      <c r="G41" s="39">
        <f>EXP(SQRT(LN(G13)^2+LN(I13)^2))</f>
        <v>2.0477151450930107</v>
      </c>
      <c r="H41" s="40">
        <f>H34</f>
        <v>-20</v>
      </c>
      <c r="I41" s="40">
        <f>I34</f>
        <v>2</v>
      </c>
      <c r="J41" s="36">
        <f t="shared" si="5"/>
        <v>-1.5809690157958689E-2</v>
      </c>
      <c r="K41" s="35"/>
      <c r="L41" s="50">
        <f>J41*meatvalue</f>
        <v>-3.8298974407654923E-2</v>
      </c>
    </row>
    <row r="42" spans="1:12">
      <c r="A42" s="34" t="s">
        <v>24</v>
      </c>
      <c r="B42" s="34" t="s">
        <v>282</v>
      </c>
      <c r="C42" s="34" t="s">
        <v>274</v>
      </c>
      <c r="D42" s="42" t="s">
        <v>11</v>
      </c>
      <c r="E42" s="42" t="s">
        <v>284</v>
      </c>
      <c r="F42" s="35">
        <f>24500000*10</f>
        <v>245000000</v>
      </c>
      <c r="G42" s="34">
        <v>3</v>
      </c>
      <c r="H42" s="35">
        <v>1.8E-12</v>
      </c>
      <c r="I42" s="34">
        <v>2</v>
      </c>
      <c r="J42" s="36">
        <f t="shared" si="5"/>
        <v>4.4099999999999999E-4</v>
      </c>
      <c r="K42" s="35"/>
      <c r="L42" s="36">
        <f>J42*fishvalue</f>
        <v>1.3318200000000001E-3</v>
      </c>
    </row>
    <row r="43" spans="1:12">
      <c r="A43" s="34" t="s">
        <v>24</v>
      </c>
      <c r="B43" s="34" t="s">
        <v>282</v>
      </c>
      <c r="C43" s="34" t="s">
        <v>274</v>
      </c>
      <c r="D43" s="42" t="s">
        <v>11</v>
      </c>
      <c r="E43" s="42" t="s">
        <v>285</v>
      </c>
      <c r="F43" s="35">
        <f>-100000000000*0.00111/0.9</f>
        <v>-123333333.33333334</v>
      </c>
      <c r="G43" s="34">
        <v>3</v>
      </c>
      <c r="H43" s="40">
        <f>H42</f>
        <v>1.8E-12</v>
      </c>
      <c r="I43" s="34">
        <v>2</v>
      </c>
      <c r="J43" s="36">
        <f t="shared" si="5"/>
        <v>-2.2200000000000003E-4</v>
      </c>
      <c r="K43" s="35"/>
      <c r="L43" s="41">
        <f>J43*fishvalue</f>
        <v>-6.7044000000000012E-4</v>
      </c>
    </row>
    <row r="44" spans="1:12">
      <c r="A44" s="34" t="s">
        <v>24</v>
      </c>
      <c r="B44" s="34" t="s">
        <v>282</v>
      </c>
      <c r="C44" s="34" t="s">
        <v>274</v>
      </c>
      <c r="D44" s="42" t="s">
        <v>11</v>
      </c>
      <c r="E44" s="42" t="s">
        <v>286</v>
      </c>
      <c r="F44" s="35">
        <f>100000000</f>
        <v>100000000</v>
      </c>
      <c r="G44" s="34">
        <v>3</v>
      </c>
      <c r="H44" s="35">
        <v>4.1100000000000001E-12</v>
      </c>
      <c r="I44" s="34">
        <v>2</v>
      </c>
      <c r="J44" s="36">
        <f t="shared" si="5"/>
        <v>4.1100000000000002E-4</v>
      </c>
      <c r="K44" s="35"/>
      <c r="L44" s="36">
        <f>J44*fishvalue</f>
        <v>1.2412200000000001E-3</v>
      </c>
    </row>
    <row r="45" spans="1:12">
      <c r="A45" s="34" t="s">
        <v>24</v>
      </c>
      <c r="B45" s="34" t="s">
        <v>282</v>
      </c>
      <c r="C45" s="34" t="s">
        <v>274</v>
      </c>
      <c r="D45" s="42" t="s">
        <v>11</v>
      </c>
      <c r="E45" s="42" t="s">
        <v>270</v>
      </c>
      <c r="F45" s="36">
        <f>CO2_fish_charfact</f>
        <v>4.8645200486026732E-5</v>
      </c>
      <c r="G45" s="39">
        <f>EXP(SQRT(LN(G14)^2+LN(I14)^2))</f>
        <v>3.0454181999036112</v>
      </c>
      <c r="H45" s="40">
        <f>H34</f>
        <v>-20</v>
      </c>
      <c r="I45" s="40">
        <f>I34</f>
        <v>2</v>
      </c>
      <c r="J45" s="36">
        <f t="shared" si="5"/>
        <v>-9.7290400972053462E-4</v>
      </c>
      <c r="K45" s="35"/>
      <c r="L45" s="36">
        <f>J45*fishvalue</f>
        <v>-2.9381701093560146E-3</v>
      </c>
    </row>
    <row r="46" spans="1:12">
      <c r="A46" s="34" t="s">
        <v>24</v>
      </c>
      <c r="B46" s="34" t="s">
        <v>282</v>
      </c>
      <c r="C46" s="34" t="s">
        <v>275</v>
      </c>
      <c r="D46" s="42" t="s">
        <v>11</v>
      </c>
      <c r="E46" s="34" t="s">
        <v>280</v>
      </c>
      <c r="F46" s="34">
        <f>0.015*2000000000000</f>
        <v>30000000000</v>
      </c>
      <c r="G46" s="34">
        <v>2</v>
      </c>
      <c r="H46" s="35">
        <v>3.6100000000000002E-12</v>
      </c>
      <c r="I46" s="34">
        <v>2</v>
      </c>
      <c r="J46" s="36">
        <f t="shared" si="5"/>
        <v>0.10830000000000001</v>
      </c>
      <c r="K46" s="35"/>
      <c r="L46" s="36">
        <f>J46*woodvalue</f>
        <v>2.4909000000000004E-2</v>
      </c>
    </row>
    <row r="47" spans="1:12">
      <c r="A47" s="34" t="s">
        <v>24</v>
      </c>
      <c r="B47" s="34" t="s">
        <v>282</v>
      </c>
      <c r="C47" s="34" t="s">
        <v>275</v>
      </c>
      <c r="D47" s="42" t="s">
        <v>11</v>
      </c>
      <c r="E47" s="42" t="s">
        <v>287</v>
      </c>
      <c r="F47" s="35">
        <v>-2.71</v>
      </c>
      <c r="G47" s="34">
        <v>2</v>
      </c>
      <c r="H47" s="34">
        <v>1</v>
      </c>
      <c r="I47" s="34">
        <v>1</v>
      </c>
      <c r="J47" s="36">
        <f t="shared" si="5"/>
        <v>-2.71</v>
      </c>
      <c r="K47" s="35"/>
      <c r="L47" s="50">
        <f>J47*woodvalue</f>
        <v>-0.62329999999999997</v>
      </c>
    </row>
    <row r="48" spans="1:12">
      <c r="A48" s="34" t="s">
        <v>24</v>
      </c>
      <c r="B48" s="34" t="s">
        <v>282</v>
      </c>
      <c r="C48" s="34" t="s">
        <v>275</v>
      </c>
      <c r="D48" s="42" t="s">
        <v>11</v>
      </c>
      <c r="E48" s="34" t="s">
        <v>270</v>
      </c>
      <c r="F48" s="36">
        <f>CO2_wood_charfact</f>
        <v>-2.8614823815309842E-2</v>
      </c>
      <c r="G48" s="39">
        <f>EXP(SQRT(LN(G15)^2+LN(I15)^2))</f>
        <v>2.0477151450930107</v>
      </c>
      <c r="H48" s="40">
        <f>H34</f>
        <v>-20</v>
      </c>
      <c r="I48" s="40">
        <f>I34</f>
        <v>2</v>
      </c>
      <c r="J48" s="36">
        <f t="shared" si="5"/>
        <v>0.57229647630619684</v>
      </c>
      <c r="L48" s="36">
        <f>J48*woodvalue</f>
        <v>0.13162818955042527</v>
      </c>
    </row>
    <row r="49" spans="1:12">
      <c r="A49" s="34" t="s">
        <v>24</v>
      </c>
      <c r="B49" s="34" t="s">
        <v>282</v>
      </c>
      <c r="C49" s="34" t="s">
        <v>276</v>
      </c>
      <c r="D49" s="42" t="s">
        <v>11</v>
      </c>
      <c r="E49" s="34" t="s">
        <v>270</v>
      </c>
      <c r="F49" s="36">
        <f>CO2_drinkingwater_charfact</f>
        <v>0.15022782503037668</v>
      </c>
      <c r="G49" s="39">
        <f>EXP(SQRT(LN(G16)^2+LN(I16)^2))</f>
        <v>3.0454181999036112</v>
      </c>
      <c r="H49" s="40">
        <f>H34</f>
        <v>-20</v>
      </c>
      <c r="I49" s="40">
        <f>I34</f>
        <v>2</v>
      </c>
      <c r="J49" s="36">
        <f t="shared" si="5"/>
        <v>-3.0045565006075337</v>
      </c>
      <c r="L49" s="50">
        <f>J49*drinkingwatervalue</f>
        <v>-4.2965157958687735E-3</v>
      </c>
    </row>
    <row r="50" spans="1:12">
      <c r="A50" s="34" t="s">
        <v>24</v>
      </c>
      <c r="B50" s="34" t="s">
        <v>282</v>
      </c>
      <c r="C50" s="34" t="s">
        <v>277</v>
      </c>
      <c r="D50" s="42" t="s">
        <v>281</v>
      </c>
      <c r="E50" s="34" t="s">
        <v>270</v>
      </c>
      <c r="F50" s="36">
        <f>J17</f>
        <v>1.2717699473471042E-16</v>
      </c>
      <c r="G50" s="39">
        <f>EXP(SQRT(LN(G17)^2+LN(I17)^2))</f>
        <v>2.0477151450930107</v>
      </c>
      <c r="H50" s="40">
        <f>H34</f>
        <v>-20</v>
      </c>
      <c r="I50" s="40">
        <f>I34</f>
        <v>2</v>
      </c>
      <c r="J50" s="36">
        <f t="shared" si="5"/>
        <v>-2.5435398946942083E-15</v>
      </c>
      <c r="K50" s="35"/>
      <c r="L50" s="41">
        <f>J50*speciesvalue</f>
        <v>-2.2001620089104901E-4</v>
      </c>
    </row>
    <row r="51" spans="1:12">
      <c r="A51" s="34" t="s">
        <v>24</v>
      </c>
      <c r="B51" s="34" t="s">
        <v>282</v>
      </c>
      <c r="C51" s="34" t="s">
        <v>277</v>
      </c>
      <c r="D51" s="42" t="s">
        <v>281</v>
      </c>
      <c r="E51" s="42" t="s">
        <v>288</v>
      </c>
      <c r="F51" s="34">
        <v>7.0000000000000001E-3</v>
      </c>
      <c r="G51" s="34">
        <v>3</v>
      </c>
      <c r="H51" s="35">
        <v>3.7E-12</v>
      </c>
      <c r="I51" s="34">
        <v>2</v>
      </c>
      <c r="J51" s="36">
        <f t="shared" si="5"/>
        <v>2.5900000000000002E-14</v>
      </c>
      <c r="K51" s="35"/>
      <c r="L51" s="41">
        <f>J51*speciesvalue</f>
        <v>2.2403500000000003E-3</v>
      </c>
    </row>
    <row r="52" spans="1:12">
      <c r="A52" s="34" t="s">
        <v>24</v>
      </c>
      <c r="B52" s="34" t="s">
        <v>282</v>
      </c>
      <c r="C52" s="34" t="s">
        <v>279</v>
      </c>
      <c r="E52" s="34" t="s">
        <v>279</v>
      </c>
      <c r="J52" s="35"/>
      <c r="K52" s="35"/>
      <c r="L52" s="50">
        <f>SUM(L33:L51)</f>
        <v>6.099542840266297</v>
      </c>
    </row>
    <row r="53" spans="1:12">
      <c r="J53" s="35"/>
      <c r="K53" s="35"/>
    </row>
    <row r="54" spans="1:12">
      <c r="A54" s="34" t="s">
        <v>289</v>
      </c>
      <c r="B54" s="34" t="s">
        <v>282</v>
      </c>
      <c r="C54" s="42" t="s">
        <v>290</v>
      </c>
      <c r="I54" s="43">
        <f>14/46</f>
        <v>0.30434782608695654</v>
      </c>
      <c r="J54" s="35"/>
      <c r="K54" s="35"/>
      <c r="L54" s="76">
        <f>0.941*NOxvalue</f>
        <v>5.7396698126905852</v>
      </c>
    </row>
    <row r="55" spans="1:12">
      <c r="A55" s="34" t="s">
        <v>291</v>
      </c>
      <c r="B55" s="34" t="s">
        <v>282</v>
      </c>
      <c r="C55" s="42" t="s">
        <v>292</v>
      </c>
      <c r="J55" s="35"/>
      <c r="K55" s="35"/>
      <c r="L55" s="76">
        <f>0.73*NOxvalue</f>
        <v>4.4526662733943967</v>
      </c>
    </row>
    <row r="56" spans="1:12">
      <c r="J56" s="35"/>
      <c r="K56" s="35"/>
    </row>
    <row r="57" spans="1:12">
      <c r="A57" s="34" t="s">
        <v>25</v>
      </c>
      <c r="B57" s="34" t="s">
        <v>11</v>
      </c>
      <c r="C57" s="34" t="s">
        <v>257</v>
      </c>
      <c r="D57" s="42" t="s">
        <v>139</v>
      </c>
      <c r="E57" s="42" t="s">
        <v>270</v>
      </c>
      <c r="F57" s="74">
        <f>CO2_YLL_charfact</f>
        <v>-1.5118165249088695E-7</v>
      </c>
      <c r="G57" s="79">
        <f>EXP(SQRT(LN(G5)^2+LN(I5)^2))</f>
        <v>2.0477151450930107</v>
      </c>
      <c r="H57" s="34">
        <v>273</v>
      </c>
      <c r="I57" s="34">
        <v>1.21</v>
      </c>
      <c r="J57" s="74">
        <f>F57*H57</f>
        <v>-4.1272591130012135E-5</v>
      </c>
      <c r="K57" s="35"/>
      <c r="L57" s="76">
        <f>J57*YLLvalue</f>
        <v>-3.772314829283109</v>
      </c>
    </row>
    <row r="58" spans="1:12">
      <c r="A58" s="34" t="s">
        <v>25</v>
      </c>
      <c r="B58" s="34" t="s">
        <v>11</v>
      </c>
      <c r="C58" s="34" t="s">
        <v>257</v>
      </c>
      <c r="D58" s="42" t="s">
        <v>139</v>
      </c>
      <c r="E58" s="42" t="s">
        <v>293</v>
      </c>
      <c r="F58" s="1">
        <v>1.7799999999999999E-4</v>
      </c>
      <c r="G58" s="34">
        <v>3</v>
      </c>
      <c r="H58" s="34">
        <v>1.7000000000000001E-2</v>
      </c>
      <c r="I58" s="34">
        <v>1.5</v>
      </c>
      <c r="J58" s="74">
        <f>F58*H58</f>
        <v>3.0259999999999999E-6</v>
      </c>
      <c r="K58" s="35"/>
      <c r="L58" s="76">
        <f>J58*YLLvalue</f>
        <v>0.2765764</v>
      </c>
    </row>
    <row r="59" spans="1:12">
      <c r="A59" s="34" t="s">
        <v>25</v>
      </c>
      <c r="B59" s="34" t="s">
        <v>11</v>
      </c>
      <c r="C59" s="42" t="s">
        <v>263</v>
      </c>
      <c r="D59" s="42" t="s">
        <v>139</v>
      </c>
      <c r="E59" s="42" t="s">
        <v>270</v>
      </c>
      <c r="F59" s="74">
        <f>CO2_severewasting_charfact</f>
        <v>6.6767922235722966E-6</v>
      </c>
      <c r="G59" s="79">
        <f>EXP(SQRT(LN(G8)^2+LN(I8)^2))</f>
        <v>2.0477151450930107</v>
      </c>
      <c r="H59" s="75">
        <f>H57</f>
        <v>273</v>
      </c>
      <c r="I59" s="75">
        <f>I57</f>
        <v>1.21</v>
      </c>
      <c r="J59" s="74">
        <f>F59*H59</f>
        <v>1.8227642770352369E-3</v>
      </c>
      <c r="K59" s="35"/>
      <c r="L59" s="76">
        <f>J59*severe_wasting_value</f>
        <v>21.324883829890645</v>
      </c>
    </row>
    <row r="60" spans="1:12">
      <c r="A60" s="34" t="s">
        <v>25</v>
      </c>
      <c r="B60" s="34" t="s">
        <v>11</v>
      </c>
      <c r="C60" s="42" t="s">
        <v>265</v>
      </c>
      <c r="D60" s="42" t="s">
        <v>139</v>
      </c>
      <c r="E60" s="42" t="s">
        <v>270</v>
      </c>
      <c r="F60" s="74">
        <f>J9</f>
        <v>4.1777642770352372E-3</v>
      </c>
      <c r="G60" s="79">
        <f>EXP(SQRT(LN(G9)^2+LN(I9)^2))</f>
        <v>2.0477151450930107</v>
      </c>
      <c r="H60" s="75">
        <f>H59</f>
        <v>273</v>
      </c>
      <c r="I60" s="75">
        <f>I59</f>
        <v>1.21</v>
      </c>
      <c r="J60" s="74">
        <f t="shared" ref="J60:J67" si="6">F60*H60</f>
        <v>1.1405296476306197</v>
      </c>
      <c r="K60" s="35"/>
      <c r="L60" s="76">
        <f>J60*working_capacity</f>
        <v>52.122204896719325</v>
      </c>
    </row>
    <row r="61" spans="1:12">
      <c r="A61" s="34" t="s">
        <v>25</v>
      </c>
      <c r="B61" s="34" t="s">
        <v>11</v>
      </c>
      <c r="C61" s="42" t="s">
        <v>266</v>
      </c>
      <c r="D61" s="42" t="s">
        <v>139</v>
      </c>
      <c r="E61" s="42" t="s">
        <v>270</v>
      </c>
      <c r="F61" s="74">
        <f>J10</f>
        <v>1.4307411907654921E-7</v>
      </c>
      <c r="G61" s="79">
        <f>EXP(SQRT(LN(G10)^2+LN(I10)^2))</f>
        <v>2.0477151450930107</v>
      </c>
      <c r="H61" s="75">
        <f t="shared" ref="H61:H67" si="7">H60</f>
        <v>273</v>
      </c>
      <c r="I61" s="75">
        <f t="shared" ref="I61:I67" si="8">I60</f>
        <v>1.21</v>
      </c>
      <c r="J61" s="74">
        <f t="shared" si="6"/>
        <v>3.9059234507897937E-5</v>
      </c>
      <c r="K61" s="35"/>
      <c r="L61" s="76">
        <f>J61*diarrhea_value</f>
        <v>0.6711626383961119</v>
      </c>
    </row>
    <row r="62" spans="1:12">
      <c r="A62" s="34" t="s">
        <v>25</v>
      </c>
      <c r="B62" s="34" t="s">
        <v>11</v>
      </c>
      <c r="C62" s="42" t="s">
        <v>269</v>
      </c>
      <c r="D62" s="42" t="s">
        <v>11</v>
      </c>
      <c r="E62" s="42" t="s">
        <v>270</v>
      </c>
      <c r="F62" s="74">
        <f>CO2_crop_charfact</f>
        <v>1.8728799615228837E-2</v>
      </c>
      <c r="G62" s="79">
        <f>EXP(SQRT(LN(G11)^2+LN(I11)^2))</f>
        <v>2.0477151450930107</v>
      </c>
      <c r="H62" s="75">
        <f t="shared" si="7"/>
        <v>273</v>
      </c>
      <c r="I62" s="75">
        <f t="shared" si="8"/>
        <v>1.21</v>
      </c>
      <c r="J62" s="74">
        <f t="shared" si="6"/>
        <v>5.1129622949574722</v>
      </c>
      <c r="K62" s="35"/>
      <c r="L62" s="76">
        <f>J62*cropvalue</f>
        <v>2.1883478622417982</v>
      </c>
    </row>
    <row r="63" spans="1:12">
      <c r="A63" s="34" t="s">
        <v>25</v>
      </c>
      <c r="B63" s="34" t="s">
        <v>11</v>
      </c>
      <c r="C63" s="42" t="s">
        <v>272</v>
      </c>
      <c r="D63" s="42" t="s">
        <v>11</v>
      </c>
      <c r="E63" s="42" t="s">
        <v>270</v>
      </c>
      <c r="F63" s="74">
        <f>CO2_meat_charfact</f>
        <v>7.9048450789793437E-4</v>
      </c>
      <c r="G63" s="79">
        <f>EXP(SQRT(LN(G13)^2+LN(I13)^2))</f>
        <v>2.0477151450930107</v>
      </c>
      <c r="H63" s="75">
        <f t="shared" si="7"/>
        <v>273</v>
      </c>
      <c r="I63" s="75">
        <f t="shared" si="8"/>
        <v>1.21</v>
      </c>
      <c r="J63" s="74">
        <f t="shared" si="6"/>
        <v>0.21580227065613608</v>
      </c>
      <c r="K63" s="35"/>
      <c r="L63" s="76">
        <f>J63*meatvalue</f>
        <v>0.52278100066448963</v>
      </c>
    </row>
    <row r="64" spans="1:12">
      <c r="A64" s="34" t="s">
        <v>25</v>
      </c>
      <c r="B64" s="34" t="s">
        <v>11</v>
      </c>
      <c r="C64" s="42" t="s">
        <v>274</v>
      </c>
      <c r="D64" s="42" t="s">
        <v>11</v>
      </c>
      <c r="E64" s="42" t="s">
        <v>270</v>
      </c>
      <c r="F64" s="74">
        <f>CO2_fish_charfact</f>
        <v>4.8645200486026732E-5</v>
      </c>
      <c r="G64" s="79">
        <f>EXP(SQRT(LN(G14)^2+LN(I14)^2))</f>
        <v>3.0454181999036112</v>
      </c>
      <c r="H64" s="75">
        <f t="shared" si="7"/>
        <v>273</v>
      </c>
      <c r="I64" s="75">
        <f t="shared" si="8"/>
        <v>1.21</v>
      </c>
      <c r="J64" s="74">
        <f t="shared" si="6"/>
        <v>1.3280139732685298E-2</v>
      </c>
      <c r="K64" s="35"/>
      <c r="L64" s="76">
        <f>J64*meatvalue</f>
        <v>3.2171138502430134E-2</v>
      </c>
    </row>
    <row r="65" spans="1:12">
      <c r="A65" s="34" t="s">
        <v>25</v>
      </c>
      <c r="B65" s="34" t="s">
        <v>11</v>
      </c>
      <c r="C65" s="34" t="s">
        <v>275</v>
      </c>
      <c r="D65" s="42" t="s">
        <v>11</v>
      </c>
      <c r="E65" s="42" t="s">
        <v>270</v>
      </c>
      <c r="F65" s="74">
        <f>CO2_wood_charfact</f>
        <v>-2.8614823815309842E-2</v>
      </c>
      <c r="G65" s="79">
        <f>EXP(SQRT(LN(G15)^2+LN(I15)^2))</f>
        <v>2.0477151450930107</v>
      </c>
      <c r="H65" s="75">
        <f t="shared" si="7"/>
        <v>273</v>
      </c>
      <c r="I65" s="75">
        <f t="shared" si="8"/>
        <v>1.21</v>
      </c>
      <c r="J65" s="74">
        <f t="shared" si="6"/>
        <v>-7.8118469015795871</v>
      </c>
      <c r="K65" s="35"/>
      <c r="L65" s="76">
        <f>J65*woodvalue</f>
        <v>-1.7967247873633052</v>
      </c>
    </row>
    <row r="66" spans="1:12">
      <c r="A66" s="34" t="s">
        <v>25</v>
      </c>
      <c r="B66" s="34" t="s">
        <v>11</v>
      </c>
      <c r="C66" s="34" t="s">
        <v>276</v>
      </c>
      <c r="D66" s="42" t="s">
        <v>11</v>
      </c>
      <c r="E66" s="42" t="s">
        <v>270</v>
      </c>
      <c r="F66" s="74">
        <f>J16</f>
        <v>0.15022782503037668</v>
      </c>
      <c r="G66" s="79">
        <f>EXP(SQRT(LN(G16)^2+LN(I16)^2))</f>
        <v>3.0454181999036112</v>
      </c>
      <c r="H66" s="75">
        <f t="shared" si="7"/>
        <v>273</v>
      </c>
      <c r="I66" s="75">
        <f t="shared" si="8"/>
        <v>1.21</v>
      </c>
      <c r="J66" s="74">
        <f t="shared" si="6"/>
        <v>41.012196233292833</v>
      </c>
      <c r="K66" s="35"/>
      <c r="L66" s="76">
        <f>J66*drinkingwatervalue</f>
        <v>5.8647440613608756E-2</v>
      </c>
    </row>
    <row r="67" spans="1:12">
      <c r="A67" s="34" t="s">
        <v>25</v>
      </c>
      <c r="B67" s="34" t="s">
        <v>11</v>
      </c>
      <c r="C67" s="34" t="s">
        <v>277</v>
      </c>
      <c r="D67" s="42" t="s">
        <v>281</v>
      </c>
      <c r="E67" s="42" t="s">
        <v>270</v>
      </c>
      <c r="F67" s="74">
        <f>J17</f>
        <v>1.2717699473471042E-16</v>
      </c>
      <c r="G67" s="79">
        <f>EXP(SQRT(LN(G17)^2+LN(I17)^2))</f>
        <v>2.0477151450930107</v>
      </c>
      <c r="H67" s="75">
        <f t="shared" si="7"/>
        <v>273</v>
      </c>
      <c r="I67" s="75">
        <f t="shared" si="8"/>
        <v>1.21</v>
      </c>
      <c r="J67" s="74">
        <f t="shared" si="6"/>
        <v>3.4719319562575945E-14</v>
      </c>
      <c r="K67" s="35"/>
      <c r="L67" s="76">
        <f>J67*speciesvalue</f>
        <v>3.0032211421628192E-3</v>
      </c>
    </row>
    <row r="68" spans="1:12">
      <c r="A68" s="34" t="s">
        <v>25</v>
      </c>
      <c r="B68" s="34" t="s">
        <v>11</v>
      </c>
      <c r="C68" s="34" t="s">
        <v>279</v>
      </c>
      <c r="E68" s="34" t="s">
        <v>279</v>
      </c>
      <c r="J68" s="35"/>
      <c r="K68" s="35"/>
      <c r="L68" s="76">
        <f>SUM(L57:L67)</f>
        <v>71.630738811524168</v>
      </c>
    </row>
    <row r="70" spans="1:12">
      <c r="A70" s="34" t="s">
        <v>26</v>
      </c>
      <c r="B70" s="34" t="s">
        <v>11</v>
      </c>
      <c r="C70" s="34" t="s">
        <v>257</v>
      </c>
      <c r="D70" s="42" t="s">
        <v>139</v>
      </c>
      <c r="E70" s="42" t="s">
        <v>294</v>
      </c>
      <c r="F70" s="35">
        <f xml:space="preserve"> 0.006*15/10*0.516*8200000000/75*1/12</f>
        <v>42312</v>
      </c>
      <c r="G70" s="34">
        <v>2</v>
      </c>
      <c r="H70" s="35">
        <f>1/76000000000</f>
        <v>1.3157894736842105E-11</v>
      </c>
      <c r="I70" s="34">
        <v>2</v>
      </c>
      <c r="J70" s="36">
        <f>F70*H70</f>
        <v>5.5673684210526314E-7</v>
      </c>
      <c r="L70" s="37">
        <f>J70*YLLvalue</f>
        <v>5.0885747368421053E-2</v>
      </c>
    </row>
    <row r="71" spans="1:12">
      <c r="A71" s="34" t="s">
        <v>26</v>
      </c>
      <c r="B71" s="34" t="s">
        <v>11</v>
      </c>
      <c r="C71" s="34" t="s">
        <v>257</v>
      </c>
      <c r="D71" s="42" t="s">
        <v>139</v>
      </c>
      <c r="E71" s="34" t="s">
        <v>270</v>
      </c>
      <c r="F71" s="36">
        <f>CO2_YLL_charfact</f>
        <v>-1.5118165249088695E-7</v>
      </c>
      <c r="G71" s="39">
        <f>EXP(SQRT(LN(G5)^2+LN(I5)^2))</f>
        <v>2.0477151450930107</v>
      </c>
      <c r="H71" s="34">
        <v>-123</v>
      </c>
      <c r="I71" s="34">
        <v>2</v>
      </c>
      <c r="J71" s="36">
        <f>F71*H71</f>
        <v>1.8595343256379095E-5</v>
      </c>
      <c r="L71" s="37">
        <f>J71*YLLvalue</f>
        <v>1.6996143736330493</v>
      </c>
    </row>
    <row r="72" spans="1:12">
      <c r="A72" s="34" t="s">
        <v>26</v>
      </c>
      <c r="B72" s="34" t="s">
        <v>11</v>
      </c>
      <c r="C72" s="34" t="s">
        <v>257</v>
      </c>
      <c r="D72" s="42" t="s">
        <v>139</v>
      </c>
      <c r="E72" s="34" t="s">
        <v>295</v>
      </c>
      <c r="F72" s="1">
        <f>Particles!F4</f>
        <v>232000000</v>
      </c>
      <c r="G72" s="34">
        <v>2</v>
      </c>
      <c r="H72" s="35">
        <v>4.2100000000000002E-13</v>
      </c>
      <c r="I72" s="34">
        <v>2</v>
      </c>
      <c r="J72" s="36">
        <f>F72*H72</f>
        <v>9.7672000000000009E-5</v>
      </c>
      <c r="K72" s="36">
        <f>SUM(J70:J72)</f>
        <v>1.1682408009848437E-4</v>
      </c>
      <c r="L72" s="37">
        <f>J72*YLLvalue</f>
        <v>8.9272208000000006</v>
      </c>
    </row>
    <row r="73" spans="1:12">
      <c r="A73" s="34" t="s">
        <v>26</v>
      </c>
      <c r="B73" s="34" t="s">
        <v>11</v>
      </c>
      <c r="C73" s="42" t="s">
        <v>296</v>
      </c>
      <c r="D73" s="42" t="s">
        <v>139</v>
      </c>
      <c r="E73" s="42" t="s">
        <v>294</v>
      </c>
      <c r="F73" s="35">
        <f xml:space="preserve"> 0.005*30/10*0.516*82000000000*0.01*3/365</f>
        <v>52165.479452054795</v>
      </c>
      <c r="G73" s="34">
        <v>3</v>
      </c>
      <c r="H73" s="35">
        <f>1/76000000000</f>
        <v>1.3157894736842105E-11</v>
      </c>
      <c r="I73" s="34">
        <v>2</v>
      </c>
      <c r="J73" s="36">
        <f>F73*H73</f>
        <v>6.8638788752703672E-7</v>
      </c>
      <c r="L73" s="36">
        <f>J73*asthmavalue</f>
        <v>2.2584907051189612E-3</v>
      </c>
    </row>
    <row r="74" spans="1:12">
      <c r="A74" s="34" t="s">
        <v>26</v>
      </c>
      <c r="B74" s="34" t="s">
        <v>11</v>
      </c>
      <c r="C74" s="42" t="s">
        <v>297</v>
      </c>
      <c r="D74" s="42" t="s">
        <v>139</v>
      </c>
      <c r="E74" s="42" t="s">
        <v>270</v>
      </c>
      <c r="F74" s="36">
        <f>CO2_severewasting_charfact</f>
        <v>6.6767922235722966E-6</v>
      </c>
      <c r="G74" s="39">
        <f>EXP(SQRT(LN(G8)^2+LN(I8)^2))</f>
        <v>2.0477151450930107</v>
      </c>
      <c r="H74" s="40">
        <f>H71</f>
        <v>-123</v>
      </c>
      <c r="I74" s="75">
        <f>I71</f>
        <v>2</v>
      </c>
      <c r="J74" s="74">
        <f>F74*H74</f>
        <v>-8.2124544349939245E-4</v>
      </c>
      <c r="K74" s="35"/>
      <c r="L74" s="41">
        <f>J74*severe_wasting_value</f>
        <v>-9.6079146925880927</v>
      </c>
    </row>
    <row r="75" spans="1:12">
      <c r="A75" s="34" t="s">
        <v>26</v>
      </c>
      <c r="B75" s="34" t="s">
        <v>11</v>
      </c>
      <c r="C75" s="42" t="s">
        <v>265</v>
      </c>
      <c r="D75" s="42" t="s">
        <v>147</v>
      </c>
      <c r="E75" s="42" t="s">
        <v>270</v>
      </c>
      <c r="F75" s="36">
        <f>CO2_workingcapacity_charfact</f>
        <v>4.1777642770352372E-3</v>
      </c>
      <c r="G75" s="39">
        <f>EXP(SQRT(LN(G9)^2+LN(I9)^2))</f>
        <v>2.0477151450930107</v>
      </c>
      <c r="H75" s="40">
        <f>H74</f>
        <v>-123</v>
      </c>
      <c r="I75" s="75">
        <f t="shared" ref="I75:I77" si="9">I72</f>
        <v>2</v>
      </c>
      <c r="J75" s="74">
        <f t="shared" ref="J75:J84" si="10">F75*H75</f>
        <v>-0.51386500607533414</v>
      </c>
      <c r="K75" s="35"/>
      <c r="L75" s="41">
        <f>J75*working_capacity</f>
        <v>-23.483630777642773</v>
      </c>
    </row>
    <row r="76" spans="1:12">
      <c r="A76" s="34" t="s">
        <v>26</v>
      </c>
      <c r="B76" s="34" t="s">
        <v>11</v>
      </c>
      <c r="C76" s="42" t="s">
        <v>266</v>
      </c>
      <c r="D76" s="42" t="s">
        <v>139</v>
      </c>
      <c r="E76" s="42" t="s">
        <v>270</v>
      </c>
      <c r="F76" s="36">
        <f>CO2_diarrhea_charfact</f>
        <v>1.4307411907654921E-7</v>
      </c>
      <c r="G76" s="39">
        <f>EXP(SQRT(LN(G10)^2+LN(I10)^2))</f>
        <v>2.0477151450930107</v>
      </c>
      <c r="H76" s="40">
        <f t="shared" ref="H76:H77" si="11">H75</f>
        <v>-123</v>
      </c>
      <c r="I76" s="75">
        <f t="shared" si="9"/>
        <v>2</v>
      </c>
      <c r="J76" s="74">
        <f t="shared" si="10"/>
        <v>-1.7598116646415552E-5</v>
      </c>
      <c r="K76" s="35"/>
      <c r="L76" s="41">
        <f>J76*diarrhea_value</f>
        <v>-0.30239195795868773</v>
      </c>
    </row>
    <row r="77" spans="1:12">
      <c r="A77" s="34" t="s">
        <v>26</v>
      </c>
      <c r="B77" s="34" t="s">
        <v>11</v>
      </c>
      <c r="C77" s="42" t="s">
        <v>269</v>
      </c>
      <c r="D77" s="42" t="s">
        <v>11</v>
      </c>
      <c r="E77" s="42" t="s">
        <v>270</v>
      </c>
      <c r="F77" s="36">
        <f>CO2_crop_charfact</f>
        <v>1.8728799615228837E-2</v>
      </c>
      <c r="G77" s="39">
        <f>EXP(SQRT(LN(G11)^2+LN(I11)^2))</f>
        <v>2.0477151450930107</v>
      </c>
      <c r="H77" s="40">
        <f t="shared" si="11"/>
        <v>-123</v>
      </c>
      <c r="I77" s="75">
        <f t="shared" si="9"/>
        <v>2</v>
      </c>
      <c r="J77" s="74">
        <f t="shared" si="10"/>
        <v>-2.3036423526731471</v>
      </c>
      <c r="K77" s="35"/>
      <c r="L77" s="41">
        <f>J77*cropvalue</f>
        <v>-0.98595892694410692</v>
      </c>
    </row>
    <row r="78" spans="1:12">
      <c r="A78" s="34" t="s">
        <v>26</v>
      </c>
      <c r="B78" s="34" t="s">
        <v>11</v>
      </c>
      <c r="C78" s="34" t="s">
        <v>274</v>
      </c>
      <c r="D78" s="34" t="s">
        <v>11</v>
      </c>
      <c r="E78" s="34" t="s">
        <v>286</v>
      </c>
      <c r="F78" s="36">
        <f>F44</f>
        <v>100000000</v>
      </c>
      <c r="G78" s="40">
        <f>G44</f>
        <v>3</v>
      </c>
      <c r="H78" s="36">
        <f>H70</f>
        <v>1.3157894736842105E-11</v>
      </c>
      <c r="I78" s="34">
        <v>3</v>
      </c>
      <c r="J78" s="74">
        <f>F78*H78</f>
        <v>1.3157894736842105E-3</v>
      </c>
      <c r="K78" s="35"/>
      <c r="L78" s="36">
        <f>J78*fishvalue</f>
        <v>3.9736842105263159E-3</v>
      </c>
    </row>
    <row r="79" spans="1:12">
      <c r="A79" s="34" t="s">
        <v>26</v>
      </c>
      <c r="B79" s="34" t="s">
        <v>11</v>
      </c>
      <c r="C79" s="42" t="s">
        <v>272</v>
      </c>
      <c r="D79" s="42" t="s">
        <v>11</v>
      </c>
      <c r="E79" s="42" t="s">
        <v>270</v>
      </c>
      <c r="F79" s="36">
        <f>CO2_meat_charfact</f>
        <v>7.9048450789793437E-4</v>
      </c>
      <c r="G79" s="39">
        <f>EXP(SQRT(LN(G13)^2+LN(I13)^2))</f>
        <v>2.0477151450930107</v>
      </c>
      <c r="H79" s="40">
        <f>H76</f>
        <v>-123</v>
      </c>
      <c r="I79" s="75">
        <f>I71</f>
        <v>2</v>
      </c>
      <c r="J79" s="74">
        <f t="shared" si="10"/>
        <v>-9.7229594471445926E-2</v>
      </c>
      <c r="K79" s="35"/>
      <c r="L79" s="41">
        <f>J79*meatvalue</f>
        <v>-0.23553869260707774</v>
      </c>
    </row>
    <row r="80" spans="1:12">
      <c r="A80" s="34" t="s">
        <v>26</v>
      </c>
      <c r="B80" s="34" t="s">
        <v>11</v>
      </c>
      <c r="C80" s="42" t="s">
        <v>274</v>
      </c>
      <c r="D80" s="42" t="s">
        <v>11</v>
      </c>
      <c r="E80" s="42" t="s">
        <v>270</v>
      </c>
      <c r="F80" s="36">
        <f>CO2_fish_charfact</f>
        <v>4.8645200486026732E-5</v>
      </c>
      <c r="G80" s="39">
        <f>EXP(SQRT(LN(G14)^2+LN(I14)^2))</f>
        <v>3.0454181999036112</v>
      </c>
      <c r="H80" s="40">
        <f t="shared" ref="H80" si="12">H77</f>
        <v>-123</v>
      </c>
      <c r="I80" s="75">
        <f>I71</f>
        <v>2</v>
      </c>
      <c r="J80" s="74">
        <f t="shared" si="10"/>
        <v>-5.9833596597812884E-3</v>
      </c>
      <c r="K80" s="35"/>
      <c r="L80" s="41">
        <f>J80*fishvalue</f>
        <v>-1.8069746172539491E-2</v>
      </c>
    </row>
    <row r="81" spans="1:12">
      <c r="A81" s="34" t="s">
        <v>26</v>
      </c>
      <c r="B81" s="34" t="s">
        <v>11</v>
      </c>
      <c r="C81" s="34" t="s">
        <v>275</v>
      </c>
      <c r="D81" s="42" t="s">
        <v>11</v>
      </c>
      <c r="E81" s="42" t="s">
        <v>270</v>
      </c>
      <c r="F81" s="36">
        <f>CO2_wood_charfact</f>
        <v>-2.8614823815309842E-2</v>
      </c>
      <c r="G81" s="39">
        <f>EXP(SQRT(LN(G15)^2+LN(I15)^2))</f>
        <v>2.0477151450930107</v>
      </c>
      <c r="H81" s="40">
        <f>H80</f>
        <v>-123</v>
      </c>
      <c r="I81" s="75">
        <f>I71</f>
        <v>2</v>
      </c>
      <c r="J81" s="74">
        <f t="shared" si="10"/>
        <v>3.5196233292831107</v>
      </c>
      <c r="K81" s="35"/>
      <c r="L81" s="36">
        <f>J81*woodvalue</f>
        <v>0.80951336573511545</v>
      </c>
    </row>
    <row r="82" spans="1:12">
      <c r="A82" s="34" t="s">
        <v>26</v>
      </c>
      <c r="B82" s="34" t="s">
        <v>11</v>
      </c>
      <c r="C82" s="34" t="s">
        <v>276</v>
      </c>
      <c r="D82" s="42" t="s">
        <v>11</v>
      </c>
      <c r="E82" s="42" t="s">
        <v>270</v>
      </c>
      <c r="F82" s="36">
        <f>CO2_drinkingwater_charfact</f>
        <v>0.15022782503037668</v>
      </c>
      <c r="G82" s="39">
        <f>EXP(SQRT(LN(G16)^2+LN(I16)^2))</f>
        <v>3.0454181999036112</v>
      </c>
      <c r="H82" s="40">
        <f t="shared" ref="H82:H83" si="13">H81</f>
        <v>-123</v>
      </c>
      <c r="I82" s="75">
        <f>I71</f>
        <v>2</v>
      </c>
      <c r="J82" s="74">
        <f t="shared" si="10"/>
        <v>-18.478022478736332</v>
      </c>
      <c r="K82" s="35"/>
      <c r="L82" s="41">
        <f>J82*drinkingwatervalue</f>
        <v>-2.6423572144592955E-2</v>
      </c>
    </row>
    <row r="83" spans="1:12">
      <c r="A83" s="34" t="s">
        <v>26</v>
      </c>
      <c r="B83" s="34" t="s">
        <v>11</v>
      </c>
      <c r="C83" s="34" t="s">
        <v>277</v>
      </c>
      <c r="D83" s="42" t="s">
        <v>281</v>
      </c>
      <c r="E83" s="42" t="s">
        <v>270</v>
      </c>
      <c r="F83" s="36">
        <f>CO2_NEX_charfact</f>
        <v>1.2717699473471042E-16</v>
      </c>
      <c r="G83" s="39">
        <f>EXP(SQRT(LN(G17)^2+LN(I17)^2))</f>
        <v>2.0477151450930107</v>
      </c>
      <c r="H83" s="40">
        <f t="shared" si="13"/>
        <v>-123</v>
      </c>
      <c r="I83" s="75">
        <f>I71</f>
        <v>2</v>
      </c>
      <c r="J83" s="74">
        <f t="shared" si="10"/>
        <v>-1.564277035236938E-14</v>
      </c>
      <c r="L83" s="41">
        <f>J83*speciesvalue</f>
        <v>-1.3530996354799514E-3</v>
      </c>
    </row>
    <row r="84" spans="1:12">
      <c r="A84" s="34" t="s">
        <v>26</v>
      </c>
      <c r="B84" s="34" t="s">
        <v>11</v>
      </c>
      <c r="C84" s="34" t="s">
        <v>277</v>
      </c>
      <c r="D84" s="42" t="s">
        <v>281</v>
      </c>
      <c r="E84" s="34" t="s">
        <v>286</v>
      </c>
      <c r="F84" s="34">
        <v>1E-3</v>
      </c>
      <c r="G84" s="34">
        <v>3</v>
      </c>
      <c r="H84" s="35">
        <v>7.3699999999999995E-12</v>
      </c>
      <c r="I84" s="34">
        <v>3</v>
      </c>
      <c r="J84" s="74">
        <f t="shared" si="10"/>
        <v>7.3699999999999995E-15</v>
      </c>
      <c r="L84" s="36">
        <f>J84*speciesvalue</f>
        <v>6.3750499999999991E-4</v>
      </c>
    </row>
    <row r="85" spans="1:12">
      <c r="A85" s="34" t="s">
        <v>26</v>
      </c>
      <c r="B85" s="34" t="s">
        <v>11</v>
      </c>
      <c r="C85" s="42" t="s">
        <v>298</v>
      </c>
      <c r="D85" s="42" t="s">
        <v>10</v>
      </c>
      <c r="E85" s="34" t="s">
        <v>299</v>
      </c>
      <c r="F85" s="35">
        <f>23800000000</f>
        <v>23800000000</v>
      </c>
      <c r="G85" s="34">
        <v>3</v>
      </c>
      <c r="H85" s="35">
        <f>1/120000000000</f>
        <v>8.3333333333333336E-12</v>
      </c>
      <c r="I85" s="34">
        <v>2</v>
      </c>
      <c r="J85" s="74">
        <f>F85*H85</f>
        <v>0.19833333333333333</v>
      </c>
      <c r="K85" s="35"/>
      <c r="L85" s="36">
        <f>J85</f>
        <v>0.19833333333333333</v>
      </c>
    </row>
    <row r="86" spans="1:12">
      <c r="A86" s="34" t="s">
        <v>26</v>
      </c>
      <c r="B86" s="34" t="s">
        <v>11</v>
      </c>
      <c r="C86" s="34" t="s">
        <v>279</v>
      </c>
      <c r="E86" s="34" t="s">
        <v>279</v>
      </c>
      <c r="L86" s="50">
        <f>SUM(L70:L85)</f>
        <v>-22.96884416570779</v>
      </c>
    </row>
    <row r="88" spans="1:12">
      <c r="A88" s="34" t="s">
        <v>27</v>
      </c>
      <c r="B88" s="34" t="s">
        <v>11</v>
      </c>
      <c r="C88" s="34" t="s">
        <v>279</v>
      </c>
      <c r="D88" s="34" t="s">
        <v>10</v>
      </c>
      <c r="E88" s="34" t="s">
        <v>300</v>
      </c>
      <c r="F88" s="74">
        <f>SO2value</f>
        <v>-22.96884416570779</v>
      </c>
      <c r="G88" s="34">
        <v>3.3</v>
      </c>
      <c r="H88" s="35">
        <f>64/34</f>
        <v>1.8823529411764706</v>
      </c>
      <c r="I88" s="34">
        <v>2</v>
      </c>
      <c r="J88" s="74">
        <f>F88*H88</f>
        <v>-43.235471370744072</v>
      </c>
      <c r="K88" s="35"/>
      <c r="L88" s="76">
        <f>J88</f>
        <v>-43.235471370744072</v>
      </c>
    </row>
    <row r="90" spans="1:12">
      <c r="A90" s="34" t="s">
        <v>28</v>
      </c>
      <c r="B90" s="34" t="s">
        <v>11</v>
      </c>
      <c r="C90" s="34" t="s">
        <v>257</v>
      </c>
      <c r="D90" s="42" t="s">
        <v>139</v>
      </c>
      <c r="E90" s="34" t="s">
        <v>301</v>
      </c>
      <c r="F90" s="74">
        <f>SO2_secaerosols_YLL_charfact</f>
        <v>9.7672000000000009E-5</v>
      </c>
      <c r="G90" s="79">
        <f>EXP(SQRT(LN(G72)^2+LN(I72)^2))</f>
        <v>2.6651441426902251</v>
      </c>
      <c r="H90" s="35">
        <v>0.63</v>
      </c>
      <c r="I90" s="34">
        <v>1.1000000000000001</v>
      </c>
      <c r="J90" s="74">
        <f>F90*H90</f>
        <v>6.1533360000000007E-5</v>
      </c>
      <c r="K90" s="35"/>
      <c r="L90" s="76">
        <f>J90*YLLvalue</f>
        <v>5.6241491040000007</v>
      </c>
    </row>
    <row r="91" spans="1:12">
      <c r="A91" s="34" t="s">
        <v>28</v>
      </c>
      <c r="B91" s="34" t="s">
        <v>11</v>
      </c>
      <c r="C91" s="42" t="s">
        <v>297</v>
      </c>
      <c r="D91" s="42" t="s">
        <v>139</v>
      </c>
      <c r="E91" s="34" t="s">
        <v>301</v>
      </c>
      <c r="F91" s="74">
        <f>SO2_undernutrition_charfact</f>
        <v>-8.2124544349939245E-4</v>
      </c>
      <c r="G91" s="79">
        <f>EXP(SQRT(LN(G74)^2+LN(I74)^2))</f>
        <v>2.7103270070946208</v>
      </c>
      <c r="H91" s="74">
        <f>H90</f>
        <v>0.63</v>
      </c>
      <c r="I91" s="34">
        <v>1.1000000000000001</v>
      </c>
      <c r="J91" s="74">
        <f t="shared" ref="J91:J101" si="14">F91*H91</f>
        <v>-5.1738462940461726E-4</v>
      </c>
      <c r="K91" s="35"/>
      <c r="L91" s="76">
        <f>J91*severe_wasting_value</f>
        <v>-6.0529862563304988</v>
      </c>
    </row>
    <row r="92" spans="1:12">
      <c r="A92" s="34" t="s">
        <v>28</v>
      </c>
      <c r="B92" s="34" t="s">
        <v>11</v>
      </c>
      <c r="C92" s="42" t="s">
        <v>265</v>
      </c>
      <c r="D92" s="42" t="s">
        <v>139</v>
      </c>
      <c r="E92" s="34" t="s">
        <v>301</v>
      </c>
      <c r="F92" s="74">
        <f>SO2_workingcapacity_charfact</f>
        <v>-0.51386500607533414</v>
      </c>
      <c r="G92" s="79">
        <f>EXP(SQRT(LN(G75)^2+LN(I75)^2))</f>
        <v>2.7103270070946208</v>
      </c>
      <c r="H92" s="74">
        <f t="shared" ref="H92:H95" si="15">H91</f>
        <v>0.63</v>
      </c>
      <c r="I92" s="34">
        <v>1.1000000000000001</v>
      </c>
      <c r="J92" s="74">
        <f t="shared" si="14"/>
        <v>-0.32373495382746054</v>
      </c>
      <c r="K92" s="35"/>
      <c r="L92" s="76">
        <f>J92*working_capacity</f>
        <v>-14.794687389914948</v>
      </c>
    </row>
    <row r="93" spans="1:12">
      <c r="A93" s="34" t="s">
        <v>28</v>
      </c>
      <c r="B93" s="34" t="s">
        <v>11</v>
      </c>
      <c r="C93" s="42" t="s">
        <v>266</v>
      </c>
      <c r="D93" s="42" t="s">
        <v>139</v>
      </c>
      <c r="E93" s="34" t="s">
        <v>301</v>
      </c>
      <c r="F93" s="74">
        <f>SO2_diarrhoea_charfact</f>
        <v>-1.7598116646415552E-5</v>
      </c>
      <c r="G93" s="79">
        <f>EXP(SQRT(LN(G76)^2+LN(I76)^2))</f>
        <v>2.7103270070946208</v>
      </c>
      <c r="H93" s="74">
        <f t="shared" si="15"/>
        <v>0.63</v>
      </c>
      <c r="I93" s="34">
        <v>1.1000000000000001</v>
      </c>
      <c r="J93" s="74">
        <f t="shared" si="14"/>
        <v>-1.1086813487241799E-5</v>
      </c>
      <c r="K93" s="35"/>
      <c r="L93" s="76">
        <f>J93*diarrhea_value</f>
        <v>-0.1905069335139733</v>
      </c>
    </row>
    <row r="94" spans="1:12">
      <c r="A94" s="34" t="s">
        <v>28</v>
      </c>
      <c r="B94" s="34" t="s">
        <v>11</v>
      </c>
      <c r="C94" s="42" t="s">
        <v>269</v>
      </c>
      <c r="D94" s="42" t="s">
        <v>11</v>
      </c>
      <c r="E94" s="34" t="s">
        <v>301</v>
      </c>
      <c r="F94" s="74">
        <f>SO2_crop_charfact</f>
        <v>-2.3036423526731471</v>
      </c>
      <c r="G94" s="79">
        <f>EXP(SQRT(LN(G77)^2+LN(I77)^2))</f>
        <v>2.7103270070946208</v>
      </c>
      <c r="H94" s="74">
        <f t="shared" si="15"/>
        <v>0.63</v>
      </c>
      <c r="I94" s="34">
        <v>1.1000000000000001</v>
      </c>
      <c r="J94" s="74">
        <f t="shared" si="14"/>
        <v>-1.4512946821840826</v>
      </c>
      <c r="K94" s="35"/>
      <c r="L94" s="76">
        <f>J94*cropvalue</f>
        <v>-0.62115412397478731</v>
      </c>
    </row>
    <row r="95" spans="1:12">
      <c r="A95" s="34" t="s">
        <v>28</v>
      </c>
      <c r="B95" s="34" t="s">
        <v>11</v>
      </c>
      <c r="C95" s="42" t="s">
        <v>274</v>
      </c>
      <c r="D95" s="42" t="s">
        <v>11</v>
      </c>
      <c r="E95" s="34" t="s">
        <v>301</v>
      </c>
      <c r="F95" s="74">
        <f>SO2_fish_climate_charfact</f>
        <v>-5.9833596597812884E-3</v>
      </c>
      <c r="G95" s="79">
        <f>EXP(SQRT(LN(G80)^2+LN(I80)^2))</f>
        <v>3.7126016008155194</v>
      </c>
      <c r="H95" s="74">
        <f t="shared" si="15"/>
        <v>0.63</v>
      </c>
      <c r="I95" s="34">
        <v>1.1000000000000001</v>
      </c>
      <c r="J95" s="74">
        <f t="shared" si="14"/>
        <v>-3.7695165856622115E-3</v>
      </c>
      <c r="K95" s="35"/>
      <c r="L95" s="76">
        <f>J95*fishvalue</f>
        <v>-1.1383940088699879E-2</v>
      </c>
    </row>
    <row r="96" spans="1:12">
      <c r="A96" s="34" t="s">
        <v>28</v>
      </c>
      <c r="B96" s="34" t="s">
        <v>11</v>
      </c>
      <c r="C96" s="42" t="s">
        <v>274</v>
      </c>
      <c r="D96" s="42" t="s">
        <v>11</v>
      </c>
      <c r="E96" s="34" t="s">
        <v>286</v>
      </c>
      <c r="F96" s="74">
        <f>SO2_fish_acidification_charfact</f>
        <v>1.3157894736842105E-3</v>
      </c>
      <c r="G96" s="79">
        <f>EXP(SQRT(LN(G78)^2+LN(I78)^2))</f>
        <v>4.7288043878374149</v>
      </c>
      <c r="H96" s="35">
        <f>32/20</f>
        <v>1.6</v>
      </c>
      <c r="I96" s="34">
        <v>1.1000000000000001</v>
      </c>
      <c r="J96" s="74">
        <f t="shared" si="14"/>
        <v>2.1052631578947368E-3</v>
      </c>
      <c r="K96" s="35"/>
      <c r="L96" s="76">
        <f>J96*fishvalue</f>
        <v>6.3578947368421049E-3</v>
      </c>
    </row>
    <row r="97" spans="1:12">
      <c r="A97" s="34" t="s">
        <v>28</v>
      </c>
      <c r="B97" s="34" t="s">
        <v>11</v>
      </c>
      <c r="C97" s="42" t="s">
        <v>272</v>
      </c>
      <c r="D97" s="42" t="s">
        <v>11</v>
      </c>
      <c r="E97" s="34" t="s">
        <v>301</v>
      </c>
      <c r="F97" s="74">
        <f>SO2_meat_charfact</f>
        <v>-9.7229594471445926E-2</v>
      </c>
      <c r="G97" s="79">
        <f>EXP(SQRT(LN(G79)^2+LN(I79)^2))</f>
        <v>2.7103270070946208</v>
      </c>
      <c r="H97" s="74">
        <f>H90</f>
        <v>0.63</v>
      </c>
      <c r="I97" s="34">
        <v>1.1000000000000001</v>
      </c>
      <c r="J97" s="74">
        <f t="shared" si="14"/>
        <v>-6.1254644517010931E-2</v>
      </c>
      <c r="K97" s="35"/>
      <c r="L97" s="76">
        <f>J97*meatvalue</f>
        <v>-0.14838937634245897</v>
      </c>
    </row>
    <row r="98" spans="1:12">
      <c r="A98" s="34" t="s">
        <v>28</v>
      </c>
      <c r="B98" s="34" t="s">
        <v>11</v>
      </c>
      <c r="C98" s="34" t="s">
        <v>275</v>
      </c>
      <c r="D98" s="42" t="s">
        <v>11</v>
      </c>
      <c r="E98" s="34" t="s">
        <v>301</v>
      </c>
      <c r="F98" s="74">
        <f>SO2_wood_charfact</f>
        <v>3.5196233292831107</v>
      </c>
      <c r="G98" s="79">
        <f>EXP(SQRT(LN(G81)^2+LN(I81)^2))</f>
        <v>2.7103270070946208</v>
      </c>
      <c r="H98" s="74">
        <f>H97</f>
        <v>0.63</v>
      </c>
      <c r="I98" s="34">
        <v>1.1000000000000001</v>
      </c>
      <c r="J98" s="74">
        <f t="shared" si="14"/>
        <v>2.2173626974483596</v>
      </c>
      <c r="K98" s="35"/>
      <c r="L98" s="76">
        <f>J98*woodvalue</f>
        <v>0.50999342041312268</v>
      </c>
    </row>
    <row r="99" spans="1:12">
      <c r="A99" s="34" t="s">
        <v>28</v>
      </c>
      <c r="B99" s="34" t="s">
        <v>11</v>
      </c>
      <c r="C99" s="34" t="s">
        <v>276</v>
      </c>
      <c r="D99" s="42" t="s">
        <v>11</v>
      </c>
      <c r="E99" s="34" t="s">
        <v>301</v>
      </c>
      <c r="F99" s="74">
        <f>SO2_drinkingwater_charfact</f>
        <v>-18.478022478736332</v>
      </c>
      <c r="G99" s="79">
        <f>EXP(SQRT(LN(G82)^2+LN(I82)^2))</f>
        <v>3.7126016008155194</v>
      </c>
      <c r="H99" s="74">
        <f t="shared" ref="H99:H100" si="16">H98</f>
        <v>0.63</v>
      </c>
      <c r="I99" s="34">
        <v>1.1000000000000001</v>
      </c>
      <c r="J99" s="74">
        <f t="shared" si="14"/>
        <v>-11.64115416160389</v>
      </c>
      <c r="K99" s="35"/>
      <c r="L99" s="76">
        <f>J99*drinkingwatervalue</f>
        <v>-1.6646850451093563E-2</v>
      </c>
    </row>
    <row r="100" spans="1:12">
      <c r="A100" s="34" t="s">
        <v>28</v>
      </c>
      <c r="B100" s="34" t="s">
        <v>11</v>
      </c>
      <c r="C100" s="34" t="s">
        <v>277</v>
      </c>
      <c r="D100" s="42" t="s">
        <v>281</v>
      </c>
      <c r="E100" s="34" t="s">
        <v>301</v>
      </c>
      <c r="F100" s="74">
        <f>SO2_NEX_climate_charfact</f>
        <v>-1.564277035236938E-14</v>
      </c>
      <c r="G100" s="79">
        <f>EXP(SQRT(LN(G83)^2+LN(I83)^2))</f>
        <v>2.7103270070946208</v>
      </c>
      <c r="H100" s="74">
        <f t="shared" si="16"/>
        <v>0.63</v>
      </c>
      <c r="I100" s="34">
        <v>1.1000000000000001</v>
      </c>
      <c r="J100" s="74">
        <f t="shared" si="14"/>
        <v>-9.8549453219927098E-15</v>
      </c>
      <c r="K100" s="35"/>
      <c r="L100" s="76">
        <f>J100*speciesvalue</f>
        <v>-8.5245277035236942E-4</v>
      </c>
    </row>
    <row r="101" spans="1:12">
      <c r="A101" s="34" t="s">
        <v>28</v>
      </c>
      <c r="B101" s="34" t="s">
        <v>11</v>
      </c>
      <c r="C101" s="34" t="s">
        <v>277</v>
      </c>
      <c r="D101" s="42" t="s">
        <v>281</v>
      </c>
      <c r="E101" s="34" t="s">
        <v>286</v>
      </c>
      <c r="F101" s="74">
        <f>SO2_NEX_acidification_charfact</f>
        <v>7.3699999999999995E-15</v>
      </c>
      <c r="G101" s="79">
        <f>EXP(SQRT(LN(G84)^2+LN(I84)^2))</f>
        <v>4.7288043878374149</v>
      </c>
      <c r="H101" s="35">
        <f>32/20</f>
        <v>1.6</v>
      </c>
      <c r="I101" s="34">
        <v>1.1000000000000001</v>
      </c>
      <c r="J101" s="74">
        <f t="shared" si="14"/>
        <v>1.1791999999999999E-14</v>
      </c>
      <c r="L101" s="76">
        <f>J101*speciesvalue</f>
        <v>1.020008E-3</v>
      </c>
    </row>
    <row r="102" spans="1:12">
      <c r="A102" s="34" t="s">
        <v>28</v>
      </c>
      <c r="B102" s="34" t="s">
        <v>11</v>
      </c>
      <c r="C102" s="34" t="s">
        <v>279</v>
      </c>
      <c r="E102" s="34" t="s">
        <v>279</v>
      </c>
      <c r="L102" s="76">
        <f>SUM(L90:L101)</f>
        <v>-15.695086896236846</v>
      </c>
    </row>
    <row r="104" spans="1:12">
      <c r="A104" s="34" t="s">
        <v>29</v>
      </c>
      <c r="B104" s="34" t="s">
        <v>11</v>
      </c>
      <c r="C104" s="34" t="s">
        <v>257</v>
      </c>
      <c r="D104" s="42" t="s">
        <v>139</v>
      </c>
      <c r="E104" s="34" t="s">
        <v>301</v>
      </c>
      <c r="F104" s="74">
        <f>SO2_secaerosols_YLL_charfact</f>
        <v>9.7672000000000009E-5</v>
      </c>
      <c r="G104" s="79">
        <f>EXP(SQRT(LN(G72)^2+LN(I72)^2))</f>
        <v>2.6651441426902251</v>
      </c>
      <c r="H104" s="35">
        <v>0.65</v>
      </c>
      <c r="I104" s="34">
        <v>1.1000000000000001</v>
      </c>
      <c r="J104" s="74">
        <f>F104*H104</f>
        <v>6.348680000000001E-5</v>
      </c>
      <c r="K104" s="35"/>
      <c r="L104" s="76">
        <f>J104*YLLvalue</f>
        <v>5.8026935200000009</v>
      </c>
    </row>
    <row r="105" spans="1:12">
      <c r="A105" s="34" t="s">
        <v>29</v>
      </c>
      <c r="B105" s="34" t="s">
        <v>11</v>
      </c>
      <c r="C105" s="42" t="s">
        <v>297</v>
      </c>
      <c r="D105" s="42" t="s">
        <v>139</v>
      </c>
      <c r="E105" s="34" t="s">
        <v>301</v>
      </c>
      <c r="F105" s="74">
        <f>SO2_undernutrition_charfact</f>
        <v>-8.2124544349939245E-4</v>
      </c>
      <c r="G105" s="79">
        <f t="shared" ref="G105:G115" si="17">EXP(SQRT(LN(G73)^2+LN(I73)^2))</f>
        <v>3.6656305802779316</v>
      </c>
      <c r="H105" s="35">
        <v>0.65</v>
      </c>
      <c r="I105" s="34">
        <v>1.1000000000000001</v>
      </c>
      <c r="J105" s="74">
        <f t="shared" ref="J105:J115" si="18">F105*H105</f>
        <v>-5.3380953827460512E-4</v>
      </c>
      <c r="K105" s="35"/>
      <c r="L105" s="76">
        <f>J105*severe_wasting_value</f>
        <v>-6.2451445501822604</v>
      </c>
    </row>
    <row r="106" spans="1:12">
      <c r="A106" s="34" t="s">
        <v>29</v>
      </c>
      <c r="B106" s="34" t="s">
        <v>11</v>
      </c>
      <c r="C106" s="42" t="s">
        <v>265</v>
      </c>
      <c r="D106" s="42" t="s">
        <v>139</v>
      </c>
      <c r="E106" s="34" t="s">
        <v>301</v>
      </c>
      <c r="F106" s="74">
        <f>SO2_workingcapacity_charfact</f>
        <v>-0.51386500607533414</v>
      </c>
      <c r="G106" s="79">
        <f t="shared" si="17"/>
        <v>2.7103270070946208</v>
      </c>
      <c r="H106" s="35">
        <v>0.65</v>
      </c>
      <c r="I106" s="34">
        <v>1.1000000000000001</v>
      </c>
      <c r="J106" s="74">
        <f t="shared" si="18"/>
        <v>-0.33401225394896722</v>
      </c>
      <c r="K106" s="35"/>
      <c r="L106" s="76">
        <f>J106*working_capacity</f>
        <v>-15.264360005467802</v>
      </c>
    </row>
    <row r="107" spans="1:12">
      <c r="A107" s="34" t="s">
        <v>29</v>
      </c>
      <c r="B107" s="34" t="s">
        <v>11</v>
      </c>
      <c r="C107" s="42" t="s">
        <v>266</v>
      </c>
      <c r="D107" s="42" t="s">
        <v>139</v>
      </c>
      <c r="E107" s="34" t="s">
        <v>301</v>
      </c>
      <c r="F107" s="74">
        <f>SO2_diarrhoea_charfact</f>
        <v>-1.7598116646415552E-5</v>
      </c>
      <c r="G107" s="79">
        <f t="shared" si="17"/>
        <v>2.7103270070946208</v>
      </c>
      <c r="H107" s="35">
        <v>0.65</v>
      </c>
      <c r="I107" s="34">
        <v>1.1000000000000001</v>
      </c>
      <c r="J107" s="74">
        <f t="shared" si="18"/>
        <v>-1.143877582017011E-5</v>
      </c>
      <c r="K107" s="35"/>
      <c r="L107" s="76">
        <f>J107*diarrhea_value</f>
        <v>-0.19655477267314705</v>
      </c>
    </row>
    <row r="108" spans="1:12">
      <c r="A108" s="34" t="s">
        <v>29</v>
      </c>
      <c r="B108" s="34" t="s">
        <v>11</v>
      </c>
      <c r="C108" s="42" t="s">
        <v>269</v>
      </c>
      <c r="D108" s="42" t="s">
        <v>11</v>
      </c>
      <c r="E108" s="34" t="s">
        <v>301</v>
      </c>
      <c r="F108" s="74">
        <f>SO2_crop_charfact</f>
        <v>-2.3036423526731471</v>
      </c>
      <c r="G108" s="79">
        <f t="shared" si="17"/>
        <v>2.7103270070946208</v>
      </c>
      <c r="H108" s="35">
        <v>0.65</v>
      </c>
      <c r="I108" s="34">
        <v>1.1000000000000001</v>
      </c>
      <c r="J108" s="74">
        <f t="shared" si="18"/>
        <v>-1.4973675292375457</v>
      </c>
      <c r="K108" s="35"/>
      <c r="L108" s="76">
        <f>J108*cropvalue</f>
        <v>-0.64087330251366958</v>
      </c>
    </row>
    <row r="109" spans="1:12">
      <c r="A109" s="34" t="s">
        <v>29</v>
      </c>
      <c r="B109" s="34" t="s">
        <v>11</v>
      </c>
      <c r="C109" s="42" t="s">
        <v>274</v>
      </c>
      <c r="D109" s="42" t="s">
        <v>11</v>
      </c>
      <c r="E109" s="34" t="s">
        <v>301</v>
      </c>
      <c r="F109" s="74">
        <f>SO2_fish_climate_charfact</f>
        <v>-5.9833596597812884E-3</v>
      </c>
      <c r="G109" s="79">
        <f t="shared" si="17"/>
        <v>2.7103270070946208</v>
      </c>
      <c r="H109" s="35">
        <v>0.65</v>
      </c>
      <c r="I109" s="34">
        <v>1.1000000000000001</v>
      </c>
      <c r="J109" s="74">
        <f t="shared" si="18"/>
        <v>-3.8891837788578376E-3</v>
      </c>
      <c r="K109" s="35"/>
      <c r="L109" s="76">
        <f>J109*fishvalue</f>
        <v>-1.174533501215067E-2</v>
      </c>
    </row>
    <row r="110" spans="1:12">
      <c r="A110" s="34" t="s">
        <v>29</v>
      </c>
      <c r="B110" s="34" t="s">
        <v>11</v>
      </c>
      <c r="C110" s="34" t="s">
        <v>274</v>
      </c>
      <c r="D110" s="42" t="s">
        <v>11</v>
      </c>
      <c r="E110" s="34" t="s">
        <v>286</v>
      </c>
      <c r="F110" s="74">
        <f>SO2_fish_acidification_charfact</f>
        <v>1.3157894736842105E-3</v>
      </c>
      <c r="G110" s="79">
        <f t="shared" si="17"/>
        <v>4.7288043878374149</v>
      </c>
      <c r="H110" s="35">
        <f>64/(2*36)</f>
        <v>0.88888888888888884</v>
      </c>
      <c r="I110" s="34">
        <v>2</v>
      </c>
      <c r="J110" s="74">
        <f>F110*H110</f>
        <v>1.1695906432748536E-3</v>
      </c>
      <c r="L110" s="76">
        <f>J110*fishvalue</f>
        <v>3.5321637426900579E-3</v>
      </c>
    </row>
    <row r="111" spans="1:12">
      <c r="A111" s="34" t="s">
        <v>29</v>
      </c>
      <c r="B111" s="34" t="s">
        <v>11</v>
      </c>
      <c r="C111" s="42" t="s">
        <v>272</v>
      </c>
      <c r="D111" s="42" t="s">
        <v>11</v>
      </c>
      <c r="E111" s="34" t="s">
        <v>301</v>
      </c>
      <c r="F111" s="74">
        <f>SO2_meat_charfact</f>
        <v>-9.7229594471445926E-2</v>
      </c>
      <c r="G111" s="79">
        <f t="shared" si="17"/>
        <v>2.7103270070946208</v>
      </c>
      <c r="H111" s="35">
        <v>0.65</v>
      </c>
      <c r="I111" s="34">
        <v>1.1000000000000001</v>
      </c>
      <c r="J111" s="74">
        <f t="shared" si="18"/>
        <v>-6.319923640643986E-2</v>
      </c>
      <c r="K111" s="35"/>
      <c r="L111" s="76">
        <f>J111*meatvalue</f>
        <v>-0.15310015019460055</v>
      </c>
    </row>
    <row r="112" spans="1:12">
      <c r="A112" s="34" t="s">
        <v>29</v>
      </c>
      <c r="B112" s="34" t="s">
        <v>11</v>
      </c>
      <c r="C112" s="34" t="s">
        <v>275</v>
      </c>
      <c r="D112" s="42" t="s">
        <v>11</v>
      </c>
      <c r="E112" s="34" t="s">
        <v>301</v>
      </c>
      <c r="F112" s="74">
        <f>SO2_wood_charfact</f>
        <v>3.5196233292831107</v>
      </c>
      <c r="G112" s="79">
        <f t="shared" si="17"/>
        <v>3.7126016008155194</v>
      </c>
      <c r="H112" s="35">
        <v>0.65</v>
      </c>
      <c r="I112" s="34">
        <v>1.1000000000000001</v>
      </c>
      <c r="J112" s="74">
        <f t="shared" si="18"/>
        <v>2.2877551640340221</v>
      </c>
      <c r="K112" s="35"/>
      <c r="L112" s="76">
        <f>J112*woodvalue</f>
        <v>0.52618368772782509</v>
      </c>
    </row>
    <row r="113" spans="1:12">
      <c r="A113" s="34" t="s">
        <v>29</v>
      </c>
      <c r="B113" s="34" t="s">
        <v>11</v>
      </c>
      <c r="C113" s="34" t="s">
        <v>276</v>
      </c>
      <c r="D113" s="42" t="s">
        <v>11</v>
      </c>
      <c r="E113" s="34" t="s">
        <v>301</v>
      </c>
      <c r="F113" s="74">
        <f>SO2_drinkingwater_charfact</f>
        <v>-18.478022478736332</v>
      </c>
      <c r="G113" s="79">
        <f t="shared" si="17"/>
        <v>2.7103270070946208</v>
      </c>
      <c r="H113" s="35">
        <v>0.65</v>
      </c>
      <c r="I113" s="34">
        <v>1.1000000000000001</v>
      </c>
      <c r="J113" s="74">
        <f t="shared" si="18"/>
        <v>-12.010714611178615</v>
      </c>
      <c r="K113" s="35"/>
      <c r="L113" s="76">
        <f>J113*drinkingwatervalue</f>
        <v>-1.7175321893985421E-2</v>
      </c>
    </row>
    <row r="114" spans="1:12">
      <c r="A114" s="34" t="s">
        <v>29</v>
      </c>
      <c r="B114" s="34" t="s">
        <v>11</v>
      </c>
      <c r="C114" s="34" t="s">
        <v>277</v>
      </c>
      <c r="D114" s="42" t="s">
        <v>281</v>
      </c>
      <c r="E114" s="34" t="s">
        <v>301</v>
      </c>
      <c r="F114" s="74">
        <f>SO2_NEX_climate_charfact</f>
        <v>-1.564277035236938E-14</v>
      </c>
      <c r="G114" s="79">
        <f t="shared" si="17"/>
        <v>3.7126016008155194</v>
      </c>
      <c r="H114" s="35">
        <v>0.65</v>
      </c>
      <c r="I114" s="34">
        <v>1.1000000000000001</v>
      </c>
      <c r="J114" s="74">
        <f t="shared" si="18"/>
        <v>-1.0167800729040097E-14</v>
      </c>
      <c r="K114" s="35"/>
      <c r="L114" s="76">
        <f>J114*speciesvalue</f>
        <v>-8.795147630619684E-4</v>
      </c>
    </row>
    <row r="115" spans="1:12">
      <c r="A115" s="34" t="s">
        <v>29</v>
      </c>
      <c r="B115" s="34" t="s">
        <v>11</v>
      </c>
      <c r="C115" s="34" t="s">
        <v>277</v>
      </c>
      <c r="D115" s="42" t="s">
        <v>281</v>
      </c>
      <c r="E115" s="34" t="s">
        <v>286</v>
      </c>
      <c r="F115" s="74">
        <f>SO2_NEX_acidification_charfact</f>
        <v>7.3699999999999995E-15</v>
      </c>
      <c r="G115" s="79">
        <f t="shared" si="17"/>
        <v>2.7103270070946208</v>
      </c>
      <c r="H115" s="35">
        <f>64/(2*36)</f>
        <v>0.88888888888888884</v>
      </c>
      <c r="I115" s="34">
        <v>2</v>
      </c>
      <c r="J115" s="74">
        <f t="shared" si="18"/>
        <v>6.5511111111111105E-15</v>
      </c>
      <c r="L115" s="76">
        <f>J115*speciesvalue</f>
        <v>5.6667111111111102E-4</v>
      </c>
    </row>
    <row r="116" spans="1:12">
      <c r="A116" s="34" t="s">
        <v>29</v>
      </c>
      <c r="B116" s="34" t="s">
        <v>11</v>
      </c>
      <c r="C116" s="34" t="s">
        <v>279</v>
      </c>
      <c r="E116" s="34" t="s">
        <v>279</v>
      </c>
      <c r="K116" s="35"/>
      <c r="L116" s="76">
        <f>SUM(L104:L115)</f>
        <v>-16.196856910119052</v>
      </c>
    </row>
    <row r="119" spans="1:12">
      <c r="A119" s="34" t="s">
        <v>32</v>
      </c>
      <c r="B119" s="34" t="s">
        <v>11</v>
      </c>
      <c r="C119" s="42" t="s">
        <v>257</v>
      </c>
      <c r="D119" s="42" t="s">
        <v>139</v>
      </c>
      <c r="E119" s="34" t="s">
        <v>302</v>
      </c>
      <c r="F119" s="74">
        <f>SO2_secaerosols_YLL_charfact</f>
        <v>9.7672000000000009E-5</v>
      </c>
      <c r="G119" s="79">
        <f>EXP(SQRT(LN(G72)^2+LN(I72)^2))</f>
        <v>2.6651441426902251</v>
      </c>
      <c r="H119" s="35">
        <v>0.70599999999999996</v>
      </c>
      <c r="I119" s="34">
        <v>1.1000000000000001</v>
      </c>
      <c r="J119" s="74">
        <f>F119*H119</f>
        <v>6.8956432000000004E-5</v>
      </c>
      <c r="K119" s="35"/>
      <c r="L119" s="37">
        <f>YLLvalue*J119</f>
        <v>6.3026178848000001</v>
      </c>
    </row>
    <row r="120" spans="1:12">
      <c r="A120" s="34" t="s">
        <v>32</v>
      </c>
      <c r="B120" s="34" t="s">
        <v>11</v>
      </c>
      <c r="C120" s="42" t="s">
        <v>297</v>
      </c>
      <c r="D120" s="42" t="s">
        <v>139</v>
      </c>
      <c r="E120" s="34" t="s">
        <v>301</v>
      </c>
      <c r="F120" s="74">
        <v>-3.6597127413127409E-4</v>
      </c>
      <c r="G120" s="79">
        <f>EXP(SQRT(LN(G74)^2+LN(I74)^2))</f>
        <v>2.7103270070946208</v>
      </c>
      <c r="H120" s="35">
        <v>0.70599999999999996</v>
      </c>
      <c r="I120" s="34">
        <v>1.1000000000000001</v>
      </c>
      <c r="J120" s="74">
        <f t="shared" ref="J120:J133" si="19">F120*H120</f>
        <v>-2.5837571953667951E-4</v>
      </c>
      <c r="K120" s="35"/>
      <c r="L120" s="76">
        <f>J120*severe_wasting_value</f>
        <v>-3.022789218003521</v>
      </c>
    </row>
    <row r="121" spans="1:12">
      <c r="A121" s="34" t="s">
        <v>32</v>
      </c>
      <c r="B121" s="34" t="s">
        <v>11</v>
      </c>
      <c r="C121" s="42" t="s">
        <v>265</v>
      </c>
      <c r="D121" s="42" t="s">
        <v>139</v>
      </c>
      <c r="E121" s="34" t="s">
        <v>301</v>
      </c>
      <c r="F121" s="74">
        <f>SO2_workingcapacity_charfact</f>
        <v>-0.51386500607533414</v>
      </c>
      <c r="G121" s="79">
        <f>EXP(SQRT(LN(G75)^2+LN(I75)^2))</f>
        <v>2.7103270070946208</v>
      </c>
      <c r="H121" s="35">
        <v>0.70599999999999996</v>
      </c>
      <c r="I121" s="34">
        <v>1.1000000000000001</v>
      </c>
      <c r="J121" s="74">
        <f t="shared" si="19"/>
        <v>-0.36278869428918586</v>
      </c>
      <c r="K121" s="35"/>
      <c r="L121" s="76">
        <f>J121*working_capacity</f>
        <v>-16.579443329015795</v>
      </c>
    </row>
    <row r="122" spans="1:12">
      <c r="A122" s="34" t="s">
        <v>32</v>
      </c>
      <c r="B122" s="34" t="s">
        <v>11</v>
      </c>
      <c r="C122" s="42" t="s">
        <v>266</v>
      </c>
      <c r="D122" s="42" t="s">
        <v>139</v>
      </c>
      <c r="E122" s="34" t="s">
        <v>301</v>
      </c>
      <c r="F122" s="74">
        <f>SO2_diarrhoea_charfact</f>
        <v>-1.7598116646415552E-5</v>
      </c>
      <c r="G122" s="79">
        <f>EXP(SQRT(LN(G76)^2+LN(I76)^2))</f>
        <v>2.7103270070946208</v>
      </c>
      <c r="H122" s="35">
        <v>0.70599999999999996</v>
      </c>
      <c r="I122" s="34">
        <v>1.1000000000000001</v>
      </c>
      <c r="J122" s="74">
        <f t="shared" si="19"/>
        <v>-1.2424270352369379E-5</v>
      </c>
      <c r="K122" s="35"/>
      <c r="L122" s="76">
        <f>J122*diarrhea_value</f>
        <v>-0.21348872231883353</v>
      </c>
    </row>
    <row r="123" spans="1:12">
      <c r="A123" s="34" t="s">
        <v>32</v>
      </c>
      <c r="B123" s="34" t="s">
        <v>11</v>
      </c>
      <c r="C123" s="42" t="s">
        <v>269</v>
      </c>
      <c r="D123" s="42" t="s">
        <v>11</v>
      </c>
      <c r="E123" s="34" t="s">
        <v>301</v>
      </c>
      <c r="F123" s="74">
        <f>SO2_crop_charfact</f>
        <v>-2.3036423526731471</v>
      </c>
      <c r="G123" s="79">
        <f>EXP(SQRT(LN(G77)^2+LN(I77)^2))</f>
        <v>2.7103270070946208</v>
      </c>
      <c r="H123" s="35">
        <v>0.70599999999999996</v>
      </c>
      <c r="I123" s="34">
        <v>1.1000000000000001</v>
      </c>
      <c r="J123" s="74">
        <f t="shared" si="19"/>
        <v>-1.6263715009872417</v>
      </c>
      <c r="K123" s="35"/>
      <c r="L123" s="76">
        <f>J123*cropvalue</f>
        <v>-0.6960870024225394</v>
      </c>
    </row>
    <row r="124" spans="1:12">
      <c r="A124" s="34" t="s">
        <v>32</v>
      </c>
      <c r="B124" s="34" t="s">
        <v>11</v>
      </c>
      <c r="C124" s="42" t="s">
        <v>274</v>
      </c>
      <c r="D124" s="42" t="s">
        <v>11</v>
      </c>
      <c r="E124" s="34" t="s">
        <v>301</v>
      </c>
      <c r="F124" s="74">
        <f>SO2_fish_climate_charfact</f>
        <v>-5.9833596597812884E-3</v>
      </c>
      <c r="G124" s="79">
        <f>EXP(SQRT(LN(G80)^2+LN(I80)^2))</f>
        <v>3.7126016008155194</v>
      </c>
      <c r="H124" s="35">
        <v>0.70599999999999996</v>
      </c>
      <c r="I124" s="34">
        <v>1.1000000000000001</v>
      </c>
      <c r="J124" s="74">
        <f t="shared" si="19"/>
        <v>-4.2242519198055894E-3</v>
      </c>
      <c r="K124" s="35"/>
      <c r="L124" s="76">
        <f>J124*fishvalue</f>
        <v>-1.275724079781288E-2</v>
      </c>
    </row>
    <row r="125" spans="1:12">
      <c r="A125" s="34" t="s">
        <v>32</v>
      </c>
      <c r="B125" s="34" t="s">
        <v>11</v>
      </c>
      <c r="C125" s="42" t="s">
        <v>274</v>
      </c>
      <c r="D125" s="42" t="s">
        <v>11</v>
      </c>
      <c r="E125" s="34" t="s">
        <v>286</v>
      </c>
      <c r="F125" s="74">
        <f>SO2_fish_acidification_charfact</f>
        <v>1.3157894736842105E-3</v>
      </c>
      <c r="G125" s="79">
        <f>EXP(SQRT(LN(G78)^2+LN(I78)^2))</f>
        <v>4.7288043878374149</v>
      </c>
      <c r="H125" s="35">
        <f>64/(2*17)</f>
        <v>1.8823529411764706</v>
      </c>
      <c r="I125" s="34">
        <v>2</v>
      </c>
      <c r="J125" s="74">
        <f>F125*H125</f>
        <v>2.4767801857585136E-3</v>
      </c>
      <c r="K125" s="35"/>
      <c r="L125" s="76">
        <f>J125*fishvalue</f>
        <v>7.4798761609907111E-3</v>
      </c>
    </row>
    <row r="126" spans="1:12">
      <c r="A126" s="34" t="s">
        <v>32</v>
      </c>
      <c r="B126" s="34" t="s">
        <v>11</v>
      </c>
      <c r="C126" s="42" t="s">
        <v>274</v>
      </c>
      <c r="D126" s="34" t="s">
        <v>11</v>
      </c>
      <c r="E126" s="42" t="s">
        <v>285</v>
      </c>
      <c r="F126" s="74">
        <f>NOx_nutrification_fish_charfact</f>
        <v>-2.2200000000000003E-4</v>
      </c>
      <c r="G126" s="79">
        <f>EXP(SQRT(LN(G43)^2+LN(I43)^2))</f>
        <v>3.6656305802779316</v>
      </c>
      <c r="H126" s="35">
        <f>46/17</f>
        <v>2.7058823529411766</v>
      </c>
      <c r="I126" s="34">
        <v>1.1000000000000001</v>
      </c>
      <c r="J126" s="74">
        <f>F126*H126</f>
        <v>-6.0070588235294124E-4</v>
      </c>
      <c r="L126" s="76">
        <f>J126*fishvalue</f>
        <v>-1.8141317647058825E-3</v>
      </c>
    </row>
    <row r="127" spans="1:12">
      <c r="A127" s="34" t="s">
        <v>32</v>
      </c>
      <c r="B127" s="34" t="s">
        <v>11</v>
      </c>
      <c r="C127" s="42" t="s">
        <v>272</v>
      </c>
      <c r="D127" s="42" t="s">
        <v>11</v>
      </c>
      <c r="E127" s="34" t="s">
        <v>301</v>
      </c>
      <c r="F127" s="74">
        <f>SO2_meat_charfact</f>
        <v>-9.7229594471445926E-2</v>
      </c>
      <c r="G127" s="79">
        <f>EXP(SQRT(LN(G79)^2+LN(I79)^2))</f>
        <v>2.7103270070946208</v>
      </c>
      <c r="H127" s="35">
        <v>0.70599999999999996</v>
      </c>
      <c r="I127" s="34">
        <v>1.1000000000000001</v>
      </c>
      <c r="J127" s="74">
        <f t="shared" si="19"/>
        <v>-6.8644093696840824E-2</v>
      </c>
      <c r="K127" s="35"/>
      <c r="L127" s="76">
        <f>J127*meatvalue</f>
        <v>-0.16629031698059688</v>
      </c>
    </row>
    <row r="128" spans="1:12">
      <c r="A128" s="34" t="s">
        <v>32</v>
      </c>
      <c r="B128" s="34" t="s">
        <v>11</v>
      </c>
      <c r="C128" s="34" t="s">
        <v>275</v>
      </c>
      <c r="D128" s="42" t="s">
        <v>11</v>
      </c>
      <c r="E128" s="34" t="s">
        <v>301</v>
      </c>
      <c r="F128" s="74">
        <f>SO2_wood_charfact</f>
        <v>3.5196233292831107</v>
      </c>
      <c r="G128" s="79">
        <f>EXP(SQRT(LN(G81)^2+LN(I81)^2))</f>
        <v>2.7103270070946208</v>
      </c>
      <c r="H128" s="35">
        <v>0.70599999999999996</v>
      </c>
      <c r="I128" s="34">
        <v>1.1000000000000001</v>
      </c>
      <c r="J128" s="74">
        <f t="shared" si="19"/>
        <v>2.484854070473876</v>
      </c>
      <c r="K128" s="35"/>
      <c r="L128" s="76">
        <f>J128*woodvalue</f>
        <v>0.57151643620899151</v>
      </c>
    </row>
    <row r="129" spans="1:12">
      <c r="A129" s="34" t="s">
        <v>32</v>
      </c>
      <c r="B129" s="34" t="s">
        <v>11</v>
      </c>
      <c r="C129" s="34" t="s">
        <v>275</v>
      </c>
      <c r="D129" s="34" t="s">
        <v>11</v>
      </c>
      <c r="E129" s="34" t="s">
        <v>303</v>
      </c>
      <c r="F129" s="75">
        <f>NOx_wood_nutrification_charfact</f>
        <v>-2.71</v>
      </c>
      <c r="G129" s="79">
        <f>EXP(SQRT(LN(G47)^2+LN(I47)^2))</f>
        <v>2</v>
      </c>
      <c r="H129" s="35">
        <f>46/17</f>
        <v>2.7058823529411766</v>
      </c>
      <c r="I129" s="34">
        <v>1.1000000000000001</v>
      </c>
      <c r="J129" s="74">
        <f>F129*H129</f>
        <v>-7.3329411764705883</v>
      </c>
      <c r="L129" s="76">
        <f>J129*woodvalue</f>
        <v>-1.6865764705882353</v>
      </c>
    </row>
    <row r="130" spans="1:12">
      <c r="A130" s="34" t="s">
        <v>32</v>
      </c>
      <c r="B130" s="34" t="s">
        <v>11</v>
      </c>
      <c r="C130" s="34" t="s">
        <v>276</v>
      </c>
      <c r="D130" s="42" t="s">
        <v>11</v>
      </c>
      <c r="E130" s="34" t="s">
        <v>301</v>
      </c>
      <c r="F130" s="74">
        <f>SO2_drinkingwater_charfact</f>
        <v>-18.478022478736332</v>
      </c>
      <c r="G130" s="79">
        <f>EXP(SQRT(LN(G82)^2+LN(I82)^2))</f>
        <v>3.7126016008155194</v>
      </c>
      <c r="H130" s="35">
        <v>0.70599999999999996</v>
      </c>
      <c r="I130" s="34">
        <v>1.1000000000000001</v>
      </c>
      <c r="J130" s="74">
        <f t="shared" si="19"/>
        <v>-13.04548386998785</v>
      </c>
      <c r="K130" s="35"/>
      <c r="L130" s="76">
        <f>J130*drinkingwatervalue</f>
        <v>-1.8655041934082624E-2</v>
      </c>
    </row>
    <row r="131" spans="1:12">
      <c r="A131" s="34" t="s">
        <v>32</v>
      </c>
      <c r="B131" s="34" t="s">
        <v>11</v>
      </c>
      <c r="C131" s="34" t="s">
        <v>277</v>
      </c>
      <c r="D131" s="42" t="s">
        <v>281</v>
      </c>
      <c r="E131" s="34" t="s">
        <v>301</v>
      </c>
      <c r="F131" s="74">
        <f>SO2_NEX_climate_charfact</f>
        <v>-1.564277035236938E-14</v>
      </c>
      <c r="G131" s="79">
        <f>EXP(SQRT(LN(G83)^2+LN(I83)^2))</f>
        <v>2.7103270070946208</v>
      </c>
      <c r="H131" s="35">
        <v>0.70599999999999996</v>
      </c>
      <c r="I131" s="34">
        <v>1.1000000000000001</v>
      </c>
      <c r="J131" s="74">
        <f t="shared" si="19"/>
        <v>-1.1043795868772781E-14</v>
      </c>
      <c r="K131" s="35"/>
      <c r="L131" s="76">
        <f>J131*speciesvalue</f>
        <v>-9.552883426488456E-4</v>
      </c>
    </row>
    <row r="132" spans="1:12">
      <c r="A132" s="34" t="s">
        <v>32</v>
      </c>
      <c r="B132" s="34" t="s">
        <v>11</v>
      </c>
      <c r="C132" s="34" t="s">
        <v>277</v>
      </c>
      <c r="D132" s="42" t="s">
        <v>281</v>
      </c>
      <c r="E132" s="34" t="s">
        <v>286</v>
      </c>
      <c r="F132" s="74">
        <f>SO2_NEX_acidification_charfact</f>
        <v>7.3699999999999995E-15</v>
      </c>
      <c r="G132" s="79">
        <f>EXP(SQRT(LN(G84)^2+LN(I84)^2))</f>
        <v>4.7288043878374149</v>
      </c>
      <c r="H132" s="35">
        <f>64/(2*17)</f>
        <v>1.8823529411764706</v>
      </c>
      <c r="I132" s="34">
        <v>2</v>
      </c>
      <c r="J132" s="74">
        <f t="shared" si="19"/>
        <v>1.3872941176470587E-14</v>
      </c>
      <c r="K132" s="35"/>
      <c r="L132" s="76">
        <f>J132*speciesvalue</f>
        <v>1.2000094117647058E-3</v>
      </c>
    </row>
    <row r="133" spans="1:12">
      <c r="A133" s="34" t="s">
        <v>32</v>
      </c>
      <c r="B133" s="34" t="s">
        <v>11</v>
      </c>
      <c r="C133" s="34" t="s">
        <v>277</v>
      </c>
      <c r="E133" s="34" t="s">
        <v>288</v>
      </c>
      <c r="F133" s="74">
        <f>NOx_NEX_eutrofication_charfact</f>
        <v>2.5900000000000002E-14</v>
      </c>
      <c r="G133" s="79">
        <f>EXP(SQRT(LN(G51)^2+LN(I51)^2))</f>
        <v>3.6656305802779316</v>
      </c>
      <c r="H133" s="35">
        <f>46/17</f>
        <v>2.7058823529411766</v>
      </c>
      <c r="I133" s="34">
        <v>1.1000000000000001</v>
      </c>
      <c r="J133" s="74">
        <f t="shared" si="19"/>
        <v>7.0082352941176474E-14</v>
      </c>
      <c r="L133" s="76">
        <f>J133*speciesvalue</f>
        <v>6.0621235294117653E-3</v>
      </c>
    </row>
    <row r="134" spans="1:12">
      <c r="A134" s="34" t="s">
        <v>32</v>
      </c>
      <c r="B134" s="34" t="s">
        <v>11</v>
      </c>
      <c r="C134" s="34" t="s">
        <v>279</v>
      </c>
      <c r="E134" s="34" t="s">
        <v>279</v>
      </c>
      <c r="L134" s="76">
        <f>SUM(L119:L133)</f>
        <v>-15.50998043205761</v>
      </c>
    </row>
    <row r="136" spans="1:12">
      <c r="J136" s="35"/>
    </row>
    <row r="137" spans="1:12">
      <c r="A137" s="34" t="s">
        <v>304</v>
      </c>
      <c r="B137" s="34" t="s">
        <v>11</v>
      </c>
      <c r="C137" s="34" t="s">
        <v>154</v>
      </c>
      <c r="E137" s="34" t="s">
        <v>305</v>
      </c>
      <c r="F137" s="35">
        <v>100000</v>
      </c>
      <c r="G137" s="34">
        <v>3</v>
      </c>
      <c r="H137" s="35">
        <f>1/7630000</f>
        <v>1.3106159895150722E-7</v>
      </c>
      <c r="I137" s="34">
        <v>2</v>
      </c>
      <c r="J137" s="74">
        <f>F137*H137</f>
        <v>1.3106159895150722E-2</v>
      </c>
      <c r="K137" s="35"/>
      <c r="L137" s="76">
        <f>J137*Intellectualdisability_value</f>
        <v>37.134993446920056</v>
      </c>
    </row>
    <row r="138" spans="1:12">
      <c r="A138" s="34" t="s">
        <v>304</v>
      </c>
      <c r="B138" s="34" t="s">
        <v>11</v>
      </c>
      <c r="C138" s="34" t="s">
        <v>279</v>
      </c>
      <c r="E138" s="34" t="s">
        <v>279</v>
      </c>
      <c r="K138" s="34" t="s">
        <v>306</v>
      </c>
      <c r="L138" s="76">
        <f>SUM(L137:L137)</f>
        <v>37.134993446920056</v>
      </c>
    </row>
    <row r="139" spans="1:12">
      <c r="J139" s="35"/>
    </row>
    <row r="140" spans="1:12">
      <c r="A140" s="34" t="s">
        <v>307</v>
      </c>
      <c r="B140" s="34" t="s">
        <v>11</v>
      </c>
      <c r="C140" s="34" t="s">
        <v>154</v>
      </c>
      <c r="E140" s="34" t="s">
        <v>305</v>
      </c>
      <c r="F140" s="35">
        <v>100000</v>
      </c>
      <c r="G140" s="34">
        <v>3</v>
      </c>
      <c r="H140" s="35">
        <f>1/7630000</f>
        <v>1.3106159895150722E-7</v>
      </c>
      <c r="I140" s="34">
        <v>2</v>
      </c>
      <c r="J140" s="74">
        <f>F140*H140</f>
        <v>1.3106159895150722E-2</v>
      </c>
      <c r="K140" s="35"/>
      <c r="L140" s="76">
        <f>J140*Intellectualdisability_value</f>
        <v>37.134993446920056</v>
      </c>
    </row>
    <row r="141" spans="1:12">
      <c r="A141" s="34" t="s">
        <v>307</v>
      </c>
      <c r="B141" s="34" t="s">
        <v>11</v>
      </c>
      <c r="C141" s="34" t="s">
        <v>308</v>
      </c>
      <c r="D141" s="34" t="s">
        <v>309</v>
      </c>
      <c r="E141" s="34" t="s">
        <v>310</v>
      </c>
      <c r="F141" s="34">
        <v>1</v>
      </c>
      <c r="G141" s="34">
        <v>1</v>
      </c>
      <c r="H141" s="34">
        <v>1</v>
      </c>
      <c r="I141" s="34">
        <v>1</v>
      </c>
      <c r="J141" s="74">
        <f>F141*H141</f>
        <v>1</v>
      </c>
      <c r="K141" s="35"/>
      <c r="L141" s="76">
        <f>J141*Hg_orevalue</f>
        <v>78124.999999999985</v>
      </c>
    </row>
    <row r="142" spans="1:12">
      <c r="A142" s="34" t="s">
        <v>307</v>
      </c>
      <c r="B142" s="34" t="s">
        <v>11</v>
      </c>
      <c r="C142" s="34" t="s">
        <v>279</v>
      </c>
      <c r="E142" s="34" t="s">
        <v>279</v>
      </c>
      <c r="L142" s="76">
        <f>SUM(L140:L141)</f>
        <v>78162.134993446904</v>
      </c>
    </row>
    <row r="143" spans="1:12">
      <c r="G143" s="80"/>
      <c r="J143" s="35"/>
    </row>
    <row r="144" spans="1:12">
      <c r="J144" s="35"/>
      <c r="K144" s="35"/>
    </row>
    <row r="145" spans="1:12">
      <c r="A145" s="34" t="s">
        <v>30</v>
      </c>
      <c r="B145" s="34" t="s">
        <v>11</v>
      </c>
      <c r="C145" s="34" t="s">
        <v>257</v>
      </c>
      <c r="D145" s="42" t="s">
        <v>139</v>
      </c>
      <c r="E145" s="34" t="s">
        <v>301</v>
      </c>
      <c r="F145" s="74">
        <f>SO2_secaerosols_YLL_charfact</f>
        <v>9.7672000000000009E-5</v>
      </c>
      <c r="G145" s="79">
        <f>EXP(SQRT(LN(G72)^2+LN(74)^2))</f>
        <v>78.219711978155175</v>
      </c>
      <c r="H145" s="35">
        <v>0.65800000000000003</v>
      </c>
      <c r="I145" s="34">
        <v>1.1000000000000001</v>
      </c>
      <c r="J145" s="74">
        <f>F145*H145</f>
        <v>6.4268176000000003E-5</v>
      </c>
      <c r="K145" s="35"/>
      <c r="L145" s="76">
        <f>J145*YLLvalue</f>
        <v>5.8741112864000007</v>
      </c>
    </row>
    <row r="146" spans="1:12">
      <c r="A146" s="34" t="s">
        <v>30</v>
      </c>
      <c r="B146" s="34" t="s">
        <v>11</v>
      </c>
      <c r="C146" s="42" t="s">
        <v>297</v>
      </c>
      <c r="D146" s="42" t="s">
        <v>139</v>
      </c>
      <c r="E146" s="34" t="s">
        <v>301</v>
      </c>
      <c r="F146" s="74">
        <f>SO2_undernutrition_charfact</f>
        <v>-8.2124544349939245E-4</v>
      </c>
      <c r="G146" s="79">
        <f>EXP(SQRT(LN(G74)^2+LN(I74)^2))</f>
        <v>2.7103270070946208</v>
      </c>
      <c r="H146" s="35">
        <v>0.65800000000000003</v>
      </c>
      <c r="I146" s="34">
        <v>1.1000000000000001</v>
      </c>
      <c r="J146" s="74">
        <f t="shared" ref="J146:J156" si="20">F146*H146</f>
        <v>-5.403795018226003E-4</v>
      </c>
      <c r="K146" s="35"/>
      <c r="L146" s="76">
        <f>J146*severe_wasting_value</f>
        <v>-6.3220078677229656</v>
      </c>
    </row>
    <row r="147" spans="1:12">
      <c r="A147" s="34" t="s">
        <v>30</v>
      </c>
      <c r="B147" s="34" t="s">
        <v>11</v>
      </c>
      <c r="C147" s="42" t="s">
        <v>265</v>
      </c>
      <c r="D147" s="42" t="s">
        <v>139</v>
      </c>
      <c r="E147" s="34" t="s">
        <v>301</v>
      </c>
      <c r="F147" s="74">
        <f>SO2_workingcapacity_charfact</f>
        <v>-0.51386500607533414</v>
      </c>
      <c r="G147" s="79">
        <f>EXP(SQRT(LN(G75)^2+LN(I75)^2))</f>
        <v>2.7103270070946208</v>
      </c>
      <c r="H147" s="35">
        <v>0.65800000000000003</v>
      </c>
      <c r="I147" s="34">
        <v>1.1000000000000001</v>
      </c>
      <c r="J147" s="74">
        <f t="shared" si="20"/>
        <v>-0.33812317399756986</v>
      </c>
      <c r="K147" s="35"/>
      <c r="L147" s="76">
        <f>J147*working_capacity</f>
        <v>-15.452229051688944</v>
      </c>
    </row>
    <row r="148" spans="1:12">
      <c r="A148" s="34" t="s">
        <v>30</v>
      </c>
      <c r="B148" s="34" t="s">
        <v>11</v>
      </c>
      <c r="C148" s="42" t="s">
        <v>266</v>
      </c>
      <c r="D148" s="42" t="s">
        <v>139</v>
      </c>
      <c r="E148" s="34" t="s">
        <v>301</v>
      </c>
      <c r="F148" s="74">
        <f>SO2_diarrhoea_charfact</f>
        <v>-1.7598116646415552E-5</v>
      </c>
      <c r="G148" s="79">
        <f>EXP(SQRT(LN(G76)^2+LN(I76)^2))</f>
        <v>2.7103270070946208</v>
      </c>
      <c r="H148" s="35">
        <v>0.65800000000000003</v>
      </c>
      <c r="I148" s="34">
        <v>1.1000000000000001</v>
      </c>
      <c r="J148" s="74">
        <f t="shared" si="20"/>
        <v>-1.1579560753341434E-5</v>
      </c>
      <c r="K148" s="35"/>
      <c r="L148" s="76">
        <f>J148*diarrhea_value</f>
        <v>-0.19897390833681655</v>
      </c>
    </row>
    <row r="149" spans="1:12">
      <c r="A149" s="34" t="s">
        <v>30</v>
      </c>
      <c r="B149" s="34" t="s">
        <v>11</v>
      </c>
      <c r="C149" s="42" t="s">
        <v>269</v>
      </c>
      <c r="D149" s="42" t="s">
        <v>11</v>
      </c>
      <c r="E149" s="34" t="s">
        <v>301</v>
      </c>
      <c r="F149" s="74">
        <f>SO2_crop_charfact</f>
        <v>-2.3036423526731471</v>
      </c>
      <c r="G149" s="79">
        <f>EXP(SQRT(LN(G77)^2+LN(I77)^2))</f>
        <v>2.7103270070946208</v>
      </c>
      <c r="H149" s="35">
        <v>0.65800000000000003</v>
      </c>
      <c r="I149" s="34">
        <v>1.1000000000000001</v>
      </c>
      <c r="J149" s="74">
        <f t="shared" si="20"/>
        <v>-1.5157966680589308</v>
      </c>
      <c r="K149" s="35"/>
      <c r="L149" s="76">
        <f>J149*cropvalue</f>
        <v>-0.64876097392922238</v>
      </c>
    </row>
    <row r="150" spans="1:12">
      <c r="A150" s="34" t="s">
        <v>30</v>
      </c>
      <c r="B150" s="34" t="s">
        <v>11</v>
      </c>
      <c r="C150" s="42" t="s">
        <v>274</v>
      </c>
      <c r="D150" s="42" t="s">
        <v>11</v>
      </c>
      <c r="E150" s="34" t="s">
        <v>301</v>
      </c>
      <c r="F150" s="74">
        <f>SO2_fish_climate_charfact</f>
        <v>-5.9833596597812884E-3</v>
      </c>
      <c r="G150" s="79">
        <f>EXP(SQRT(LN(G80)^2+LN(I80)^2))</f>
        <v>3.7126016008155194</v>
      </c>
      <c r="H150" s="35">
        <v>0.65800000000000003</v>
      </c>
      <c r="I150" s="34">
        <v>1.1000000000000001</v>
      </c>
      <c r="J150" s="74">
        <f t="shared" si="20"/>
        <v>-3.9370506561360883E-3</v>
      </c>
      <c r="K150" s="35"/>
      <c r="L150" s="76">
        <f>J150*fishvalue</f>
        <v>-1.1889892981530986E-2</v>
      </c>
    </row>
    <row r="151" spans="1:12">
      <c r="A151" s="34" t="s">
        <v>30</v>
      </c>
      <c r="B151" s="34" t="s">
        <v>11</v>
      </c>
      <c r="C151" s="34" t="s">
        <v>274</v>
      </c>
      <c r="D151" s="42" t="s">
        <v>11</v>
      </c>
      <c r="E151" s="34" t="s">
        <v>286</v>
      </c>
      <c r="F151" s="74">
        <f>SO2_fish_acidification_charfact</f>
        <v>1.3157894736842105E-3</v>
      </c>
      <c r="G151" s="79">
        <f>EXP(SQRT(LN(G78)^2+LN(I78)^2))</f>
        <v>4.7288043878374149</v>
      </c>
      <c r="H151" s="35">
        <f>64/(2*80.9)</f>
        <v>0.39555006180469715</v>
      </c>
      <c r="I151" s="34">
        <v>2</v>
      </c>
      <c r="J151" s="74">
        <f>F151*H151</f>
        <v>5.2046060763775938E-4</v>
      </c>
      <c r="K151" s="35"/>
      <c r="L151" s="76">
        <f>J151*fishvalue</f>
        <v>1.5717910350660333E-3</v>
      </c>
    </row>
    <row r="152" spans="1:12">
      <c r="A152" s="34" t="s">
        <v>30</v>
      </c>
      <c r="B152" s="34" t="s">
        <v>11</v>
      </c>
      <c r="C152" s="42" t="s">
        <v>272</v>
      </c>
      <c r="D152" s="42" t="s">
        <v>11</v>
      </c>
      <c r="E152" s="34" t="s">
        <v>301</v>
      </c>
      <c r="F152" s="74">
        <f>SO2_meat_charfact</f>
        <v>-9.7229594471445926E-2</v>
      </c>
      <c r="G152" s="79">
        <f>EXP(SQRT(LN(G79)^2+LN(I79)^2))</f>
        <v>2.7103270070946208</v>
      </c>
      <c r="H152" s="35">
        <v>0.65800000000000003</v>
      </c>
      <c r="I152" s="34">
        <v>1.1000000000000001</v>
      </c>
      <c r="J152" s="74">
        <f>F152*H152</f>
        <v>-6.397707316221142E-2</v>
      </c>
      <c r="K152" s="35"/>
      <c r="L152" s="76">
        <f>J152*meatvalue</f>
        <v>-0.15498445973545716</v>
      </c>
    </row>
    <row r="153" spans="1:12">
      <c r="A153" s="34" t="s">
        <v>30</v>
      </c>
      <c r="B153" s="34" t="s">
        <v>11</v>
      </c>
      <c r="C153" s="34" t="s">
        <v>275</v>
      </c>
      <c r="D153" s="42" t="s">
        <v>11</v>
      </c>
      <c r="E153" s="34" t="s">
        <v>301</v>
      </c>
      <c r="F153" s="74">
        <f>SO2_wood_charfact</f>
        <v>3.5196233292831107</v>
      </c>
      <c r="G153" s="79">
        <f>EXP(SQRT(LN(G81)^2+LN(I81)^2))</f>
        <v>2.7103270070946208</v>
      </c>
      <c r="H153" s="35">
        <v>0.65800000000000003</v>
      </c>
      <c r="I153" s="34">
        <v>1.1000000000000001</v>
      </c>
      <c r="J153" s="74">
        <f t="shared" si="20"/>
        <v>2.3159121506682872</v>
      </c>
      <c r="K153" s="35"/>
      <c r="L153" s="76">
        <f>J153*woodvalue</f>
        <v>0.53265979465370605</v>
      </c>
    </row>
    <row r="154" spans="1:12">
      <c r="A154" s="34" t="s">
        <v>30</v>
      </c>
      <c r="B154" s="34" t="s">
        <v>11</v>
      </c>
      <c r="C154" s="34" t="s">
        <v>276</v>
      </c>
      <c r="D154" s="42" t="s">
        <v>11</v>
      </c>
      <c r="E154" s="34" t="s">
        <v>301</v>
      </c>
      <c r="F154" s="74">
        <f>SO2_drinkingwater_charfact</f>
        <v>-18.478022478736332</v>
      </c>
      <c r="G154" s="79">
        <f>EXP(SQRT(LN(G82)^2+LN(I82)^2))</f>
        <v>3.7126016008155194</v>
      </c>
      <c r="H154" s="35">
        <v>0.65800000000000003</v>
      </c>
      <c r="I154" s="34">
        <v>1.1000000000000001</v>
      </c>
      <c r="J154" s="74">
        <f t="shared" si="20"/>
        <v>-12.158538791008507</v>
      </c>
      <c r="K154" s="35"/>
      <c r="L154" s="76">
        <f>J154*drinkingwatervalue</f>
        <v>-1.7386710471142167E-2</v>
      </c>
    </row>
    <row r="155" spans="1:12">
      <c r="A155" s="34" t="s">
        <v>30</v>
      </c>
      <c r="B155" s="34" t="s">
        <v>11</v>
      </c>
      <c r="C155" s="34" t="s">
        <v>277</v>
      </c>
      <c r="D155" s="42" t="s">
        <v>281</v>
      </c>
      <c r="E155" s="34" t="s">
        <v>301</v>
      </c>
      <c r="F155" s="74">
        <f>SO2_NEX_climate_charfact</f>
        <v>-1.564277035236938E-14</v>
      </c>
      <c r="G155" s="79">
        <f>EXP(SQRT(LN(G83)^2+LN(I83)^2))</f>
        <v>2.7103270070946208</v>
      </c>
      <c r="H155" s="35">
        <v>0.65800000000000003</v>
      </c>
      <c r="I155" s="34">
        <v>1.1000000000000001</v>
      </c>
      <c r="J155" s="74">
        <f t="shared" si="20"/>
        <v>-1.0292942891859053E-14</v>
      </c>
      <c r="K155" s="35"/>
      <c r="L155" s="76">
        <f>J155*speciesvalue</f>
        <v>-8.9033956014580808E-4</v>
      </c>
    </row>
    <row r="156" spans="1:12">
      <c r="A156" s="34" t="s">
        <v>30</v>
      </c>
      <c r="B156" s="34" t="s">
        <v>11</v>
      </c>
      <c r="C156" s="34" t="s">
        <v>277</v>
      </c>
      <c r="D156" s="42" t="s">
        <v>281</v>
      </c>
      <c r="E156" s="34" t="s">
        <v>286</v>
      </c>
      <c r="F156" s="74">
        <f>SO2_NEX_acidification_charfact</f>
        <v>7.3699999999999995E-15</v>
      </c>
      <c r="G156" s="79">
        <f>EXP(SQRT(LN(G84)^2+LN(I84)^2))</f>
        <v>4.7288043878374149</v>
      </c>
      <c r="H156" s="35">
        <f>64/(2*80.9)</f>
        <v>0.39555006180469715</v>
      </c>
      <c r="I156" s="34">
        <v>2</v>
      </c>
      <c r="J156" s="74">
        <f t="shared" si="20"/>
        <v>2.9152039555006176E-15</v>
      </c>
      <c r="L156" s="76">
        <f>J156*speciesvalue</f>
        <v>2.5216514215080344E-4</v>
      </c>
    </row>
    <row r="157" spans="1:12">
      <c r="A157" s="34" t="s">
        <v>30</v>
      </c>
      <c r="B157" s="34" t="s">
        <v>11</v>
      </c>
      <c r="C157" s="34" t="s">
        <v>279</v>
      </c>
      <c r="E157" s="34" t="s">
        <v>279</v>
      </c>
      <c r="L157" s="76">
        <f>SUM(L145:L156)</f>
        <v>-16.398528167195302</v>
      </c>
    </row>
    <row r="159" spans="1:12">
      <c r="A159" s="42" t="s">
        <v>31</v>
      </c>
      <c r="B159" s="42" t="s">
        <v>11</v>
      </c>
      <c r="C159" s="34" t="s">
        <v>257</v>
      </c>
      <c r="D159" s="42" t="s">
        <v>139</v>
      </c>
      <c r="E159" s="34" t="s">
        <v>301</v>
      </c>
      <c r="F159" s="74">
        <f>SO2_secaerosols_YLL_charfact</f>
        <v>9.7672000000000009E-5</v>
      </c>
      <c r="G159" s="79">
        <f>EXP(SQRT(LN(G72)^2+LN(I72)^2))</f>
        <v>2.6651441426902251</v>
      </c>
      <c r="H159" s="35">
        <v>0.64200000000000002</v>
      </c>
      <c r="I159" s="34">
        <v>1.1000000000000001</v>
      </c>
      <c r="J159" s="74">
        <f>F159*H159</f>
        <v>6.2705424000000003E-5</v>
      </c>
      <c r="K159" s="35"/>
      <c r="L159" s="76">
        <f>J159*YLLvalue</f>
        <v>5.7312757536000003</v>
      </c>
    </row>
    <row r="160" spans="1:12">
      <c r="A160" s="42" t="s">
        <v>31</v>
      </c>
      <c r="B160" s="42" t="s">
        <v>11</v>
      </c>
      <c r="C160" s="42" t="s">
        <v>297</v>
      </c>
      <c r="D160" s="42" t="s">
        <v>139</v>
      </c>
      <c r="E160" s="34" t="s">
        <v>301</v>
      </c>
      <c r="F160" s="74">
        <f>SO2_undernutrition_charfact</f>
        <v>-8.2124544349939245E-4</v>
      </c>
      <c r="G160" s="79">
        <f>EXP(SQRT(LN(G74)^2+LN(I74)^2))</f>
        <v>2.7103270070946208</v>
      </c>
      <c r="H160" s="35">
        <v>0.64200000000000002</v>
      </c>
      <c r="I160" s="34">
        <v>1.1000000000000001</v>
      </c>
      <c r="J160" s="74">
        <f t="shared" ref="J160:J170" si="21">F160*H160</f>
        <v>-5.2723957472660993E-4</v>
      </c>
      <c r="K160" s="35"/>
      <c r="L160" s="76">
        <f>J160*severe_wasting_value</f>
        <v>-6.1682812326415553</v>
      </c>
    </row>
    <row r="161" spans="1:12">
      <c r="A161" s="42" t="s">
        <v>31</v>
      </c>
      <c r="B161" s="42" t="s">
        <v>11</v>
      </c>
      <c r="C161" s="42" t="s">
        <v>265</v>
      </c>
      <c r="D161" s="42" t="s">
        <v>139</v>
      </c>
      <c r="E161" s="34" t="s">
        <v>301</v>
      </c>
      <c r="F161" s="74">
        <f>SO2_workingcapacity_charfact</f>
        <v>-0.51386500607533414</v>
      </c>
      <c r="G161" s="79">
        <f>EXP(SQRT(LN(G75)^2+LN(I75)^2))</f>
        <v>2.7103270070946208</v>
      </c>
      <c r="H161" s="35">
        <v>0.64200000000000002</v>
      </c>
      <c r="I161" s="34">
        <v>1.1000000000000001</v>
      </c>
      <c r="J161" s="74">
        <f t="shared" si="21"/>
        <v>-0.32990133390036452</v>
      </c>
      <c r="K161" s="35"/>
      <c r="L161" s="76">
        <f>J161*working_capacity</f>
        <v>-15.07649095924666</v>
      </c>
    </row>
    <row r="162" spans="1:12">
      <c r="A162" s="42" t="s">
        <v>31</v>
      </c>
      <c r="B162" s="42" t="s">
        <v>11</v>
      </c>
      <c r="C162" s="42" t="s">
        <v>266</v>
      </c>
      <c r="D162" s="42" t="s">
        <v>139</v>
      </c>
      <c r="E162" s="34" t="s">
        <v>301</v>
      </c>
      <c r="F162" s="74">
        <f>SO2_diarrhoea_charfact</f>
        <v>-1.7598116646415552E-5</v>
      </c>
      <c r="G162" s="79">
        <f>EXP(SQRT(LN(G76)^2+LN(I76)^2))</f>
        <v>2.7103270070946208</v>
      </c>
      <c r="H162" s="35">
        <v>0.64200000000000002</v>
      </c>
      <c r="I162" s="34">
        <v>1.1000000000000001</v>
      </c>
      <c r="J162" s="74">
        <f t="shared" si="21"/>
        <v>-1.1297990886998784E-5</v>
      </c>
      <c r="K162" s="35"/>
      <c r="L162" s="76">
        <f>J162*diarrhea_value</f>
        <v>-0.19413563700947753</v>
      </c>
    </row>
    <row r="163" spans="1:12">
      <c r="A163" s="42" t="s">
        <v>31</v>
      </c>
      <c r="B163" s="42" t="s">
        <v>11</v>
      </c>
      <c r="C163" s="42" t="s">
        <v>269</v>
      </c>
      <c r="D163" s="42" t="s">
        <v>11</v>
      </c>
      <c r="E163" s="34" t="s">
        <v>301</v>
      </c>
      <c r="F163" s="74">
        <f>SO2_crop_charfact</f>
        <v>-2.3036423526731471</v>
      </c>
      <c r="G163" s="79">
        <f>EXP(SQRT(LN(G77)^2+LN(I77)^2))</f>
        <v>2.7103270070946208</v>
      </c>
      <c r="H163" s="35">
        <v>0.64200000000000002</v>
      </c>
      <c r="I163" s="34">
        <v>1.1000000000000001</v>
      </c>
      <c r="J163" s="74">
        <f t="shared" si="21"/>
        <v>-1.4789383904161604</v>
      </c>
      <c r="K163" s="35"/>
      <c r="L163" s="76">
        <f>J163*cropvalue</f>
        <v>-0.63298563109811667</v>
      </c>
    </row>
    <row r="164" spans="1:12">
      <c r="A164" s="42" t="s">
        <v>31</v>
      </c>
      <c r="B164" s="42" t="s">
        <v>11</v>
      </c>
      <c r="C164" s="42" t="s">
        <v>274</v>
      </c>
      <c r="D164" s="42" t="s">
        <v>11</v>
      </c>
      <c r="E164" s="34" t="s">
        <v>301</v>
      </c>
      <c r="F164" s="74">
        <f>SO2_fish_climate_charfact</f>
        <v>-5.9833596597812884E-3</v>
      </c>
      <c r="G164" s="79">
        <f>EXP(SQRT(LN(G80)^2+LN(I80)^2))</f>
        <v>3.7126016008155194</v>
      </c>
      <c r="H164" s="35">
        <v>0.64200000000000002</v>
      </c>
      <c r="I164" s="34">
        <v>1.1000000000000001</v>
      </c>
      <c r="J164" s="74">
        <f t="shared" si="21"/>
        <v>-3.841316901579587E-3</v>
      </c>
      <c r="K164" s="35"/>
      <c r="L164" s="76">
        <f>J164*fishvalue</f>
        <v>-1.1600777042770353E-2</v>
      </c>
    </row>
    <row r="165" spans="1:12">
      <c r="A165" s="42" t="s">
        <v>31</v>
      </c>
      <c r="B165" s="42" t="s">
        <v>11</v>
      </c>
      <c r="C165" s="34" t="s">
        <v>274</v>
      </c>
      <c r="D165" s="42" t="s">
        <v>11</v>
      </c>
      <c r="E165" s="34" t="s">
        <v>286</v>
      </c>
      <c r="F165" s="74">
        <f>SO2_fish_acidification_charfact</f>
        <v>1.3157894736842105E-3</v>
      </c>
      <c r="G165" s="79">
        <f>EXP(SQRT(LN(G78)^2+LN(I78)^2))</f>
        <v>4.7288043878374149</v>
      </c>
      <c r="H165" s="35">
        <f>64/(2*27)</f>
        <v>1.1851851851851851</v>
      </c>
      <c r="I165" s="34">
        <v>2</v>
      </c>
      <c r="J165" s="74">
        <f t="shared" si="21"/>
        <v>1.5594541910331384E-3</v>
      </c>
      <c r="K165" s="35"/>
      <c r="L165" s="76">
        <f>J165*fishvalue</f>
        <v>4.7095516569200776E-3</v>
      </c>
    </row>
    <row r="166" spans="1:12">
      <c r="A166" s="42" t="s">
        <v>31</v>
      </c>
      <c r="B166" s="42" t="s">
        <v>11</v>
      </c>
      <c r="C166" s="42" t="s">
        <v>272</v>
      </c>
      <c r="D166" s="42" t="s">
        <v>11</v>
      </c>
      <c r="E166" s="34" t="s">
        <v>301</v>
      </c>
      <c r="F166" s="74">
        <f>SO2_meat_charfact</f>
        <v>-9.7229594471445926E-2</v>
      </c>
      <c r="G166" s="79">
        <f>EXP(SQRT(LN(G79)^2+LN(I79)^2))</f>
        <v>2.7103270070946208</v>
      </c>
      <c r="H166" s="35">
        <v>0.64200000000000002</v>
      </c>
      <c r="I166" s="34">
        <v>1.1000000000000001</v>
      </c>
      <c r="J166" s="74">
        <f t="shared" si="21"/>
        <v>-6.2421399650668286E-2</v>
      </c>
      <c r="K166" s="35"/>
      <c r="L166" s="76">
        <f>J166*meatvalue</f>
        <v>-0.15121584065374391</v>
      </c>
    </row>
    <row r="167" spans="1:12">
      <c r="A167" s="42" t="s">
        <v>31</v>
      </c>
      <c r="B167" s="42" t="s">
        <v>11</v>
      </c>
      <c r="C167" s="34" t="s">
        <v>275</v>
      </c>
      <c r="D167" s="42" t="s">
        <v>11</v>
      </c>
      <c r="E167" s="34" t="s">
        <v>301</v>
      </c>
      <c r="F167" s="74">
        <f>SO2_wood_charfact</f>
        <v>3.5196233292831107</v>
      </c>
      <c r="G167" s="79">
        <f>EXP(SQRT(LN(G81)^2+LN(I81)^2))</f>
        <v>2.7103270070946208</v>
      </c>
      <c r="H167" s="35">
        <v>0.64200000000000002</v>
      </c>
      <c r="I167" s="34">
        <v>1.1000000000000001</v>
      </c>
      <c r="J167" s="74">
        <f t="shared" si="21"/>
        <v>2.2595981773997571</v>
      </c>
      <c r="K167" s="35"/>
      <c r="L167" s="76">
        <f>J167*woodvalue</f>
        <v>0.51970758080194412</v>
      </c>
    </row>
    <row r="168" spans="1:12">
      <c r="A168" s="42" t="s">
        <v>31</v>
      </c>
      <c r="B168" s="42" t="s">
        <v>11</v>
      </c>
      <c r="C168" s="34" t="s">
        <v>276</v>
      </c>
      <c r="D168" s="42" t="s">
        <v>11</v>
      </c>
      <c r="E168" s="34" t="s">
        <v>301</v>
      </c>
      <c r="F168" s="74">
        <f>SO2_drinkingwater_charfact</f>
        <v>-18.478022478736332</v>
      </c>
      <c r="G168" s="79">
        <f>EXP(SQRT(LN(G82)^2+LN(I82)^2))</f>
        <v>3.7126016008155194</v>
      </c>
      <c r="H168" s="35">
        <v>0.64200000000000002</v>
      </c>
      <c r="I168" s="34">
        <v>1.1000000000000001</v>
      </c>
      <c r="J168" s="74">
        <f t="shared" si="21"/>
        <v>-11.862890431348726</v>
      </c>
      <c r="K168" s="35"/>
      <c r="L168" s="76">
        <f>J168*drinkingwatervalue</f>
        <v>-1.6963933316828678E-2</v>
      </c>
    </row>
    <row r="169" spans="1:12">
      <c r="A169" s="42" t="s">
        <v>31</v>
      </c>
      <c r="B169" s="42" t="s">
        <v>11</v>
      </c>
      <c r="C169" s="34" t="s">
        <v>277</v>
      </c>
      <c r="D169" s="42" t="s">
        <v>281</v>
      </c>
      <c r="E169" s="34" t="s">
        <v>301</v>
      </c>
      <c r="F169" s="74">
        <f>SO2_NEX_climate_charfact</f>
        <v>-1.564277035236938E-14</v>
      </c>
      <c r="G169" s="79">
        <f>EXP(SQRT(LN(G83)^2+LN(I83)^2))</f>
        <v>2.7103270070946208</v>
      </c>
      <c r="H169" s="35">
        <v>0.64200000000000002</v>
      </c>
      <c r="I169" s="34">
        <v>1.1000000000000001</v>
      </c>
      <c r="J169" s="74">
        <f t="shared" si="21"/>
        <v>-1.0042658566221142E-14</v>
      </c>
      <c r="K169" s="35"/>
      <c r="L169" s="76">
        <f>J169*speciesvalue</f>
        <v>-8.6868996597812872E-4</v>
      </c>
    </row>
    <row r="170" spans="1:12">
      <c r="A170" s="42" t="s">
        <v>31</v>
      </c>
      <c r="B170" s="42" t="s">
        <v>11</v>
      </c>
      <c r="C170" s="34" t="s">
        <v>277</v>
      </c>
      <c r="D170" s="42" t="s">
        <v>281</v>
      </c>
      <c r="E170" s="34" t="s">
        <v>286</v>
      </c>
      <c r="F170" s="74">
        <f>SO2_NEX_acidification_charfact</f>
        <v>7.3699999999999995E-15</v>
      </c>
      <c r="G170" s="79">
        <f>EXP(SQRT(LN(G84)^2+LN(I84)^2))</f>
        <v>4.7288043878374149</v>
      </c>
      <c r="H170" s="35">
        <f>64/(2*27)</f>
        <v>1.1851851851851851</v>
      </c>
      <c r="I170" s="34">
        <v>2</v>
      </c>
      <c r="J170" s="74">
        <f t="shared" si="21"/>
        <v>8.7348148148148145E-15</v>
      </c>
      <c r="K170" s="35"/>
      <c r="L170" s="76">
        <f>J170*speciesvalue</f>
        <v>7.555614814814815E-4</v>
      </c>
    </row>
    <row r="171" spans="1:12">
      <c r="A171" s="42" t="s">
        <v>31</v>
      </c>
      <c r="B171" s="42" t="s">
        <v>11</v>
      </c>
      <c r="C171" s="34" t="s">
        <v>279</v>
      </c>
      <c r="E171" s="34" t="s">
        <v>279</v>
      </c>
      <c r="L171" s="76">
        <f>SUM(L159:L170)</f>
        <v>-15.996094253434784</v>
      </c>
    </row>
    <row r="172" spans="1:12">
      <c r="J172" s="35"/>
    </row>
    <row r="173" spans="1:12">
      <c r="A173" s="42" t="s">
        <v>33</v>
      </c>
      <c r="B173" s="42" t="s">
        <v>11</v>
      </c>
      <c r="C173" s="42" t="s">
        <v>257</v>
      </c>
      <c r="D173" s="42" t="s">
        <v>139</v>
      </c>
      <c r="E173" s="42" t="s">
        <v>294</v>
      </c>
      <c r="F173" s="35">
        <v>5660000</v>
      </c>
      <c r="G173" s="34">
        <v>2</v>
      </c>
      <c r="H173" s="35">
        <f>1/4700000000000</f>
        <v>2.1276595744680852E-13</v>
      </c>
      <c r="I173" s="34">
        <v>1.2</v>
      </c>
      <c r="J173" s="74">
        <f t="shared" ref="J173:J184" si="22">F173*H173</f>
        <v>1.2042553191489362E-6</v>
      </c>
      <c r="L173" s="76">
        <f>J173*YLLvalue</f>
        <v>0.11006893617021277</v>
      </c>
    </row>
    <row r="174" spans="1:12">
      <c r="A174" s="42" t="s">
        <v>33</v>
      </c>
      <c r="B174" s="42" t="s">
        <v>11</v>
      </c>
      <c r="C174" s="42" t="s">
        <v>257</v>
      </c>
      <c r="D174" s="42" t="s">
        <v>139</v>
      </c>
      <c r="E174" s="42" t="s">
        <v>270</v>
      </c>
      <c r="F174" s="74">
        <f>CO2_YLL_charfact</f>
        <v>-1.5118165249088695E-7</v>
      </c>
      <c r="G174" s="79">
        <f>EXP(SQRT(LN(G5)^2+LN(I5)^2))</f>
        <v>2.0477151450930107</v>
      </c>
      <c r="H174" s="35">
        <v>1.91</v>
      </c>
      <c r="I174" s="34">
        <v>1.5</v>
      </c>
      <c r="J174" s="74">
        <f t="shared" si="22"/>
        <v>-2.8875695625759407E-7</v>
      </c>
      <c r="L174" s="76">
        <f>J174*YLLvalue</f>
        <v>-2.6392385801944099E-2</v>
      </c>
    </row>
    <row r="175" spans="1:12">
      <c r="A175" s="42" t="s">
        <v>33</v>
      </c>
      <c r="B175" s="42" t="s">
        <v>11</v>
      </c>
      <c r="C175" s="42" t="s">
        <v>297</v>
      </c>
      <c r="D175" s="42" t="s">
        <v>139</v>
      </c>
      <c r="E175" s="42" t="s">
        <v>270</v>
      </c>
      <c r="F175" s="74">
        <f>CO2_severewasting_charfact</f>
        <v>6.6767922235722966E-6</v>
      </c>
      <c r="G175" s="79">
        <f>EXP(SQRT(LN(G8)^2+LN(I8)^2))</f>
        <v>2.0477151450930107</v>
      </c>
      <c r="H175" s="74">
        <f>H174</f>
        <v>1.91</v>
      </c>
      <c r="I175" s="34">
        <v>1.5</v>
      </c>
      <c r="J175" s="74">
        <f t="shared" si="22"/>
        <v>1.2752673147023087E-5</v>
      </c>
      <c r="K175" s="35"/>
      <c r="L175" s="76">
        <f>J175*severe_wasting_value</f>
        <v>0.1491960736816525</v>
      </c>
    </row>
    <row r="176" spans="1:12">
      <c r="A176" s="42" t="s">
        <v>33</v>
      </c>
      <c r="B176" s="42" t="s">
        <v>11</v>
      </c>
      <c r="C176" s="42" t="s">
        <v>265</v>
      </c>
      <c r="D176" s="42" t="s">
        <v>139</v>
      </c>
      <c r="E176" s="42" t="s">
        <v>258</v>
      </c>
      <c r="F176" s="74">
        <f>CO2_workingcapacity_charfact</f>
        <v>4.1777642770352372E-3</v>
      </c>
      <c r="G176" s="79">
        <f>EXP(SQRT(LN(G9)^2+LN(I9)^2))</f>
        <v>2.0477151450930107</v>
      </c>
      <c r="H176" s="74">
        <f>H174</f>
        <v>1.91</v>
      </c>
      <c r="I176" s="34">
        <v>1.5</v>
      </c>
      <c r="J176" s="74">
        <f t="shared" si="22"/>
        <v>7.9795297691373033E-3</v>
      </c>
      <c r="K176" s="35"/>
      <c r="L176" s="76">
        <f>J176*working_capacity</f>
        <v>0.36466451044957476</v>
      </c>
    </row>
    <row r="177" spans="1:12">
      <c r="A177" s="42" t="s">
        <v>33</v>
      </c>
      <c r="B177" s="42" t="s">
        <v>11</v>
      </c>
      <c r="C177" s="42" t="s">
        <v>311</v>
      </c>
      <c r="D177" s="42" t="s">
        <v>139</v>
      </c>
      <c r="E177" s="42" t="s">
        <v>270</v>
      </c>
      <c r="F177" s="74">
        <f>CO2_diarrhea_charfact</f>
        <v>1.4307411907654921E-7</v>
      </c>
      <c r="G177" s="79">
        <f>EXP(SQRT(LN(G10)^2+LN(I10)^2))</f>
        <v>2.0477151450930107</v>
      </c>
      <c r="H177" s="74">
        <f>H174</f>
        <v>1.91</v>
      </c>
      <c r="I177" s="34">
        <v>1.5</v>
      </c>
      <c r="J177" s="74">
        <f t="shared" si="22"/>
        <v>2.7327156743620898E-7</v>
      </c>
      <c r="L177" s="76">
        <f>J177*diarrhea_value</f>
        <v>4.6956799975698665E-3</v>
      </c>
    </row>
    <row r="178" spans="1:12">
      <c r="A178" s="42" t="s">
        <v>33</v>
      </c>
      <c r="B178" s="42" t="s">
        <v>11</v>
      </c>
      <c r="C178" s="42" t="s">
        <v>269</v>
      </c>
      <c r="D178" s="42" t="s">
        <v>11</v>
      </c>
      <c r="E178" s="42" t="s">
        <v>270</v>
      </c>
      <c r="F178" s="74">
        <f>CO2_crop_charfact</f>
        <v>1.8728799615228837E-2</v>
      </c>
      <c r="G178" s="79">
        <f>EXP(SQRT(LN(G11)^2+LN(I11)^2))</f>
        <v>2.0477151450930107</v>
      </c>
      <c r="H178" s="74">
        <f>H174</f>
        <v>1.91</v>
      </c>
      <c r="I178" s="34">
        <v>1.5</v>
      </c>
      <c r="J178" s="74">
        <f t="shared" si="22"/>
        <v>3.5772007265087079E-2</v>
      </c>
      <c r="L178" s="76">
        <f>J178*cropvalue</f>
        <v>1.531041910945727E-2</v>
      </c>
    </row>
    <row r="179" spans="1:12">
      <c r="A179" s="42" t="s">
        <v>33</v>
      </c>
      <c r="B179" s="42" t="s">
        <v>11</v>
      </c>
      <c r="C179" s="42" t="s">
        <v>269</v>
      </c>
      <c r="D179" s="42" t="s">
        <v>11</v>
      </c>
      <c r="E179" s="42" t="s">
        <v>294</v>
      </c>
      <c r="F179" s="74">
        <f>F39</f>
        <v>218000000000</v>
      </c>
      <c r="G179" s="79">
        <f>EXP(SQRT(LN(G39)^2+LN(I39)^2))</f>
        <v>1.774314684182188</v>
      </c>
      <c r="H179" s="35">
        <f>1/4700000000000</f>
        <v>2.1276595744680852E-13</v>
      </c>
      <c r="I179" s="34">
        <v>1.2</v>
      </c>
      <c r="J179" s="74">
        <f t="shared" si="22"/>
        <v>4.6382978723404258E-2</v>
      </c>
      <c r="K179" s="35"/>
      <c r="L179" s="76">
        <f>J179*cropvalue</f>
        <v>1.9851914893617022E-2</v>
      </c>
    </row>
    <row r="180" spans="1:12">
      <c r="A180" s="42" t="s">
        <v>33</v>
      </c>
      <c r="B180" s="42" t="s">
        <v>11</v>
      </c>
      <c r="C180" s="42" t="s">
        <v>274</v>
      </c>
      <c r="D180" s="42" t="s">
        <v>11</v>
      </c>
      <c r="E180" s="42" t="s">
        <v>270</v>
      </c>
      <c r="F180" s="74">
        <f>CO2_fish_charfact</f>
        <v>4.8645200486026732E-5</v>
      </c>
      <c r="G180" s="79">
        <f>EXP(SQRT(LN(G14)^2+LN(I14)^2))</f>
        <v>3.0454181999036112</v>
      </c>
      <c r="H180" s="74">
        <f>H174</f>
        <v>1.91</v>
      </c>
      <c r="I180" s="34">
        <v>1.5</v>
      </c>
      <c r="J180" s="74">
        <f t="shared" si="22"/>
        <v>9.2912332928311053E-5</v>
      </c>
      <c r="K180" s="35"/>
      <c r="L180" s="76">
        <f>J180*fishvalue</f>
        <v>2.8059524544349937E-4</v>
      </c>
    </row>
    <row r="181" spans="1:12">
      <c r="A181" s="42" t="s">
        <v>33</v>
      </c>
      <c r="B181" s="42" t="s">
        <v>11</v>
      </c>
      <c r="C181" s="42" t="s">
        <v>272</v>
      </c>
      <c r="D181" s="42" t="s">
        <v>11</v>
      </c>
      <c r="E181" s="42" t="s">
        <v>270</v>
      </c>
      <c r="F181" s="74">
        <f>CO2_meat_charfact</f>
        <v>7.9048450789793437E-4</v>
      </c>
      <c r="G181" s="79">
        <f>EXP(SQRT(LN(G13)^2+LN(I13)^2))</f>
        <v>2.0477151450930107</v>
      </c>
      <c r="H181" s="74">
        <f t="shared" ref="H181:H184" si="23">H175</f>
        <v>1.91</v>
      </c>
      <c r="I181" s="34">
        <v>1.5</v>
      </c>
      <c r="J181" s="74">
        <f t="shared" si="22"/>
        <v>1.5098254100850545E-3</v>
      </c>
      <c r="L181" s="76">
        <f>J181*meatvalue</f>
        <v>3.6575520559310442E-3</v>
      </c>
    </row>
    <row r="182" spans="1:12">
      <c r="A182" s="42" t="s">
        <v>33</v>
      </c>
      <c r="B182" s="42" t="s">
        <v>11</v>
      </c>
      <c r="C182" s="34" t="s">
        <v>275</v>
      </c>
      <c r="D182" s="42" t="s">
        <v>11</v>
      </c>
      <c r="E182" s="42" t="s">
        <v>270</v>
      </c>
      <c r="F182" s="74">
        <f>CO2_wood_charfact</f>
        <v>-2.8614823815309842E-2</v>
      </c>
      <c r="G182" s="79">
        <f>EXP(SQRT(LN(G15)^2+LN(I15)^2))</f>
        <v>2.0477151450930107</v>
      </c>
      <c r="H182" s="74">
        <f t="shared" si="23"/>
        <v>1.91</v>
      </c>
      <c r="I182" s="34">
        <v>1.5</v>
      </c>
      <c r="J182" s="74">
        <f t="shared" si="22"/>
        <v>-5.4654313487241792E-2</v>
      </c>
      <c r="L182" s="76">
        <f>J182*woodvalue</f>
        <v>-1.2570492102065612E-2</v>
      </c>
    </row>
    <row r="183" spans="1:12">
      <c r="A183" s="42" t="s">
        <v>33</v>
      </c>
      <c r="B183" s="42" t="s">
        <v>11</v>
      </c>
      <c r="C183" s="34" t="s">
        <v>276</v>
      </c>
      <c r="D183" s="42" t="s">
        <v>11</v>
      </c>
      <c r="E183" s="42" t="s">
        <v>270</v>
      </c>
      <c r="F183" s="74">
        <f>CO2_drinkingwater_charfact</f>
        <v>0.15022782503037668</v>
      </c>
      <c r="G183" s="79">
        <f>EXP(SQRT(LN(G16)^2+LN(I16)^2))</f>
        <v>3.0454181999036112</v>
      </c>
      <c r="H183" s="74">
        <f t="shared" si="23"/>
        <v>1.91</v>
      </c>
      <c r="I183" s="34">
        <v>1.5</v>
      </c>
      <c r="J183" s="74">
        <f t="shared" si="22"/>
        <v>0.28693514580801943</v>
      </c>
      <c r="L183" s="76">
        <f>J183*drinkingwatervalue</f>
        <v>4.1031725850546779E-4</v>
      </c>
    </row>
    <row r="184" spans="1:12">
      <c r="A184" s="42" t="s">
        <v>33</v>
      </c>
      <c r="B184" s="42" t="s">
        <v>11</v>
      </c>
      <c r="C184" s="34" t="s">
        <v>277</v>
      </c>
      <c r="D184" s="42" t="s">
        <v>281</v>
      </c>
      <c r="E184" s="34" t="s">
        <v>312</v>
      </c>
      <c r="F184" s="74">
        <f>CO2_NEX_charfact</f>
        <v>1.2717699473471042E-16</v>
      </c>
      <c r="G184" s="79">
        <f>EXP(SQRT(LN(G17)^2+LN(I17)^2))</f>
        <v>2.0477151450930107</v>
      </c>
      <c r="H184" s="74">
        <f t="shared" si="23"/>
        <v>1.91</v>
      </c>
      <c r="I184" s="34">
        <v>1.5</v>
      </c>
      <c r="J184" s="74">
        <f t="shared" si="22"/>
        <v>2.4290805994329687E-16</v>
      </c>
      <c r="K184" s="35"/>
      <c r="L184" s="76">
        <f>J184*speciesvalue</f>
        <v>2.101154718509518E-5</v>
      </c>
    </row>
    <row r="185" spans="1:12">
      <c r="A185" s="42" t="s">
        <v>33</v>
      </c>
      <c r="B185" s="42" t="s">
        <v>11</v>
      </c>
      <c r="C185" s="34" t="s">
        <v>279</v>
      </c>
      <c r="E185" s="34" t="s">
        <v>279</v>
      </c>
      <c r="J185" s="35"/>
      <c r="K185" s="35"/>
      <c r="L185" s="76">
        <f>SUM(L173:L184)</f>
        <v>0.62919413250513967</v>
      </c>
    </row>
    <row r="186" spans="1:12">
      <c r="J186" s="35"/>
    </row>
    <row r="187" spans="1:12">
      <c r="J187" s="35"/>
    </row>
    <row r="188" spans="1:12">
      <c r="K188" s="35"/>
    </row>
    <row r="189" spans="1:12">
      <c r="J189" s="35"/>
      <c r="K189" s="35"/>
    </row>
    <row r="190" spans="1:12">
      <c r="J190" s="35"/>
    </row>
    <row r="191" spans="1:12">
      <c r="J191" s="35"/>
    </row>
    <row r="192" spans="1:12">
      <c r="K192" s="35"/>
    </row>
    <row r="193" spans="10:11">
      <c r="J193" s="35"/>
      <c r="K193" s="35"/>
    </row>
    <row r="194" spans="10:11">
      <c r="J194" s="35"/>
    </row>
    <row r="200" spans="10:11">
      <c r="J200" s="35"/>
      <c r="K200" s="35"/>
    </row>
    <row r="202" spans="10:11">
      <c r="J202" s="35"/>
      <c r="K202" s="35"/>
    </row>
    <row r="204" spans="10:11">
      <c r="K204" s="35"/>
    </row>
    <row r="205" spans="10:11">
      <c r="J205" s="35"/>
      <c r="K205" s="35"/>
    </row>
    <row r="208" spans="10:11">
      <c r="J208" s="35"/>
      <c r="K208" s="35"/>
    </row>
    <row r="209" spans="10:11">
      <c r="J209" s="35"/>
      <c r="K209" s="35"/>
    </row>
    <row r="210" spans="10:11">
      <c r="J210" s="35"/>
      <c r="K210" s="35"/>
    </row>
    <row r="211" spans="10:11">
      <c r="J211" s="35"/>
      <c r="K211" s="35"/>
    </row>
    <row r="212" spans="10:11">
      <c r="J212" s="35"/>
      <c r="K212" s="35"/>
    </row>
    <row r="213" spans="10:11">
      <c r="J213" s="35"/>
      <c r="K213" s="35"/>
    </row>
    <row r="214" spans="10:11">
      <c r="J214" s="35"/>
      <c r="K214" s="35"/>
    </row>
    <row r="215" spans="10:11" ht="13.5" customHeight="1">
      <c r="J215" s="35"/>
    </row>
    <row r="216" spans="10:11">
      <c r="J216" s="35"/>
      <c r="K216" s="35"/>
    </row>
    <row r="217" spans="10:11">
      <c r="J217" s="35"/>
    </row>
    <row r="219" spans="10:11">
      <c r="K219" s="35"/>
    </row>
    <row r="220" spans="10:11">
      <c r="J220" s="35"/>
    </row>
    <row r="221" spans="10:11">
      <c r="J221" s="35"/>
    </row>
    <row r="222" spans="10:11">
      <c r="J222" s="35"/>
    </row>
    <row r="223" spans="10:11">
      <c r="K223" s="35"/>
    </row>
  </sheetData>
  <sheetProtection algorithmName="SHA-512" hashValue="xsp+23jRoBWsQCIO4QIMykYmpVuHvKEnZATYOQrXfBEC0sF3/MrOEZ3CngextDlu/YSuPT1jGI2M0Uv19Oe29Q==" saltValue="P3VFs/GVsAKhvpn9MVKQFw==" spinCount="100000" sheet="1" objects="1" scenarios="1"/>
  <phoneticPr fontId="30" type="noConversion"/>
  <pageMargins left="0.7" right="0.7" top="0.75" bottom="0.75" header="0.3" footer="0.3"/>
  <pageSetup paperSize="9" orientation="portrait" r:id="rId1"/>
  <ignoredErrors>
    <ignoredError sqref="H11"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AE304"/>
  <sheetViews>
    <sheetView workbookViewId="0">
      <pane xSplit="1" ySplit="1" topLeftCell="B2" activePane="bottomRight" state="frozenSplit"/>
      <selection pane="topRight" activeCell="L190" sqref="L190"/>
      <selection pane="bottomLeft" activeCell="L190" sqref="L190"/>
      <selection pane="bottomRight" activeCell="D4" sqref="D4"/>
    </sheetView>
  </sheetViews>
  <sheetFormatPr baseColWidth="10" defaultColWidth="8.83203125" defaultRowHeight="13"/>
  <cols>
    <col min="1" max="1" width="29" bestFit="1" customWidth="1"/>
    <col min="2" max="2" width="11.5" customWidth="1"/>
    <col min="3" max="3" width="6" bestFit="1" customWidth="1"/>
    <col min="4" max="4" width="9.33203125" customWidth="1"/>
    <col min="5" max="5" width="14.33203125" customWidth="1"/>
    <col min="6" max="6" width="10.6640625" customWidth="1"/>
    <col min="7" max="7" width="8.6640625" bestFit="1" customWidth="1"/>
    <col min="8" max="8" width="10.5" customWidth="1"/>
    <col min="9" max="9" width="9.33203125" style="5" customWidth="1"/>
    <col min="10" max="11" width="9.6640625" style="5" customWidth="1"/>
    <col min="12" max="19" width="9" style="5" customWidth="1"/>
    <col min="20" max="20" width="11.5" customWidth="1"/>
    <col min="21" max="21" width="15.5" style="56" customWidth="1"/>
    <col min="22" max="22" width="11.1640625" style="31" bestFit="1" customWidth="1"/>
  </cols>
  <sheetData>
    <row r="1" spans="1:27" s="2" customFormat="1" ht="29.25" customHeight="1">
      <c r="A1" s="2" t="s">
        <v>1487</v>
      </c>
      <c r="B1" s="2" t="s">
        <v>313</v>
      </c>
      <c r="C1" s="2" t="s">
        <v>314</v>
      </c>
      <c r="D1" s="2" t="s">
        <v>315</v>
      </c>
      <c r="E1" s="2" t="s">
        <v>316</v>
      </c>
      <c r="F1" s="4" t="s">
        <v>317</v>
      </c>
      <c r="G1" s="4" t="s">
        <v>1763</v>
      </c>
      <c r="H1" s="4" t="s">
        <v>318</v>
      </c>
      <c r="I1" s="65" t="s">
        <v>319</v>
      </c>
      <c r="J1" s="65" t="s">
        <v>320</v>
      </c>
      <c r="K1" s="65" t="s">
        <v>321</v>
      </c>
      <c r="L1" s="65" t="s">
        <v>322</v>
      </c>
      <c r="M1" s="65" t="s">
        <v>323</v>
      </c>
      <c r="N1" s="65" t="s">
        <v>324</v>
      </c>
      <c r="O1" s="65" t="s">
        <v>325</v>
      </c>
      <c r="P1" s="65" t="s">
        <v>326</v>
      </c>
      <c r="Q1" s="65" t="s">
        <v>327</v>
      </c>
      <c r="R1" s="65" t="s">
        <v>328</v>
      </c>
      <c r="S1" s="65" t="s">
        <v>329</v>
      </c>
      <c r="T1" s="4" t="s">
        <v>330</v>
      </c>
      <c r="U1" s="73" t="s">
        <v>1768</v>
      </c>
      <c r="V1" s="66"/>
    </row>
    <row r="2" spans="1:27">
      <c r="A2" s="9" t="s">
        <v>331</v>
      </c>
      <c r="B2" t="s">
        <v>332</v>
      </c>
      <c r="C2">
        <v>650</v>
      </c>
      <c r="D2">
        <v>5</v>
      </c>
      <c r="F2" s="19">
        <f>1/C2*1000</f>
        <v>1.5384615384615385</v>
      </c>
      <c r="G2" s="19">
        <f t="shared" ref="G2:G65" si="0">18000/3700000000*35*F2/averagepesticidepotency</f>
        <v>2.4650376532367125E-6</v>
      </c>
      <c r="H2" s="19">
        <f t="shared" ref="H2:H65" si="1">9000000*0.02/3700000000*F2/averagepesticidepotency</f>
        <v>7.0429647235334635E-7</v>
      </c>
      <c r="T2" s="19">
        <f t="shared" ref="T2:T65" si="2">0.008382/2360000000*F2/averagepesticidepotency</f>
        <v>5.1418616326938025E-14</v>
      </c>
      <c r="U2" s="81">
        <f t="shared" ref="U2:U65" si="3">G2*YLLvalue+H2*poisoningvalue+I2*As_orevalue+J2*Cu_orevalue+K2*F_orevalue+L2*Hg_orevalue+M2*I_orevalue+N2*P_orevalue+O2*Pb_orevalue+P2*S_orevalue+Q2*Sn_orevalue+R2*Tl_orevalue+S2*Zn_orevalue+T2*speciesvalue</f>
        <v>0.24024490152253028</v>
      </c>
      <c r="V2" s="30"/>
      <c r="W2" s="23"/>
      <c r="Z2" s="23"/>
      <c r="AA2" s="23"/>
    </row>
    <row r="3" spans="1:27">
      <c r="A3" s="9" t="s">
        <v>333</v>
      </c>
      <c r="B3" t="s">
        <v>334</v>
      </c>
      <c r="C3">
        <v>699</v>
      </c>
      <c r="D3">
        <v>5</v>
      </c>
      <c r="E3" t="s">
        <v>335</v>
      </c>
      <c r="F3" s="19">
        <f t="shared" ref="F3:F66" si="4">1/C3*1000</f>
        <v>1.4306151645207439</v>
      </c>
      <c r="G3" s="19">
        <f t="shared" si="0"/>
        <v>2.2922381610927942E-6</v>
      </c>
      <c r="H3" s="19">
        <f t="shared" si="1"/>
        <v>6.5492518888365533E-7</v>
      </c>
      <c r="T3" s="19">
        <f t="shared" si="2"/>
        <v>4.7814163966394445E-14</v>
      </c>
      <c r="U3" s="81">
        <f t="shared" si="3"/>
        <v>0.22340369955600098</v>
      </c>
      <c r="V3" s="30"/>
      <c r="W3" s="23"/>
      <c r="Z3" s="23"/>
      <c r="AA3" s="23"/>
    </row>
    <row r="4" spans="1:27">
      <c r="A4" s="9" t="s">
        <v>336</v>
      </c>
      <c r="B4" t="s">
        <v>337</v>
      </c>
      <c r="C4">
        <v>1340</v>
      </c>
      <c r="D4">
        <v>5</v>
      </c>
      <c r="E4" s="9" t="s">
        <v>338</v>
      </c>
      <c r="F4" s="19">
        <f t="shared" si="4"/>
        <v>0.74626865671641796</v>
      </c>
      <c r="G4" s="19">
        <f t="shared" si="0"/>
        <v>1.1957272198536292E-6</v>
      </c>
      <c r="H4" s="19">
        <f t="shared" si="1"/>
        <v>3.4163634852960832E-7</v>
      </c>
      <c r="T4" s="19">
        <f t="shared" si="2"/>
        <v>2.4941866128738598E-14</v>
      </c>
      <c r="U4" s="81">
        <f t="shared" si="3"/>
        <v>0.11653670596242141</v>
      </c>
      <c r="V4" s="30"/>
      <c r="W4" s="23"/>
      <c r="Z4" s="23"/>
      <c r="AA4" s="23"/>
    </row>
    <row r="5" spans="1:27">
      <c r="A5" s="9" t="s">
        <v>339</v>
      </c>
      <c r="B5" t="s">
        <v>340</v>
      </c>
      <c r="C5">
        <v>600</v>
      </c>
      <c r="D5">
        <v>5</v>
      </c>
      <c r="F5" s="19">
        <f t="shared" si="4"/>
        <v>1.6666666666666667</v>
      </c>
      <c r="G5" s="19">
        <f t="shared" si="0"/>
        <v>2.6704574576731051E-6</v>
      </c>
      <c r="H5" s="19">
        <f t="shared" si="1"/>
        <v>7.6298784504945846E-7</v>
      </c>
      <c r="T5" s="19">
        <f t="shared" si="2"/>
        <v>5.570350102084953E-14</v>
      </c>
      <c r="U5" s="81">
        <f t="shared" si="3"/>
        <v>0.26026530998274117</v>
      </c>
      <c r="V5" s="30"/>
      <c r="W5" s="23"/>
      <c r="Z5" s="23"/>
      <c r="AA5" s="23"/>
    </row>
    <row r="6" spans="1:27">
      <c r="A6" t="s">
        <v>341</v>
      </c>
      <c r="B6" t="s">
        <v>342</v>
      </c>
      <c r="C6">
        <v>26</v>
      </c>
      <c r="D6">
        <v>5</v>
      </c>
      <c r="E6" t="s">
        <v>343</v>
      </c>
      <c r="F6" s="19">
        <f t="shared" si="4"/>
        <v>38.461538461538467</v>
      </c>
      <c r="G6" s="19">
        <f t="shared" si="0"/>
        <v>6.1625941330917817E-5</v>
      </c>
      <c r="H6" s="19">
        <f t="shared" si="1"/>
        <v>1.7607411808833662E-5</v>
      </c>
      <c r="T6" s="19">
        <f t="shared" si="2"/>
        <v>1.2854654081734507E-12</v>
      </c>
      <c r="U6" s="81">
        <f t="shared" si="3"/>
        <v>6.0061225380632575</v>
      </c>
      <c r="V6" s="30"/>
      <c r="W6" s="23"/>
      <c r="Z6" s="23"/>
      <c r="AA6" s="23"/>
    </row>
    <row r="7" spans="1:27">
      <c r="A7" t="s">
        <v>344</v>
      </c>
      <c r="B7" t="s">
        <v>345</v>
      </c>
      <c r="C7">
        <v>850</v>
      </c>
      <c r="D7">
        <v>5</v>
      </c>
      <c r="F7" s="19">
        <f t="shared" si="4"/>
        <v>1.1764705882352939</v>
      </c>
      <c r="G7" s="19">
        <f t="shared" si="0"/>
        <v>1.8850287936516033E-6</v>
      </c>
      <c r="H7" s="19">
        <f t="shared" si="1"/>
        <v>5.3857965532902943E-7</v>
      </c>
      <c r="T7" s="19">
        <f t="shared" si="2"/>
        <v>3.9320118367658483E-14</v>
      </c>
      <c r="U7" s="81">
        <f t="shared" si="3"/>
        <v>0.18371668939958194</v>
      </c>
      <c r="V7" s="30"/>
      <c r="W7" s="23"/>
      <c r="Z7" s="23"/>
      <c r="AA7" s="23"/>
    </row>
    <row r="8" spans="1:27">
      <c r="A8" t="s">
        <v>346</v>
      </c>
      <c r="B8" t="s">
        <v>347</v>
      </c>
      <c r="C8">
        <v>700</v>
      </c>
      <c r="D8">
        <v>5</v>
      </c>
      <c r="F8" s="19">
        <f t="shared" si="4"/>
        <v>1.4285714285714286</v>
      </c>
      <c r="G8" s="19">
        <f t="shared" si="0"/>
        <v>2.2889635351483756E-6</v>
      </c>
      <c r="H8" s="19">
        <f t="shared" si="1"/>
        <v>6.5398958147096441E-7</v>
      </c>
      <c r="T8" s="19">
        <f t="shared" si="2"/>
        <v>4.7745858017871025E-14</v>
      </c>
      <c r="U8" s="81">
        <f t="shared" si="3"/>
        <v>0.22308455141377809</v>
      </c>
      <c r="V8" s="30"/>
      <c r="W8" s="23"/>
      <c r="Z8" s="23"/>
      <c r="AA8" s="23"/>
    </row>
    <row r="9" spans="1:27">
      <c r="A9" t="s">
        <v>348</v>
      </c>
      <c r="B9" t="s">
        <v>349</v>
      </c>
      <c r="C9">
        <v>1370</v>
      </c>
      <c r="D9">
        <v>5</v>
      </c>
      <c r="F9" s="19">
        <f t="shared" si="4"/>
        <v>0.72992700729927007</v>
      </c>
      <c r="G9" s="19">
        <f t="shared" si="0"/>
        <v>1.1695434121196082E-6</v>
      </c>
      <c r="H9" s="19">
        <f t="shared" si="1"/>
        <v>3.3415526060560223E-7</v>
      </c>
      <c r="K9" s="5">
        <v>0.157</v>
      </c>
      <c r="T9" s="19">
        <f t="shared" si="2"/>
        <v>2.4395693877744316E-14</v>
      </c>
      <c r="U9" s="81">
        <f t="shared" si="3"/>
        <v>1.2150283440960201</v>
      </c>
      <c r="V9" s="30"/>
      <c r="W9" s="23"/>
      <c r="Z9" s="23"/>
      <c r="AA9" s="23"/>
    </row>
    <row r="10" spans="1:27">
      <c r="A10" t="s">
        <v>350</v>
      </c>
      <c r="B10" t="s">
        <v>351</v>
      </c>
      <c r="C10">
        <v>26</v>
      </c>
      <c r="D10">
        <v>5</v>
      </c>
      <c r="E10" t="s">
        <v>352</v>
      </c>
      <c r="F10" s="19">
        <f t="shared" si="4"/>
        <v>38.461538461538467</v>
      </c>
      <c r="G10" s="19">
        <f t="shared" si="0"/>
        <v>6.1625941330917817E-5</v>
      </c>
      <c r="H10" s="19">
        <f t="shared" si="1"/>
        <v>1.7607411808833662E-5</v>
      </c>
      <c r="T10" s="19">
        <f t="shared" si="2"/>
        <v>1.2854654081734507E-12</v>
      </c>
      <c r="U10" s="81">
        <f t="shared" si="3"/>
        <v>6.0061225380632575</v>
      </c>
      <c r="V10" s="30"/>
      <c r="W10" s="23"/>
      <c r="Z10" s="23"/>
      <c r="AA10" s="23"/>
    </row>
    <row r="11" spans="1:27">
      <c r="A11" t="s">
        <v>353</v>
      </c>
      <c r="B11" t="s">
        <v>354</v>
      </c>
      <c r="C11">
        <v>930</v>
      </c>
      <c r="D11">
        <v>5</v>
      </c>
      <c r="E11" t="s">
        <v>355</v>
      </c>
      <c r="F11" s="19">
        <f t="shared" si="4"/>
        <v>1.075268817204301</v>
      </c>
      <c r="G11" s="19">
        <f t="shared" si="0"/>
        <v>1.7228757791439388E-6</v>
      </c>
      <c r="H11" s="19">
        <f t="shared" si="1"/>
        <v>4.9225022261255389E-7</v>
      </c>
      <c r="T11" s="19">
        <f t="shared" si="2"/>
        <v>3.5937742594096467E-14</v>
      </c>
      <c r="U11" s="81">
        <f t="shared" si="3"/>
        <v>0.16791310321467171</v>
      </c>
      <c r="V11" s="30"/>
      <c r="W11" s="23"/>
      <c r="Z11" s="23"/>
      <c r="AA11" s="23"/>
    </row>
    <row r="12" spans="1:27">
      <c r="A12" s="9" t="s">
        <v>356</v>
      </c>
      <c r="B12" t="s">
        <v>357</v>
      </c>
      <c r="C12">
        <v>330</v>
      </c>
      <c r="D12">
        <v>5</v>
      </c>
      <c r="F12" s="19">
        <f t="shared" si="4"/>
        <v>3.0303030303030303</v>
      </c>
      <c r="G12" s="19">
        <f t="shared" si="0"/>
        <v>4.8553771957692818E-6</v>
      </c>
      <c r="H12" s="19">
        <f t="shared" si="1"/>
        <v>1.3872506273626521E-6</v>
      </c>
      <c r="P12" s="5">
        <v>0.16</v>
      </c>
      <c r="T12" s="19">
        <f t="shared" si="2"/>
        <v>1.0127909276518095E-13</v>
      </c>
      <c r="U12" s="81">
        <f t="shared" si="3"/>
        <v>0.50520965451407485</v>
      </c>
      <c r="V12" s="30"/>
      <c r="W12" s="23"/>
      <c r="Z12" s="23"/>
      <c r="AA12" s="23"/>
    </row>
    <row r="13" spans="1:27">
      <c r="A13" s="9" t="s">
        <v>358</v>
      </c>
      <c r="B13" t="s">
        <v>359</v>
      </c>
      <c r="C13">
        <v>0.83</v>
      </c>
      <c r="D13">
        <v>5</v>
      </c>
      <c r="E13" t="s">
        <v>360</v>
      </c>
      <c r="F13" s="19">
        <f t="shared" si="4"/>
        <v>1204.8192771084339</v>
      </c>
      <c r="G13" s="19">
        <f t="shared" si="0"/>
        <v>1.9304511742215219E-3</v>
      </c>
      <c r="H13" s="19">
        <f t="shared" si="1"/>
        <v>5.5155747834900618E-4</v>
      </c>
      <c r="P13" s="5">
        <v>0.33600000000000002</v>
      </c>
      <c r="T13" s="19">
        <f t="shared" si="2"/>
        <v>4.0267591099409298E-11</v>
      </c>
      <c r="U13" s="81">
        <f t="shared" si="3"/>
        <v>188.21079757788519</v>
      </c>
      <c r="V13" s="30"/>
      <c r="W13" s="23"/>
      <c r="Z13" s="23"/>
      <c r="AA13" s="23"/>
    </row>
    <row r="14" spans="1:27">
      <c r="A14" s="9" t="s">
        <v>361</v>
      </c>
      <c r="B14" t="s">
        <v>362</v>
      </c>
      <c r="C14">
        <v>685</v>
      </c>
      <c r="D14">
        <v>5</v>
      </c>
      <c r="F14" s="19">
        <f t="shared" si="4"/>
        <v>1.4598540145985401</v>
      </c>
      <c r="G14" s="19">
        <f t="shared" si="0"/>
        <v>2.3390868242392163E-6</v>
      </c>
      <c r="H14" s="19">
        <f t="shared" si="1"/>
        <v>6.6831052121120445E-7</v>
      </c>
      <c r="T14" s="19">
        <f t="shared" si="2"/>
        <v>4.8791387755488633E-14</v>
      </c>
      <c r="U14" s="81">
        <f t="shared" si="3"/>
        <v>0.22796961458342291</v>
      </c>
      <c r="V14" s="30"/>
      <c r="W14" s="23"/>
      <c r="Z14" s="23"/>
      <c r="AA14" s="23"/>
    </row>
    <row r="15" spans="1:27">
      <c r="A15" t="s">
        <v>363</v>
      </c>
      <c r="B15" t="s">
        <v>364</v>
      </c>
      <c r="C15">
        <v>64</v>
      </c>
      <c r="D15">
        <v>5</v>
      </c>
      <c r="F15" s="19">
        <f t="shared" si="4"/>
        <v>15.625</v>
      </c>
      <c r="G15" s="19">
        <f t="shared" si="0"/>
        <v>2.503553866568536E-5</v>
      </c>
      <c r="H15" s="19">
        <f t="shared" si="1"/>
        <v>7.1530110473386733E-6</v>
      </c>
      <c r="T15" s="19">
        <f t="shared" si="2"/>
        <v>5.2222032207046429E-13</v>
      </c>
      <c r="U15" s="81">
        <f t="shared" si="3"/>
        <v>2.4399872810881984</v>
      </c>
      <c r="V15" s="30"/>
      <c r="W15" s="23"/>
      <c r="Z15" s="23"/>
      <c r="AA15" s="23"/>
    </row>
    <row r="16" spans="1:27">
      <c r="A16" s="9" t="s">
        <v>365</v>
      </c>
      <c r="B16" t="s">
        <v>366</v>
      </c>
      <c r="C16">
        <v>79</v>
      </c>
      <c r="D16">
        <v>5</v>
      </c>
      <c r="F16" s="19">
        <f t="shared" si="4"/>
        <v>12.658227848101266</v>
      </c>
      <c r="G16" s="19">
        <f t="shared" si="0"/>
        <v>2.0281955374732445E-5</v>
      </c>
      <c r="H16" s="19">
        <f t="shared" si="1"/>
        <v>5.7948443927806976E-6</v>
      </c>
      <c r="T16" s="19">
        <f t="shared" si="2"/>
        <v>4.2306456471531284E-13</v>
      </c>
      <c r="U16" s="81">
        <f t="shared" si="3"/>
        <v>1.9766985568309454</v>
      </c>
      <c r="V16" s="30"/>
      <c r="W16" s="23"/>
      <c r="Z16" s="23"/>
      <c r="AA16" s="23"/>
    </row>
    <row r="17" spans="1:27">
      <c r="A17" s="9" t="s">
        <v>367</v>
      </c>
      <c r="B17" t="s">
        <v>368</v>
      </c>
      <c r="C17">
        <v>508</v>
      </c>
      <c r="D17">
        <v>5</v>
      </c>
      <c r="F17" s="19">
        <f t="shared" si="4"/>
        <v>1.9685039370078741</v>
      </c>
      <c r="G17" s="19">
        <f t="shared" si="0"/>
        <v>3.1540836114249272E-6</v>
      </c>
      <c r="H17" s="19">
        <f t="shared" si="1"/>
        <v>9.0116674612140768E-7</v>
      </c>
      <c r="P17" s="5">
        <v>0.14099999999999999</v>
      </c>
      <c r="T17" s="19">
        <f t="shared" si="2"/>
        <v>6.5791536638798651E-14</v>
      </c>
      <c r="U17" s="81">
        <f t="shared" si="3"/>
        <v>0.33559997242056039</v>
      </c>
      <c r="V17" s="30"/>
      <c r="W17" s="23"/>
      <c r="Z17" s="23"/>
      <c r="AA17" s="23"/>
    </row>
    <row r="18" spans="1:27">
      <c r="A18" s="9" t="s">
        <v>369</v>
      </c>
      <c r="B18" t="s">
        <v>370</v>
      </c>
      <c r="C18">
        <v>800</v>
      </c>
      <c r="D18">
        <v>5</v>
      </c>
      <c r="F18" s="19">
        <f t="shared" si="4"/>
        <v>1.25</v>
      </c>
      <c r="G18" s="19">
        <f t="shared" si="0"/>
        <v>2.0028430932548286E-6</v>
      </c>
      <c r="H18" s="19">
        <f t="shared" si="1"/>
        <v>5.722408837870939E-7</v>
      </c>
      <c r="T18" s="19">
        <f t="shared" si="2"/>
        <v>4.1777625765637141E-14</v>
      </c>
      <c r="U18" s="81">
        <f t="shared" si="3"/>
        <v>0.19519898248705583</v>
      </c>
      <c r="V18" s="30"/>
      <c r="W18" s="23"/>
      <c r="Z18" s="23"/>
      <c r="AA18" s="23"/>
    </row>
    <row r="19" spans="1:27">
      <c r="A19" s="9" t="s">
        <v>371</v>
      </c>
      <c r="B19" t="s">
        <v>372</v>
      </c>
      <c r="C19">
        <v>472</v>
      </c>
      <c r="D19">
        <v>5</v>
      </c>
      <c r="F19" s="19">
        <f t="shared" si="4"/>
        <v>2.1186440677966103</v>
      </c>
      <c r="G19" s="19">
        <f t="shared" si="0"/>
        <v>3.3946493106014048E-6</v>
      </c>
      <c r="H19" s="19">
        <f t="shared" si="1"/>
        <v>9.6989980302897281E-7</v>
      </c>
      <c r="N19" s="5">
        <v>8.4000000000000005E-2</v>
      </c>
      <c r="P19" s="5">
        <v>0.17399999999999999</v>
      </c>
      <c r="T19" s="19">
        <f t="shared" si="2"/>
        <v>7.0809535195995173E-14</v>
      </c>
      <c r="U19" s="81">
        <f t="shared" si="3"/>
        <v>0.86659993150219061</v>
      </c>
      <c r="V19" s="30"/>
      <c r="W19" s="23"/>
      <c r="Z19" s="23"/>
      <c r="AA19" s="23"/>
    </row>
    <row r="20" spans="1:27">
      <c r="A20" s="9" t="s">
        <v>373</v>
      </c>
      <c r="B20" t="s">
        <v>374</v>
      </c>
      <c r="C20">
        <v>308</v>
      </c>
      <c r="D20">
        <v>5</v>
      </c>
      <c r="F20" s="19">
        <f t="shared" si="4"/>
        <v>3.2467532467532472</v>
      </c>
      <c r="G20" s="19">
        <f t="shared" si="0"/>
        <v>5.2021898526099458E-6</v>
      </c>
      <c r="H20" s="19">
        <f t="shared" si="1"/>
        <v>1.4863399578885556E-6</v>
      </c>
      <c r="T20" s="19">
        <f t="shared" si="2"/>
        <v>1.0851331367697962E-13</v>
      </c>
      <c r="U20" s="81">
        <f t="shared" si="3"/>
        <v>0.50701034412222301</v>
      </c>
      <c r="V20" s="30"/>
      <c r="W20" s="23"/>
      <c r="Z20" s="23"/>
      <c r="AA20" s="23"/>
    </row>
    <row r="21" spans="1:27">
      <c r="A21" s="9" t="s">
        <v>375</v>
      </c>
      <c r="B21" t="s">
        <v>376</v>
      </c>
      <c r="C21">
        <v>1180</v>
      </c>
      <c r="D21">
        <v>5</v>
      </c>
      <c r="F21" s="19">
        <f t="shared" si="4"/>
        <v>0.84745762711864403</v>
      </c>
      <c r="G21" s="19">
        <f t="shared" si="0"/>
        <v>1.357859724240562E-6</v>
      </c>
      <c r="H21" s="19">
        <f t="shared" si="1"/>
        <v>3.8795992121158906E-7</v>
      </c>
      <c r="N21" s="5">
        <v>0.95</v>
      </c>
      <c r="P21" s="5">
        <v>0.99</v>
      </c>
      <c r="T21" s="19">
        <f t="shared" si="2"/>
        <v>2.8323814078398061E-14</v>
      </c>
      <c r="U21" s="81">
        <f t="shared" si="3"/>
        <v>5.9958917283260673</v>
      </c>
      <c r="V21" s="30"/>
      <c r="W21" s="23"/>
      <c r="Z21" s="23"/>
      <c r="AA21" s="23"/>
    </row>
    <row r="22" spans="1:27">
      <c r="A22" s="9" t="s">
        <v>377</v>
      </c>
      <c r="B22" t="s">
        <v>378</v>
      </c>
      <c r="C22">
        <v>7</v>
      </c>
      <c r="D22">
        <v>5</v>
      </c>
      <c r="F22" s="19">
        <f t="shared" si="4"/>
        <v>142.85714285714286</v>
      </c>
      <c r="G22" s="19">
        <f t="shared" si="0"/>
        <v>2.2889635351483757E-4</v>
      </c>
      <c r="H22" s="19">
        <f t="shared" si="1"/>
        <v>6.539895814709644E-5</v>
      </c>
      <c r="N22" s="5">
        <v>8.9700000000000002E-2</v>
      </c>
      <c r="P22" s="5">
        <v>0.185</v>
      </c>
      <c r="T22" s="19">
        <f t="shared" si="2"/>
        <v>4.7745858017871029E-12</v>
      </c>
      <c r="U22" s="81">
        <f t="shared" si="3"/>
        <v>22.88040266046178</v>
      </c>
      <c r="V22" s="30"/>
      <c r="W22" s="23"/>
      <c r="Z22" s="23"/>
      <c r="AA22" s="23"/>
    </row>
    <row r="23" spans="1:27">
      <c r="A23" s="9" t="s">
        <v>379</v>
      </c>
      <c r="B23" t="s">
        <v>380</v>
      </c>
      <c r="C23">
        <v>12</v>
      </c>
      <c r="D23">
        <v>5</v>
      </c>
      <c r="F23" s="19">
        <f t="shared" si="4"/>
        <v>83.333333333333329</v>
      </c>
      <c r="G23" s="19">
        <f t="shared" si="0"/>
        <v>1.3352287288365526E-4</v>
      </c>
      <c r="H23" s="19">
        <f t="shared" si="1"/>
        <v>3.8149392252472924E-5</v>
      </c>
      <c r="N23" s="5">
        <v>9.7600000000000006E-2</v>
      </c>
      <c r="P23" s="5">
        <v>0.20200000000000001</v>
      </c>
      <c r="T23" s="19">
        <f t="shared" si="2"/>
        <v>2.7851750510424762E-12</v>
      </c>
      <c r="U23" s="81">
        <f t="shared" si="3"/>
        <v>13.635726567839347</v>
      </c>
      <c r="V23" s="30"/>
      <c r="W23" s="23"/>
      <c r="Z23" s="23"/>
      <c r="AA23" s="23"/>
    </row>
    <row r="24" spans="1:27">
      <c r="A24" s="9" t="s">
        <v>381</v>
      </c>
      <c r="B24" t="s">
        <v>382</v>
      </c>
      <c r="C24">
        <v>76</v>
      </c>
      <c r="D24">
        <v>5</v>
      </c>
      <c r="F24" s="19">
        <f t="shared" si="4"/>
        <v>13.157894736842104</v>
      </c>
      <c r="G24" s="19">
        <f t="shared" si="0"/>
        <v>2.1082558876366615E-5</v>
      </c>
      <c r="H24" s="19">
        <f t="shared" si="1"/>
        <v>6.0235882503904616E-6</v>
      </c>
      <c r="Q24" s="5">
        <v>0.27200000000000002</v>
      </c>
      <c r="T24" s="19">
        <f t="shared" si="2"/>
        <v>4.3976448174354884E-13</v>
      </c>
      <c r="U24" s="81">
        <f t="shared" si="3"/>
        <v>541.73726581398239</v>
      </c>
      <c r="V24" s="30"/>
      <c r="W24" s="23"/>
      <c r="Z24" s="23"/>
      <c r="AA24" s="23"/>
    </row>
    <row r="25" spans="1:27">
      <c r="A25" s="9" t="s">
        <v>383</v>
      </c>
      <c r="B25" t="s">
        <v>384</v>
      </c>
      <c r="C25">
        <v>40</v>
      </c>
      <c r="D25">
        <v>5</v>
      </c>
      <c r="F25" s="19">
        <f t="shared" si="4"/>
        <v>25</v>
      </c>
      <c r="G25" s="19">
        <f t="shared" si="0"/>
        <v>4.0056861865096575E-5</v>
      </c>
      <c r="H25" s="19">
        <f t="shared" si="1"/>
        <v>1.1444817675741878E-5</v>
      </c>
      <c r="T25" s="19">
        <f t="shared" si="2"/>
        <v>8.355525153127429E-13</v>
      </c>
      <c r="U25" s="81">
        <f t="shared" si="3"/>
        <v>3.903979649741117</v>
      </c>
      <c r="V25" s="30"/>
      <c r="W25" s="23"/>
      <c r="Z25" s="23"/>
      <c r="AA25" s="23"/>
    </row>
    <row r="26" spans="1:27">
      <c r="A26" s="9" t="s">
        <v>385</v>
      </c>
      <c r="B26" t="s">
        <v>386</v>
      </c>
      <c r="C26">
        <v>105</v>
      </c>
      <c r="D26">
        <v>5</v>
      </c>
      <c r="F26" s="19">
        <f t="shared" si="4"/>
        <v>9.5238095238095255</v>
      </c>
      <c r="G26" s="19">
        <f t="shared" si="0"/>
        <v>1.5259756900989175E-5</v>
      </c>
      <c r="H26" s="19">
        <f t="shared" si="1"/>
        <v>4.3599305431397637E-6</v>
      </c>
      <c r="P26" s="5">
        <v>7.8E-2</v>
      </c>
      <c r="T26" s="19">
        <f t="shared" si="2"/>
        <v>3.1830572011914021E-13</v>
      </c>
      <c r="U26" s="81">
        <f t="shared" si="3"/>
        <v>1.5028303427585212</v>
      </c>
      <c r="V26" s="30"/>
      <c r="W26" s="23"/>
      <c r="Z26" s="23"/>
      <c r="AA26" s="23"/>
    </row>
    <row r="27" spans="1:27">
      <c r="A27" s="9" t="s">
        <v>387</v>
      </c>
      <c r="B27" t="s">
        <v>388</v>
      </c>
      <c r="C27">
        <v>770</v>
      </c>
      <c r="D27">
        <v>5</v>
      </c>
      <c r="F27" s="19">
        <f t="shared" si="4"/>
        <v>1.2987012987012987</v>
      </c>
      <c r="G27" s="19">
        <f t="shared" si="0"/>
        <v>2.0808759410439781E-6</v>
      </c>
      <c r="H27" s="19">
        <f t="shared" si="1"/>
        <v>5.9453598315542225E-7</v>
      </c>
      <c r="N27" s="5">
        <v>7.8E-2</v>
      </c>
      <c r="P27" s="5">
        <v>0.24199999999999999</v>
      </c>
      <c r="T27" s="19">
        <f t="shared" si="2"/>
        <v>4.3405325470791832E-14</v>
      </c>
      <c r="U27" s="81">
        <f t="shared" si="3"/>
        <v>0.71637589337408014</v>
      </c>
      <c r="V27" s="30"/>
      <c r="W27" s="23"/>
      <c r="Z27" s="23"/>
      <c r="AA27" s="23"/>
    </row>
    <row r="28" spans="1:27">
      <c r="A28" s="9" t="s">
        <v>389</v>
      </c>
      <c r="B28" t="s">
        <v>390</v>
      </c>
      <c r="C28">
        <v>1105</v>
      </c>
      <c r="D28">
        <v>5</v>
      </c>
      <c r="F28" s="19">
        <f t="shared" si="4"/>
        <v>0.90497737556561086</v>
      </c>
      <c r="G28" s="19">
        <f t="shared" si="0"/>
        <v>1.4500221489627719E-6</v>
      </c>
      <c r="H28" s="19">
        <f t="shared" si="1"/>
        <v>4.1429204256079196E-7</v>
      </c>
      <c r="P28" s="5">
        <v>0.29699999999999999</v>
      </c>
      <c r="T28" s="19">
        <f t="shared" si="2"/>
        <v>3.0246244898198836E-14</v>
      </c>
      <c r="U28" s="81">
        <f t="shared" si="3"/>
        <v>0.20072053030737072</v>
      </c>
      <c r="V28" s="30"/>
      <c r="W28" s="23"/>
      <c r="Z28" s="23"/>
      <c r="AA28" s="23"/>
    </row>
    <row r="29" spans="1:27">
      <c r="A29" s="9" t="s">
        <v>391</v>
      </c>
      <c r="B29" t="s">
        <v>392</v>
      </c>
      <c r="C29">
        <v>850</v>
      </c>
      <c r="D29">
        <v>5</v>
      </c>
      <c r="F29" s="19">
        <f t="shared" si="4"/>
        <v>1.1764705882352939</v>
      </c>
      <c r="G29" s="19">
        <f t="shared" si="0"/>
        <v>1.8850287936516033E-6</v>
      </c>
      <c r="H29" s="19">
        <f t="shared" si="1"/>
        <v>5.3857965532902943E-7</v>
      </c>
      <c r="P29" s="5">
        <v>0.13300000000000001</v>
      </c>
      <c r="T29" s="19">
        <f t="shared" si="2"/>
        <v>3.9320118367658483E-14</v>
      </c>
      <c r="U29" s="81">
        <f t="shared" si="3"/>
        <v>0.21031668939958195</v>
      </c>
      <c r="V29" s="30"/>
      <c r="W29" s="23"/>
      <c r="Z29" s="23"/>
      <c r="AA29" s="23"/>
    </row>
    <row r="30" spans="1:27">
      <c r="A30" s="9" t="s">
        <v>393</v>
      </c>
      <c r="B30" t="s">
        <v>394</v>
      </c>
      <c r="C30">
        <v>330</v>
      </c>
      <c r="D30">
        <v>5</v>
      </c>
      <c r="F30" s="19">
        <f t="shared" si="4"/>
        <v>3.0303030303030303</v>
      </c>
      <c r="G30" s="19">
        <f t="shared" si="0"/>
        <v>4.8553771957692818E-6</v>
      </c>
      <c r="H30" s="19">
        <f t="shared" si="1"/>
        <v>1.3872506273626521E-6</v>
      </c>
      <c r="K30" s="5">
        <v>4.3700000000000003E-2</v>
      </c>
      <c r="T30" s="19">
        <f t="shared" si="2"/>
        <v>1.0127909276518095E-13</v>
      </c>
      <c r="U30" s="81">
        <f t="shared" si="3"/>
        <v>0.77967846061820412</v>
      </c>
      <c r="V30" s="30"/>
      <c r="W30" s="23"/>
      <c r="Z30" s="23"/>
      <c r="AA30" s="23"/>
    </row>
    <row r="31" spans="1:27">
      <c r="A31" s="9" t="s">
        <v>395</v>
      </c>
      <c r="B31" t="s">
        <v>396</v>
      </c>
      <c r="C31">
        <v>132</v>
      </c>
      <c r="D31">
        <v>5</v>
      </c>
      <c r="F31" s="19">
        <f t="shared" si="4"/>
        <v>7.5757575757575761</v>
      </c>
      <c r="G31" s="19">
        <f t="shared" si="0"/>
        <v>1.2138442989423206E-5</v>
      </c>
      <c r="H31" s="19">
        <f t="shared" si="1"/>
        <v>3.4681265684066297E-6</v>
      </c>
      <c r="K31" s="5">
        <v>0.13500000000000001</v>
      </c>
      <c r="T31" s="19">
        <f t="shared" si="2"/>
        <v>2.5319773191295242E-13</v>
      </c>
      <c r="U31" s="81">
        <f t="shared" si="3"/>
        <v>2.129781317613733</v>
      </c>
      <c r="V31" s="30"/>
      <c r="W31" s="23"/>
      <c r="Z31" s="23"/>
      <c r="AA31" s="23"/>
    </row>
    <row r="32" spans="1:27">
      <c r="A32" s="9" t="s">
        <v>397</v>
      </c>
      <c r="B32" s="9" t="s">
        <v>398</v>
      </c>
      <c r="C32">
        <v>336</v>
      </c>
      <c r="D32">
        <v>5</v>
      </c>
      <c r="F32" s="19">
        <f t="shared" si="4"/>
        <v>2.9761904761904758</v>
      </c>
      <c r="G32" s="19">
        <f t="shared" si="0"/>
        <v>4.7686740315591164E-6</v>
      </c>
      <c r="H32" s="19">
        <f t="shared" si="1"/>
        <v>1.3624782947311759E-6</v>
      </c>
      <c r="N32" s="5">
        <v>8.9787406592133467E-2</v>
      </c>
      <c r="T32" s="19">
        <f t="shared" si="2"/>
        <v>9.947053753723128E-14</v>
      </c>
      <c r="U32" s="81">
        <f t="shared" si="3"/>
        <v>1.0002282714258108</v>
      </c>
      <c r="V32" s="30"/>
      <c r="W32" s="23"/>
      <c r="Z32" s="23"/>
      <c r="AA32" s="23"/>
    </row>
    <row r="33" spans="1:27">
      <c r="A33" s="9" t="s">
        <v>399</v>
      </c>
      <c r="B33" t="s">
        <v>362</v>
      </c>
      <c r="C33">
        <v>685</v>
      </c>
      <c r="D33">
        <v>5</v>
      </c>
      <c r="F33" s="19">
        <f t="shared" si="4"/>
        <v>1.4598540145985401</v>
      </c>
      <c r="G33" s="19">
        <f t="shared" si="0"/>
        <v>2.3390868242392163E-6</v>
      </c>
      <c r="H33" s="19">
        <f t="shared" si="1"/>
        <v>6.6831052121120445E-7</v>
      </c>
      <c r="T33" s="19">
        <f t="shared" si="2"/>
        <v>4.8791387755488633E-14</v>
      </c>
      <c r="U33" s="81">
        <f t="shared" si="3"/>
        <v>0.22796961458342291</v>
      </c>
      <c r="V33" s="30"/>
      <c r="W33" s="23"/>
      <c r="Z33" s="23"/>
      <c r="AA33" s="23"/>
    </row>
    <row r="34" spans="1:27">
      <c r="A34" s="9" t="s">
        <v>400</v>
      </c>
      <c r="B34" t="s">
        <v>401</v>
      </c>
      <c r="C34">
        <v>56.8</v>
      </c>
      <c r="D34">
        <v>5</v>
      </c>
      <c r="F34" s="19">
        <f t="shared" si="4"/>
        <v>17.605633802816904</v>
      </c>
      <c r="G34" s="19">
        <f t="shared" si="0"/>
        <v>2.8209057651476468E-5</v>
      </c>
      <c r="H34" s="19">
        <f t="shared" si="1"/>
        <v>8.0597307575647048E-6</v>
      </c>
      <c r="T34" s="19">
        <f t="shared" si="2"/>
        <v>5.8841726430474862E-13</v>
      </c>
      <c r="U34" s="81">
        <f t="shared" si="3"/>
        <v>2.74928144347966</v>
      </c>
      <c r="V34" s="30"/>
      <c r="W34" s="23"/>
      <c r="Z34" s="23"/>
      <c r="AA34" s="23"/>
    </row>
    <row r="35" spans="1:27">
      <c r="A35" s="9" t="s">
        <v>402</v>
      </c>
      <c r="B35" t="s">
        <v>403</v>
      </c>
      <c r="C35">
        <v>0.52</v>
      </c>
      <c r="D35">
        <v>5</v>
      </c>
      <c r="F35" s="19">
        <f t="shared" si="4"/>
        <v>1923.0769230769229</v>
      </c>
      <c r="G35" s="19">
        <f t="shared" si="0"/>
        <v>3.0812970665458901E-3</v>
      </c>
      <c r="H35" s="19">
        <f t="shared" si="1"/>
        <v>8.8037059044168285E-4</v>
      </c>
      <c r="T35" s="19">
        <f t="shared" si="2"/>
        <v>6.4273270408672526E-11</v>
      </c>
      <c r="U35" s="81">
        <f t="shared" si="3"/>
        <v>300.30612690316281</v>
      </c>
      <c r="V35" s="30"/>
      <c r="W35" s="23"/>
      <c r="Z35" s="23"/>
      <c r="AA35" s="23"/>
    </row>
    <row r="36" spans="1:27">
      <c r="A36" s="9" t="s">
        <v>404</v>
      </c>
      <c r="B36" t="s">
        <v>405</v>
      </c>
      <c r="C36">
        <v>1.1200000000000001</v>
      </c>
      <c r="D36">
        <v>5</v>
      </c>
      <c r="F36" s="19">
        <f t="shared" si="4"/>
        <v>892.85714285714278</v>
      </c>
      <c r="G36" s="19">
        <f t="shared" si="0"/>
        <v>1.4306022094677348E-3</v>
      </c>
      <c r="H36" s="19">
        <f t="shared" si="1"/>
        <v>4.0874348841935275E-4</v>
      </c>
      <c r="T36" s="19">
        <f t="shared" si="2"/>
        <v>2.9841161261169388E-11</v>
      </c>
      <c r="U36" s="81">
        <f t="shared" si="3"/>
        <v>139.42784463361133</v>
      </c>
      <c r="V36" s="30"/>
      <c r="W36" s="23"/>
      <c r="Z36" s="23"/>
      <c r="AA36" s="23"/>
    </row>
    <row r="37" spans="1:27">
      <c r="A37" s="9" t="s">
        <v>406</v>
      </c>
      <c r="B37" t="s">
        <v>407</v>
      </c>
      <c r="C37">
        <v>2.57</v>
      </c>
      <c r="D37">
        <v>5</v>
      </c>
      <c r="F37" s="19">
        <f t="shared" si="4"/>
        <v>389.10505836575874</v>
      </c>
      <c r="G37" s="19">
        <f t="shared" si="0"/>
        <v>6.2345310295870162E-4</v>
      </c>
      <c r="H37" s="19">
        <f t="shared" si="1"/>
        <v>1.7812945798820044E-4</v>
      </c>
      <c r="K37" s="5">
        <v>9.86278615057187E-2</v>
      </c>
      <c r="T37" s="19">
        <f t="shared" si="2"/>
        <v>1.3004708409536854E-11</v>
      </c>
      <c r="U37" s="81">
        <f t="shared" si="3"/>
        <v>61.454007965217606</v>
      </c>
      <c r="V37" s="30"/>
      <c r="W37" s="23"/>
      <c r="Z37" s="23"/>
      <c r="AA37" s="23"/>
    </row>
    <row r="38" spans="1:27" s="9" customFormat="1">
      <c r="A38" s="9" t="s">
        <v>408</v>
      </c>
      <c r="B38" s="9" t="s">
        <v>409</v>
      </c>
      <c r="C38" s="9">
        <v>238</v>
      </c>
      <c r="D38">
        <v>5</v>
      </c>
      <c r="F38" s="53">
        <f t="shared" si="4"/>
        <v>4.2016806722689077</v>
      </c>
      <c r="G38" s="19">
        <f t="shared" si="0"/>
        <v>6.7322456916128702E-6</v>
      </c>
      <c r="H38" s="19">
        <f t="shared" si="1"/>
        <v>1.9234987690322486E-6</v>
      </c>
      <c r="I38" s="5"/>
      <c r="J38" s="5"/>
      <c r="K38" s="5"/>
      <c r="L38" s="5"/>
      <c r="M38" s="5"/>
      <c r="N38" s="5"/>
      <c r="O38" s="5"/>
      <c r="P38" s="5"/>
      <c r="Q38" s="5"/>
      <c r="R38" s="5"/>
      <c r="S38" s="5"/>
      <c r="T38" s="53">
        <f t="shared" si="2"/>
        <v>1.404289941702089E-13</v>
      </c>
      <c r="U38" s="81">
        <f t="shared" si="3"/>
        <v>0.65613103356993563</v>
      </c>
      <c r="V38" s="29"/>
      <c r="W38" s="32"/>
      <c r="Z38" s="32"/>
      <c r="AA38" s="32"/>
    </row>
    <row r="39" spans="1:27">
      <c r="A39" s="9" t="s">
        <v>410</v>
      </c>
      <c r="B39" t="s">
        <v>411</v>
      </c>
      <c r="C39">
        <v>365</v>
      </c>
      <c r="D39">
        <v>5</v>
      </c>
      <c r="F39" s="19">
        <f t="shared" si="4"/>
        <v>2.7397260273972601</v>
      </c>
      <c r="G39" s="19">
        <f t="shared" si="0"/>
        <v>4.3897930811064734E-6</v>
      </c>
      <c r="H39" s="19">
        <f t="shared" si="1"/>
        <v>1.2542265946018496E-6</v>
      </c>
      <c r="T39" s="19">
        <f t="shared" si="2"/>
        <v>9.1567398938382784E-14</v>
      </c>
      <c r="U39" s="81">
        <f t="shared" si="3"/>
        <v>0.42783338627299905</v>
      </c>
      <c r="V39" s="30"/>
      <c r="W39" s="23"/>
      <c r="Z39" s="23"/>
      <c r="AA39" s="23"/>
    </row>
    <row r="40" spans="1:27">
      <c r="A40" s="9" t="s">
        <v>412</v>
      </c>
      <c r="B40" t="s">
        <v>413</v>
      </c>
      <c r="C40">
        <v>315</v>
      </c>
      <c r="D40">
        <v>5</v>
      </c>
      <c r="F40" s="19">
        <f t="shared" si="4"/>
        <v>3.1746031746031744</v>
      </c>
      <c r="G40" s="19">
        <f t="shared" si="0"/>
        <v>5.086585633663057E-6</v>
      </c>
      <c r="H40" s="19">
        <f t="shared" si="1"/>
        <v>1.4533101810465876E-6</v>
      </c>
      <c r="T40" s="19">
        <f t="shared" si="2"/>
        <v>1.0610190670638004E-13</v>
      </c>
      <c r="U40" s="81">
        <f t="shared" si="3"/>
        <v>0.49574344758617356</v>
      </c>
      <c r="V40" s="30"/>
      <c r="W40" s="23"/>
      <c r="Z40" s="23"/>
      <c r="AA40" s="23"/>
    </row>
    <row r="41" spans="1:27">
      <c r="A41" s="9" t="s">
        <v>414</v>
      </c>
      <c r="B41" t="s">
        <v>415</v>
      </c>
      <c r="C41">
        <v>630</v>
      </c>
      <c r="D41">
        <v>5</v>
      </c>
      <c r="F41" s="19">
        <f t="shared" si="4"/>
        <v>1.5873015873015872</v>
      </c>
      <c r="G41" s="19">
        <f t="shared" si="0"/>
        <v>2.5432928168315285E-6</v>
      </c>
      <c r="H41" s="19">
        <f t="shared" si="1"/>
        <v>7.2665509052329378E-7</v>
      </c>
      <c r="N41" s="5">
        <f>31/332</f>
        <v>9.337349397590361E-2</v>
      </c>
      <c r="T41" s="19">
        <f t="shared" si="2"/>
        <v>5.305095335319002E-14</v>
      </c>
      <c r="U41" s="81">
        <f t="shared" si="3"/>
        <v>0.80472700752342796</v>
      </c>
      <c r="V41" s="30"/>
      <c r="W41" s="23"/>
      <c r="Z41" s="23"/>
      <c r="AA41" s="23"/>
    </row>
    <row r="42" spans="1:27">
      <c r="A42" s="9" t="s">
        <v>416</v>
      </c>
      <c r="B42" t="s">
        <v>417</v>
      </c>
      <c r="C42">
        <v>153</v>
      </c>
      <c r="D42">
        <v>5</v>
      </c>
      <c r="F42" s="19">
        <f t="shared" si="4"/>
        <v>6.5359477124183005</v>
      </c>
      <c r="G42" s="19">
        <f t="shared" si="0"/>
        <v>1.0472382186953354E-5</v>
      </c>
      <c r="H42" s="19">
        <f t="shared" si="1"/>
        <v>2.9921091962723863E-6</v>
      </c>
      <c r="P42" s="5">
        <v>0.16800000000000001</v>
      </c>
      <c r="T42" s="19">
        <f t="shared" si="2"/>
        <v>2.1844510204254715E-13</v>
      </c>
      <c r="U42" s="81">
        <f t="shared" si="3"/>
        <v>1.0542482744421222</v>
      </c>
      <c r="V42" s="30"/>
      <c r="W42" s="23"/>
      <c r="Z42" s="23"/>
      <c r="AA42" s="23"/>
    </row>
    <row r="43" spans="1:27">
      <c r="A43" s="9" t="s">
        <v>418</v>
      </c>
      <c r="B43" t="s">
        <v>419</v>
      </c>
      <c r="C43">
        <v>458</v>
      </c>
      <c r="D43">
        <v>5</v>
      </c>
      <c r="F43" s="19">
        <f t="shared" si="4"/>
        <v>2.1834061135371177</v>
      </c>
      <c r="G43" s="19">
        <f t="shared" si="0"/>
        <v>3.4984158834145476E-6</v>
      </c>
      <c r="H43" s="19">
        <f t="shared" si="1"/>
        <v>9.9954739526129929E-7</v>
      </c>
      <c r="P43" s="5">
        <v>0.14399999999999999</v>
      </c>
      <c r="T43" s="19">
        <f t="shared" si="2"/>
        <v>7.2974018804606354E-14</v>
      </c>
      <c r="U43" s="81">
        <f t="shared" si="3"/>
        <v>0.36975892137477001</v>
      </c>
      <c r="V43" s="30"/>
      <c r="W43" s="23"/>
      <c r="Z43" s="23"/>
      <c r="AA43" s="23"/>
    </row>
    <row r="44" spans="1:27">
      <c r="A44" s="9" t="s">
        <v>420</v>
      </c>
      <c r="B44" t="s">
        <v>421</v>
      </c>
      <c r="C44">
        <v>2500</v>
      </c>
      <c r="D44">
        <v>5</v>
      </c>
      <c r="F44" s="19">
        <f t="shared" si="4"/>
        <v>0.4</v>
      </c>
      <c r="G44" s="19">
        <f t="shared" si="0"/>
        <v>6.4090978984154525E-7</v>
      </c>
      <c r="H44" s="19">
        <f t="shared" si="1"/>
        <v>1.8311708281187006E-7</v>
      </c>
      <c r="T44" s="19">
        <f t="shared" si="2"/>
        <v>1.3368840245003886E-14</v>
      </c>
      <c r="U44" s="81">
        <f t="shared" si="3"/>
        <v>6.2463674395857878E-2</v>
      </c>
      <c r="V44" s="30"/>
      <c r="W44" s="23"/>
      <c r="Z44" s="23"/>
      <c r="AA44" s="23"/>
    </row>
    <row r="45" spans="1:27">
      <c r="A45" s="9" t="s">
        <v>422</v>
      </c>
      <c r="B45" t="s">
        <v>423</v>
      </c>
      <c r="C45">
        <v>1635</v>
      </c>
      <c r="D45">
        <v>5</v>
      </c>
      <c r="F45" s="19">
        <f t="shared" si="4"/>
        <v>0.6116207951070336</v>
      </c>
      <c r="G45" s="19">
        <f t="shared" si="0"/>
        <v>9.7998438813691933E-7</v>
      </c>
      <c r="H45" s="19">
        <f t="shared" si="1"/>
        <v>2.7999553946769118E-7</v>
      </c>
      <c r="T45" s="19">
        <f t="shared" si="2"/>
        <v>2.0441651750770468E-14</v>
      </c>
      <c r="U45" s="81">
        <f t="shared" si="3"/>
        <v>9.5510205498253634E-2</v>
      </c>
      <c r="V45" s="30"/>
      <c r="W45" s="23"/>
      <c r="Z45" s="23"/>
      <c r="AA45" s="23"/>
    </row>
    <row r="46" spans="1:27">
      <c r="A46" s="9" t="s">
        <v>424</v>
      </c>
      <c r="B46" t="s">
        <v>425</v>
      </c>
      <c r="C46">
        <v>372</v>
      </c>
      <c r="D46">
        <v>5</v>
      </c>
      <c r="F46" s="19">
        <f t="shared" si="4"/>
        <v>2.688172043010753</v>
      </c>
      <c r="G46" s="19">
        <f t="shared" si="0"/>
        <v>4.3071894478598473E-6</v>
      </c>
      <c r="H46" s="19">
        <f t="shared" si="1"/>
        <v>1.2306255565313849E-6</v>
      </c>
      <c r="T46" s="19">
        <f t="shared" si="2"/>
        <v>8.9844356485241189E-14</v>
      </c>
      <c r="U46" s="81">
        <f t="shared" si="3"/>
        <v>0.4197827580366793</v>
      </c>
      <c r="V46" s="30"/>
      <c r="W46" s="23"/>
      <c r="Z46" s="23"/>
      <c r="AA46" s="23"/>
    </row>
    <row r="47" spans="1:27">
      <c r="A47" s="9" t="s">
        <v>426</v>
      </c>
      <c r="B47" t="s">
        <v>427</v>
      </c>
      <c r="C47">
        <v>80</v>
      </c>
      <c r="D47">
        <v>5</v>
      </c>
      <c r="F47" s="19">
        <f t="shared" si="4"/>
        <v>12.5</v>
      </c>
      <c r="G47" s="19">
        <f t="shared" si="0"/>
        <v>2.0028430932548287E-5</v>
      </c>
      <c r="H47" s="19">
        <f t="shared" si="1"/>
        <v>5.722408837870939E-6</v>
      </c>
      <c r="N47" s="5">
        <f>31/270</f>
        <v>0.11481481481481481</v>
      </c>
      <c r="P47" s="5">
        <v>0.23699999999999999</v>
      </c>
      <c r="T47" s="19">
        <f t="shared" si="2"/>
        <v>4.1777625765637145E-13</v>
      </c>
      <c r="U47" s="81">
        <f t="shared" si="3"/>
        <v>2.6841155811612003</v>
      </c>
      <c r="V47" s="30"/>
      <c r="W47" s="23"/>
      <c r="Z47" s="23"/>
      <c r="AA47" s="23"/>
    </row>
    <row r="48" spans="1:27">
      <c r="A48" t="s">
        <v>428</v>
      </c>
      <c r="B48" t="s">
        <v>429</v>
      </c>
      <c r="C48">
        <v>20</v>
      </c>
      <c r="D48">
        <v>5</v>
      </c>
      <c r="E48" t="s">
        <v>430</v>
      </c>
      <c r="F48" s="19">
        <f t="shared" si="4"/>
        <v>50</v>
      </c>
      <c r="G48" s="19">
        <f t="shared" si="0"/>
        <v>8.0113723730193149E-5</v>
      </c>
      <c r="H48" s="19">
        <f t="shared" si="1"/>
        <v>2.2889635351483756E-5</v>
      </c>
      <c r="I48" s="5">
        <v>0.376</v>
      </c>
      <c r="T48" s="19">
        <f t="shared" si="2"/>
        <v>1.6711050306254858E-12</v>
      </c>
      <c r="U48" s="81">
        <f t="shared" si="3"/>
        <v>313.79754263281558</v>
      </c>
      <c r="V48" s="30"/>
      <c r="W48" s="23"/>
      <c r="Z48" s="23"/>
      <c r="AA48" s="23"/>
    </row>
    <row r="49" spans="1:27">
      <c r="A49" t="s">
        <v>431</v>
      </c>
      <c r="B49" t="s">
        <v>432</v>
      </c>
      <c r="C49">
        <v>39</v>
      </c>
      <c r="D49">
        <v>5</v>
      </c>
      <c r="F49" s="19">
        <f t="shared" si="4"/>
        <v>25.641025641025639</v>
      </c>
      <c r="G49" s="19">
        <f t="shared" si="0"/>
        <v>4.1083960887278538E-5</v>
      </c>
      <c r="H49" s="19">
        <f t="shared" si="1"/>
        <v>1.1738274539222438E-5</v>
      </c>
      <c r="T49" s="19">
        <f t="shared" si="2"/>
        <v>8.5697693878230029E-13</v>
      </c>
      <c r="U49" s="81">
        <f t="shared" si="3"/>
        <v>4.0040816920421713</v>
      </c>
      <c r="V49" s="30"/>
      <c r="W49" s="23"/>
      <c r="Z49" s="23"/>
      <c r="AA49" s="23"/>
    </row>
    <row r="50" spans="1:27">
      <c r="A50" s="9" t="s">
        <v>433</v>
      </c>
      <c r="B50" t="s">
        <v>434</v>
      </c>
      <c r="C50">
        <v>5600</v>
      </c>
      <c r="D50">
        <v>5</v>
      </c>
      <c r="E50" t="s">
        <v>360</v>
      </c>
      <c r="F50" s="19">
        <f t="shared" si="4"/>
        <v>0.17857142857142858</v>
      </c>
      <c r="G50" s="19">
        <f t="shared" si="0"/>
        <v>2.8612044189354695E-7</v>
      </c>
      <c r="H50" s="19">
        <f t="shared" si="1"/>
        <v>8.1748697683870551E-8</v>
      </c>
      <c r="P50" s="5">
        <v>9.1664279576052707E-2</v>
      </c>
      <c r="T50" s="19">
        <f t="shared" si="2"/>
        <v>5.9682322522338781E-15</v>
      </c>
      <c r="U50" s="81">
        <f t="shared" si="3"/>
        <v>4.6218424841932802E-2</v>
      </c>
      <c r="V50" s="30"/>
      <c r="W50" s="23"/>
      <c r="Z50" s="23"/>
      <c r="AA50" s="23"/>
    </row>
    <row r="51" spans="1:27">
      <c r="A51" s="9" t="s">
        <v>435</v>
      </c>
      <c r="B51" t="s">
        <v>436</v>
      </c>
      <c r="C51">
        <v>307</v>
      </c>
      <c r="D51">
        <v>5</v>
      </c>
      <c r="F51" s="19">
        <f t="shared" si="4"/>
        <v>3.2573289902280131</v>
      </c>
      <c r="G51" s="19">
        <f t="shared" si="0"/>
        <v>5.2191350964295219E-6</v>
      </c>
      <c r="H51" s="19">
        <f t="shared" si="1"/>
        <v>1.4911814561227201E-6</v>
      </c>
      <c r="T51" s="19">
        <f t="shared" si="2"/>
        <v>1.0886677723944534E-13</v>
      </c>
      <c r="U51" s="81">
        <f t="shared" si="3"/>
        <v>0.50866184361447786</v>
      </c>
      <c r="V51" s="30"/>
      <c r="W51" s="23"/>
      <c r="Z51" s="23"/>
      <c r="AA51" s="23"/>
    </row>
    <row r="52" spans="1:27">
      <c r="A52" s="9" t="s">
        <v>437</v>
      </c>
      <c r="B52" t="s">
        <v>438</v>
      </c>
      <c r="C52">
        <v>5</v>
      </c>
      <c r="D52">
        <v>5</v>
      </c>
      <c r="F52" s="19">
        <f t="shared" si="4"/>
        <v>200</v>
      </c>
      <c r="G52" s="19">
        <f t="shared" si="0"/>
        <v>3.204548949207726E-4</v>
      </c>
      <c r="H52" s="19">
        <f t="shared" si="1"/>
        <v>9.1558541405935024E-5</v>
      </c>
      <c r="T52" s="19">
        <f t="shared" si="2"/>
        <v>6.6844201225019432E-12</v>
      </c>
      <c r="U52" s="81">
        <f t="shared" si="3"/>
        <v>31.231837197928936</v>
      </c>
      <c r="V52" s="30"/>
      <c r="W52" s="23"/>
      <c r="Z52" s="23"/>
      <c r="AA52" s="23"/>
    </row>
    <row r="53" spans="1:27">
      <c r="A53" s="9" t="s">
        <v>439</v>
      </c>
      <c r="B53" t="s">
        <v>440</v>
      </c>
      <c r="C53">
        <v>170</v>
      </c>
      <c r="D53">
        <v>5</v>
      </c>
      <c r="F53" s="19">
        <f t="shared" si="4"/>
        <v>5.8823529411764701</v>
      </c>
      <c r="G53" s="19">
        <f t="shared" si="0"/>
        <v>9.4251439682580173E-6</v>
      </c>
      <c r="H53" s="19">
        <f t="shared" si="1"/>
        <v>2.6928982766451475E-6</v>
      </c>
      <c r="P53" s="5">
        <v>8.4099868593955324E-2</v>
      </c>
      <c r="T53" s="19">
        <f t="shared" si="2"/>
        <v>1.9660059183829241E-13</v>
      </c>
      <c r="U53" s="81">
        <f t="shared" si="3"/>
        <v>0.9354034207167008</v>
      </c>
      <c r="V53" s="30"/>
      <c r="W53" s="23"/>
      <c r="Z53" s="23"/>
      <c r="AA53" s="23"/>
    </row>
    <row r="54" spans="1:27">
      <c r="A54" s="9" t="s">
        <v>441</v>
      </c>
      <c r="B54" t="s">
        <v>442</v>
      </c>
      <c r="C54">
        <v>250</v>
      </c>
      <c r="D54">
        <v>5</v>
      </c>
      <c r="F54" s="19">
        <f t="shared" si="4"/>
        <v>4</v>
      </c>
      <c r="G54" s="19">
        <f t="shared" si="0"/>
        <v>6.4090978984154518E-6</v>
      </c>
      <c r="H54" s="19">
        <f t="shared" si="1"/>
        <v>1.8311708281187004E-6</v>
      </c>
      <c r="P54" s="5">
        <v>0.26970080067425201</v>
      </c>
      <c r="T54" s="19">
        <f t="shared" si="2"/>
        <v>1.3368840245003887E-13</v>
      </c>
      <c r="U54" s="81">
        <f t="shared" si="3"/>
        <v>0.67857690409342908</v>
      </c>
      <c r="V54" s="30"/>
      <c r="W54" s="23"/>
      <c r="Z54" s="23"/>
      <c r="AA54" s="23"/>
    </row>
    <row r="55" spans="1:27">
      <c r="A55" s="9" t="s">
        <v>443</v>
      </c>
      <c r="B55" t="s">
        <v>444</v>
      </c>
      <c r="C55">
        <v>212</v>
      </c>
      <c r="D55">
        <v>5</v>
      </c>
      <c r="F55" s="19">
        <f t="shared" si="4"/>
        <v>4.7169811320754711</v>
      </c>
      <c r="G55" s="19">
        <f t="shared" si="0"/>
        <v>7.5578984651125604E-6</v>
      </c>
      <c r="H55" s="19">
        <f t="shared" si="1"/>
        <v>2.1593995614607313E-6</v>
      </c>
      <c r="T55" s="19">
        <f t="shared" si="2"/>
        <v>1.5765141798353636E-13</v>
      </c>
      <c r="U55" s="81">
        <f t="shared" si="3"/>
        <v>0.73659993391341827</v>
      </c>
      <c r="V55" s="30"/>
      <c r="W55" s="23"/>
      <c r="Z55" s="23"/>
      <c r="AA55" s="23"/>
    </row>
    <row r="56" spans="1:27">
      <c r="A56" s="9" t="s">
        <v>445</v>
      </c>
      <c r="B56" t="s">
        <v>446</v>
      </c>
      <c r="C56">
        <v>200</v>
      </c>
      <c r="D56">
        <v>5</v>
      </c>
      <c r="F56" s="19">
        <f t="shared" si="4"/>
        <v>5</v>
      </c>
      <c r="G56" s="19">
        <f t="shared" si="0"/>
        <v>8.0113723730193146E-6</v>
      </c>
      <c r="H56" s="19">
        <f t="shared" si="1"/>
        <v>2.2889635351483756E-6</v>
      </c>
      <c r="T56" s="19">
        <f t="shared" si="2"/>
        <v>1.6711050306254856E-13</v>
      </c>
      <c r="U56" s="81">
        <f t="shared" si="3"/>
        <v>0.78079592994822333</v>
      </c>
      <c r="V56" s="30"/>
      <c r="W56" s="23"/>
      <c r="Z56" s="23"/>
      <c r="AA56" s="23"/>
    </row>
    <row r="57" spans="1:27">
      <c r="A57" s="9" t="s">
        <v>447</v>
      </c>
      <c r="B57" t="s">
        <v>448</v>
      </c>
      <c r="C57">
        <v>2</v>
      </c>
      <c r="D57">
        <v>5</v>
      </c>
      <c r="F57" s="19">
        <f t="shared" si="4"/>
        <v>500</v>
      </c>
      <c r="G57" s="19">
        <f t="shared" si="0"/>
        <v>8.0113723730193152E-4</v>
      </c>
      <c r="H57" s="19">
        <f t="shared" si="1"/>
        <v>2.2889635351483755E-4</v>
      </c>
      <c r="N57" s="5">
        <v>9.2259999999999995E-2</v>
      </c>
      <c r="P57" s="5">
        <v>9.5238095238095233E-2</v>
      </c>
      <c r="T57" s="19">
        <f t="shared" si="2"/>
        <v>1.6711050306254857E-11</v>
      </c>
      <c r="U57" s="81">
        <f t="shared" si="3"/>
        <v>78.648855308526464</v>
      </c>
      <c r="V57" s="30"/>
      <c r="W57" s="23"/>
      <c r="Z57" s="23"/>
      <c r="AA57" s="23"/>
    </row>
    <row r="58" spans="1:27">
      <c r="A58" s="9" t="s">
        <v>449</v>
      </c>
      <c r="B58" t="s">
        <v>450</v>
      </c>
      <c r="C58">
        <v>441</v>
      </c>
      <c r="D58">
        <v>5</v>
      </c>
      <c r="F58" s="19">
        <f t="shared" si="4"/>
        <v>2.2675736961451247</v>
      </c>
      <c r="G58" s="19">
        <f t="shared" si="0"/>
        <v>3.6332754526164696E-6</v>
      </c>
      <c r="H58" s="19">
        <f t="shared" si="1"/>
        <v>1.0380787007475626E-6</v>
      </c>
      <c r="K58" s="5">
        <v>0.13983955251343194</v>
      </c>
      <c r="T58" s="19">
        <f t="shared" si="2"/>
        <v>7.5787076218842884E-14</v>
      </c>
      <c r="U58" s="81">
        <f t="shared" si="3"/>
        <v>1.334799503864234</v>
      </c>
      <c r="V58" s="30"/>
      <c r="W58" s="23"/>
      <c r="Z58" s="23"/>
      <c r="AA58" s="23"/>
    </row>
    <row r="59" spans="1:27">
      <c r="A59" s="9" t="s">
        <v>451</v>
      </c>
      <c r="B59" t="s">
        <v>452</v>
      </c>
      <c r="C59">
        <v>9.6999999999999993</v>
      </c>
      <c r="D59">
        <v>5</v>
      </c>
      <c r="F59" s="19">
        <f t="shared" si="4"/>
        <v>103.09278350515464</v>
      </c>
      <c r="G59" s="19">
        <f t="shared" si="0"/>
        <v>1.6518293552617144E-4</v>
      </c>
      <c r="H59" s="19">
        <f t="shared" si="1"/>
        <v>4.719512443604898E-5</v>
      </c>
      <c r="N59" s="5">
        <v>8.6129999999999998E-2</v>
      </c>
      <c r="T59" s="19">
        <f t="shared" si="2"/>
        <v>3.4455773827329606E-12</v>
      </c>
      <c r="U59" s="81">
        <f t="shared" si="3"/>
        <v>16.612542119220471</v>
      </c>
      <c r="V59" s="30"/>
      <c r="W59" s="23"/>
      <c r="Z59" s="23"/>
      <c r="AA59" s="23"/>
    </row>
    <row r="60" spans="1:27">
      <c r="A60" s="9" t="s">
        <v>453</v>
      </c>
      <c r="B60" t="s">
        <v>454</v>
      </c>
      <c r="C60">
        <v>7</v>
      </c>
      <c r="D60">
        <v>5</v>
      </c>
      <c r="F60" s="19">
        <f t="shared" si="4"/>
        <v>142.85714285714286</v>
      </c>
      <c r="G60" s="19">
        <f t="shared" si="0"/>
        <v>2.2889635351483757E-4</v>
      </c>
      <c r="H60" s="19">
        <f t="shared" si="1"/>
        <v>6.539895814709644E-5</v>
      </c>
      <c r="N60" s="5">
        <v>0.13197</v>
      </c>
      <c r="T60" s="19">
        <f t="shared" si="2"/>
        <v>4.7745858017871029E-12</v>
      </c>
      <c r="U60" s="81">
        <f t="shared" si="3"/>
        <v>23.095489969622083</v>
      </c>
      <c r="V60" s="30"/>
      <c r="W60" s="23"/>
      <c r="Z60" s="23"/>
      <c r="AA60" s="23"/>
    </row>
    <row r="61" spans="1:27">
      <c r="A61" s="9" t="s">
        <v>455</v>
      </c>
      <c r="B61" t="s">
        <v>456</v>
      </c>
      <c r="C61">
        <v>900</v>
      </c>
      <c r="D61">
        <v>5</v>
      </c>
      <c r="F61" s="19">
        <f t="shared" si="4"/>
        <v>1.1111111111111112</v>
      </c>
      <c r="G61" s="19">
        <f t="shared" si="0"/>
        <v>1.7803049717820702E-6</v>
      </c>
      <c r="H61" s="19">
        <f t="shared" si="1"/>
        <v>5.0865856336630568E-7</v>
      </c>
      <c r="T61" s="19">
        <f t="shared" si="2"/>
        <v>3.7135667347233016E-14</v>
      </c>
      <c r="U61" s="81">
        <f t="shared" si="3"/>
        <v>0.17351020665516079</v>
      </c>
      <c r="V61" s="30"/>
      <c r="W61" s="23"/>
      <c r="Z61" s="23"/>
      <c r="AA61" s="23"/>
    </row>
    <row r="62" spans="1:27">
      <c r="A62" s="9" t="s">
        <v>457</v>
      </c>
      <c r="B62" t="s">
        <v>458</v>
      </c>
      <c r="C62">
        <v>90.4</v>
      </c>
      <c r="D62">
        <v>5</v>
      </c>
      <c r="F62" s="19">
        <f t="shared" si="4"/>
        <v>11.061946902654867</v>
      </c>
      <c r="G62" s="19">
        <f t="shared" si="0"/>
        <v>1.7724275161547158E-5</v>
      </c>
      <c r="H62" s="19">
        <f t="shared" si="1"/>
        <v>5.064078617584901E-6</v>
      </c>
      <c r="T62" s="19">
        <f t="shared" si="2"/>
        <v>3.6971350235077116E-13</v>
      </c>
      <c r="U62" s="81">
        <f t="shared" si="3"/>
        <v>1.7274246237792554</v>
      </c>
      <c r="V62" s="30"/>
      <c r="W62" s="23"/>
      <c r="Z62" s="23"/>
      <c r="AA62" s="23"/>
    </row>
    <row r="63" spans="1:27">
      <c r="A63" s="9" t="s">
        <v>459</v>
      </c>
      <c r="B63" t="s">
        <v>460</v>
      </c>
      <c r="C63">
        <v>2.1</v>
      </c>
      <c r="D63">
        <v>5</v>
      </c>
      <c r="F63" s="19">
        <f t="shared" si="4"/>
        <v>476.19047619047615</v>
      </c>
      <c r="G63" s="19">
        <f t="shared" si="0"/>
        <v>7.629878450494586E-4</v>
      </c>
      <c r="H63" s="19">
        <f t="shared" si="1"/>
        <v>2.1799652715698815E-4</v>
      </c>
      <c r="T63" s="19">
        <f t="shared" si="2"/>
        <v>1.5915286005957007E-11</v>
      </c>
      <c r="U63" s="81">
        <f t="shared" si="3"/>
        <v>74.361517137926043</v>
      </c>
      <c r="V63" s="30"/>
      <c r="W63" s="23"/>
      <c r="Z63" s="23"/>
      <c r="AA63" s="23"/>
    </row>
    <row r="64" spans="1:27">
      <c r="A64" s="9" t="s">
        <v>461</v>
      </c>
      <c r="B64" t="s">
        <v>462</v>
      </c>
      <c r="C64">
        <v>178</v>
      </c>
      <c r="D64">
        <v>5</v>
      </c>
      <c r="F64" s="19">
        <f t="shared" si="4"/>
        <v>5.6179775280898872</v>
      </c>
      <c r="G64" s="19">
        <f t="shared" si="0"/>
        <v>9.0015419921565342E-6</v>
      </c>
      <c r="H64" s="19">
        <f t="shared" si="1"/>
        <v>2.5718691406161523E-6</v>
      </c>
      <c r="N64" s="5">
        <v>7.7799999999999994E-2</v>
      </c>
      <c r="T64" s="19">
        <f t="shared" si="2"/>
        <v>1.8776461018263883E-13</v>
      </c>
      <c r="U64" s="81">
        <f t="shared" si="3"/>
        <v>1.3412778053282208</v>
      </c>
      <c r="V64" s="30"/>
      <c r="W64" s="23"/>
      <c r="Z64" s="23"/>
      <c r="AA64" s="23"/>
    </row>
    <row r="65" spans="1:27">
      <c r="A65" s="9" t="s">
        <v>463</v>
      </c>
      <c r="B65" t="s">
        <v>464</v>
      </c>
      <c r="C65">
        <v>229</v>
      </c>
      <c r="D65">
        <v>5</v>
      </c>
      <c r="F65" s="19">
        <f t="shared" si="4"/>
        <v>4.3668122270742353</v>
      </c>
      <c r="G65" s="19">
        <f t="shared" si="0"/>
        <v>6.9968317668290952E-6</v>
      </c>
      <c r="H65" s="19">
        <f t="shared" si="1"/>
        <v>1.9990947905225986E-6</v>
      </c>
      <c r="N65" s="5">
        <f>31/350</f>
        <v>8.8571428571428565E-2</v>
      </c>
      <c r="P65" s="5">
        <v>9.1270000000000004E-2</v>
      </c>
      <c r="T65" s="19">
        <f t="shared" si="2"/>
        <v>1.4594803760921271E-13</v>
      </c>
      <c r="U65" s="81">
        <f t="shared" si="3"/>
        <v>1.2283888547451778</v>
      </c>
      <c r="V65" s="30"/>
      <c r="W65" s="23"/>
      <c r="Z65" s="23"/>
      <c r="AA65" s="23"/>
    </row>
    <row r="66" spans="1:27">
      <c r="A66" s="9" t="s">
        <v>465</v>
      </c>
      <c r="B66" t="s">
        <v>466</v>
      </c>
      <c r="C66">
        <v>1369</v>
      </c>
      <c r="D66">
        <v>5</v>
      </c>
      <c r="F66" s="19">
        <f t="shared" si="4"/>
        <v>0.73046018991964934</v>
      </c>
      <c r="G66" s="19">
        <f t="shared" ref="G66:G129" si="5">18000/3700000000*35*F66/averagepesticidepotency</f>
        <v>1.1703977170225441E-6</v>
      </c>
      <c r="H66" s="19">
        <f t="shared" ref="H66:H129" si="6">9000000*0.02/3700000000*F66/averagepesticidepotency</f>
        <v>3.3439934772072688E-7</v>
      </c>
      <c r="T66" s="19">
        <f t="shared" ref="T66:T129" si="7">0.008382/2360000000*F66/averagepesticidepotency</f>
        <v>2.4413513960927472E-14</v>
      </c>
      <c r="U66" s="81">
        <f t="shared" ref="U66:U129" si="8">G66*YLLvalue+H66*poisoningvalue+I66*As_orevalue+J66*Cu_orevalue+K66*F_orevalue+L66*Hg_orevalue+M66*I_orevalue+N66*P_orevalue+O66*Pb_orevalue+P66*S_orevalue+Q66*Sn_orevalue+R66*Tl_orevalue+S66*Zn_orevalue+T66*speciesvalue</f>
        <v>0.11406806865569369</v>
      </c>
      <c r="V66" s="30"/>
      <c r="W66" s="23"/>
      <c r="Z66" s="23"/>
      <c r="AA66" s="23"/>
    </row>
    <row r="67" spans="1:27">
      <c r="A67" t="s">
        <v>467</v>
      </c>
      <c r="B67" t="s">
        <v>468</v>
      </c>
      <c r="C67">
        <v>489</v>
      </c>
      <c r="D67">
        <v>5</v>
      </c>
      <c r="F67" s="19">
        <f t="shared" ref="F67:F130" si="9">1/C67*1000</f>
        <v>2.0449897750511248</v>
      </c>
      <c r="G67" s="19">
        <f t="shared" si="5"/>
        <v>3.2766349173903128E-6</v>
      </c>
      <c r="H67" s="19">
        <f t="shared" si="6"/>
        <v>9.3618140496866076E-7</v>
      </c>
      <c r="J67" s="5">
        <f>63.546/(63.546+2*16+2)</f>
        <v>0.65144649703729529</v>
      </c>
      <c r="T67" s="19">
        <f t="shared" si="7"/>
        <v>6.8347854013312301E-14</v>
      </c>
      <c r="U67" s="81">
        <f t="shared" si="8"/>
        <v>91.201946761912495</v>
      </c>
      <c r="V67" s="30"/>
      <c r="W67" s="23"/>
      <c r="Z67" s="23"/>
      <c r="AA67" s="23"/>
    </row>
    <row r="68" spans="1:27">
      <c r="A68" t="s">
        <v>469</v>
      </c>
      <c r="B68" t="s">
        <v>470</v>
      </c>
      <c r="C68">
        <v>833</v>
      </c>
      <c r="D68">
        <v>5</v>
      </c>
      <c r="F68" s="19">
        <f t="shared" si="9"/>
        <v>1.2004801920768307</v>
      </c>
      <c r="G68" s="19">
        <f t="shared" si="5"/>
        <v>1.9234987690322486E-6</v>
      </c>
      <c r="H68" s="19">
        <f t="shared" si="6"/>
        <v>5.4957107686635663E-7</v>
      </c>
      <c r="J68" s="5">
        <f>4*63.546/(4*63.546+6*17+35*2)</f>
        <v>0.59641844836971825</v>
      </c>
      <c r="T68" s="19">
        <f t="shared" si="7"/>
        <v>4.0122569762916818E-14</v>
      </c>
      <c r="U68" s="81">
        <f t="shared" si="8"/>
        <v>83.393164721884688</v>
      </c>
      <c r="V68" s="30"/>
      <c r="W68" s="23"/>
      <c r="Z68" s="23"/>
      <c r="AA68" s="23"/>
    </row>
    <row r="69" spans="1:27">
      <c r="A69" t="s">
        <v>471</v>
      </c>
      <c r="B69" t="s">
        <v>472</v>
      </c>
      <c r="C69">
        <v>481</v>
      </c>
      <c r="D69">
        <v>5</v>
      </c>
      <c r="F69" s="19">
        <f t="shared" si="9"/>
        <v>2.0790020790020791</v>
      </c>
      <c r="G69" s="19">
        <f t="shared" si="5"/>
        <v>3.3311319638333955E-6</v>
      </c>
      <c r="H69" s="19">
        <f t="shared" si="6"/>
        <v>9.5175198966668433E-7</v>
      </c>
      <c r="J69" s="5">
        <f>63.546/(63.546+32+4*16)</f>
        <v>0.39829265540972508</v>
      </c>
      <c r="P69" s="5">
        <v>0.20039999999999999</v>
      </c>
      <c r="T69" s="19">
        <f t="shared" si="7"/>
        <v>6.9484616658024361E-14</v>
      </c>
      <c r="U69" s="81">
        <f t="shared" si="8"/>
        <v>55.930116886407689</v>
      </c>
      <c r="V69" s="30"/>
      <c r="W69" s="23"/>
      <c r="Z69" s="23"/>
      <c r="AA69" s="23"/>
    </row>
    <row r="70" spans="1:27">
      <c r="A70" s="9" t="s">
        <v>473</v>
      </c>
      <c r="B70" t="s">
        <v>474</v>
      </c>
      <c r="C70">
        <v>13</v>
      </c>
      <c r="D70">
        <v>5</v>
      </c>
      <c r="F70" s="19">
        <f t="shared" si="9"/>
        <v>76.923076923076934</v>
      </c>
      <c r="G70" s="19">
        <f t="shared" si="5"/>
        <v>1.2325188266183563E-4</v>
      </c>
      <c r="H70" s="19">
        <f t="shared" si="6"/>
        <v>3.5214823617667325E-5</v>
      </c>
      <c r="N70" s="5">
        <v>8.5000000000000006E-2</v>
      </c>
      <c r="P70" s="5">
        <v>8.8200000000000001E-2</v>
      </c>
      <c r="T70" s="19">
        <f t="shared" si="7"/>
        <v>2.5709308163469015E-12</v>
      </c>
      <c r="U70" s="81">
        <f t="shared" si="8"/>
        <v>12.536803015057814</v>
      </c>
      <c r="V70" s="30"/>
      <c r="W70" s="23"/>
      <c r="Z70" s="23"/>
      <c r="AA70" s="23"/>
    </row>
    <row r="71" spans="1:27">
      <c r="A71" s="9" t="s">
        <v>475</v>
      </c>
      <c r="B71" t="s">
        <v>476</v>
      </c>
      <c r="C71">
        <v>30</v>
      </c>
      <c r="D71">
        <v>5</v>
      </c>
      <c r="F71" s="19">
        <f t="shared" si="9"/>
        <v>33.333333333333336</v>
      </c>
      <c r="G71" s="19">
        <f t="shared" si="5"/>
        <v>5.3409149153462106E-5</v>
      </c>
      <c r="H71" s="19">
        <f t="shared" si="6"/>
        <v>1.5259756900989172E-5</v>
      </c>
      <c r="T71" s="19">
        <f t="shared" si="7"/>
        <v>1.1140700204169904E-12</v>
      </c>
      <c r="U71" s="81">
        <f t="shared" si="8"/>
        <v>5.2053061996548236</v>
      </c>
      <c r="V71" s="30"/>
      <c r="W71" s="23"/>
      <c r="Z71" s="23"/>
      <c r="AA71" s="23"/>
    </row>
    <row r="72" spans="1:27">
      <c r="A72" s="9" t="s">
        <v>477</v>
      </c>
      <c r="B72" t="s">
        <v>478</v>
      </c>
      <c r="C72">
        <v>1340</v>
      </c>
      <c r="D72">
        <v>5</v>
      </c>
      <c r="F72" s="19">
        <f t="shared" si="9"/>
        <v>0.74626865671641796</v>
      </c>
      <c r="G72" s="19">
        <f t="shared" si="5"/>
        <v>1.1957272198536292E-6</v>
      </c>
      <c r="H72" s="19">
        <f t="shared" si="6"/>
        <v>3.4163634852960832E-7</v>
      </c>
      <c r="J72" s="5">
        <f>63.546*2/(63.546*2+16)</f>
        <v>0.88818382579040067</v>
      </c>
      <c r="T72" s="19">
        <f t="shared" si="7"/>
        <v>2.4941866128738598E-14</v>
      </c>
      <c r="U72" s="81">
        <f t="shared" si="8"/>
        <v>124.02611061645356</v>
      </c>
      <c r="V72" s="30"/>
      <c r="W72" s="23"/>
      <c r="Z72" s="23"/>
      <c r="AA72" s="23"/>
    </row>
    <row r="73" spans="1:27">
      <c r="A73" s="9" t="s">
        <v>479</v>
      </c>
      <c r="B73" t="s">
        <v>480</v>
      </c>
      <c r="C73">
        <v>149</v>
      </c>
      <c r="D73">
        <v>5</v>
      </c>
      <c r="F73" s="19">
        <f t="shared" si="9"/>
        <v>6.7114093959731544</v>
      </c>
      <c r="G73" s="19">
        <f t="shared" si="5"/>
        <v>1.0753519963784316E-5</v>
      </c>
      <c r="H73" s="19">
        <f t="shared" si="6"/>
        <v>3.0724342753669473E-6</v>
      </c>
      <c r="T73" s="19">
        <f t="shared" si="7"/>
        <v>2.2430940008395783E-13</v>
      </c>
      <c r="U73" s="81">
        <f t="shared" si="8"/>
        <v>1.0480482281184207</v>
      </c>
      <c r="V73" s="30"/>
      <c r="W73" s="23"/>
      <c r="Z73" s="23"/>
      <c r="AA73" s="23"/>
    </row>
    <row r="74" spans="1:27">
      <c r="A74" s="9" t="s">
        <v>481</v>
      </c>
      <c r="B74" t="s">
        <v>482</v>
      </c>
      <c r="C74">
        <v>215</v>
      </c>
      <c r="D74">
        <v>5</v>
      </c>
      <c r="F74" s="19">
        <f t="shared" si="9"/>
        <v>4.6511627906976747</v>
      </c>
      <c r="G74" s="19">
        <f t="shared" si="5"/>
        <v>7.4524394167621542E-6</v>
      </c>
      <c r="H74" s="19">
        <f t="shared" si="6"/>
        <v>2.1292684047891868E-6</v>
      </c>
      <c r="N74" s="5">
        <v>0.127</v>
      </c>
      <c r="P74" s="5">
        <v>0.13150000000000001</v>
      </c>
      <c r="T74" s="19">
        <f t="shared" si="7"/>
        <v>1.5545163075585914E-13</v>
      </c>
      <c r="U74" s="81">
        <f t="shared" si="8"/>
        <v>1.5100168334686119</v>
      </c>
      <c r="V74" s="30"/>
      <c r="W74" s="23"/>
      <c r="Z74" s="23"/>
      <c r="AA74" s="23"/>
    </row>
    <row r="75" spans="1:27">
      <c r="A75" s="9" t="s">
        <v>483</v>
      </c>
      <c r="B75" t="s">
        <v>394</v>
      </c>
      <c r="C75">
        <v>1070</v>
      </c>
      <c r="D75">
        <v>5</v>
      </c>
      <c r="F75" s="19">
        <f t="shared" si="9"/>
        <v>0.93457943925233644</v>
      </c>
      <c r="G75" s="19">
        <f t="shared" si="5"/>
        <v>1.4974527800036104E-6</v>
      </c>
      <c r="H75" s="19">
        <f t="shared" si="6"/>
        <v>4.2784365142960289E-7</v>
      </c>
      <c r="K75" s="5">
        <v>4.3740000000000001E-2</v>
      </c>
      <c r="T75" s="19">
        <f t="shared" si="7"/>
        <v>3.1235608049074497E-14</v>
      </c>
      <c r="U75" s="81">
        <f t="shared" si="8"/>
        <v>0.45269249122675226</v>
      </c>
      <c r="V75" s="30"/>
      <c r="W75" s="23"/>
      <c r="Z75" s="23"/>
      <c r="AA75" s="23"/>
    </row>
    <row r="76" spans="1:27">
      <c r="A76" s="9" t="s">
        <v>484</v>
      </c>
      <c r="B76" t="s">
        <v>485</v>
      </c>
      <c r="C76">
        <v>68</v>
      </c>
      <c r="D76">
        <v>5</v>
      </c>
      <c r="F76" s="19">
        <f t="shared" si="9"/>
        <v>14.705882352941176</v>
      </c>
      <c r="G76" s="19">
        <f t="shared" si="5"/>
        <v>2.3562859920645046E-5</v>
      </c>
      <c r="H76" s="19">
        <f t="shared" si="6"/>
        <v>6.7322456916128694E-6</v>
      </c>
      <c r="K76" s="5">
        <v>0.12670000000000001</v>
      </c>
      <c r="T76" s="19">
        <f t="shared" si="7"/>
        <v>4.9150147959573109E-13</v>
      </c>
      <c r="U76" s="81">
        <f t="shared" si="8"/>
        <v>3.1850077647120103</v>
      </c>
      <c r="V76" s="30"/>
      <c r="W76" s="23"/>
      <c r="Z76" s="23"/>
      <c r="AA76" s="23"/>
    </row>
    <row r="77" spans="1:27">
      <c r="A77" s="9" t="s">
        <v>486</v>
      </c>
      <c r="B77" t="s">
        <v>487</v>
      </c>
      <c r="C77">
        <v>458</v>
      </c>
      <c r="D77">
        <v>5</v>
      </c>
      <c r="F77" s="19">
        <f t="shared" si="9"/>
        <v>2.1834061135371177</v>
      </c>
      <c r="G77" s="19">
        <f t="shared" si="5"/>
        <v>3.4984158834145476E-6</v>
      </c>
      <c r="H77" s="19">
        <f t="shared" si="6"/>
        <v>9.9954739526129929E-7</v>
      </c>
      <c r="Q77" s="5">
        <v>0.308</v>
      </c>
      <c r="T77" s="19">
        <f t="shared" si="7"/>
        <v>7.2974018804606354E-14</v>
      </c>
      <c r="U77" s="81">
        <f t="shared" si="8"/>
        <v>611.45207003248572</v>
      </c>
      <c r="V77" s="30"/>
      <c r="W77" s="23"/>
      <c r="Z77" s="23"/>
      <c r="AA77" s="23"/>
    </row>
    <row r="78" spans="1:27">
      <c r="A78" s="9" t="s">
        <v>488</v>
      </c>
      <c r="B78" t="s">
        <v>489</v>
      </c>
      <c r="C78">
        <v>1100</v>
      </c>
      <c r="D78">
        <v>5</v>
      </c>
      <c r="F78" s="19">
        <f t="shared" si="9"/>
        <v>0.90909090909090906</v>
      </c>
      <c r="G78" s="19">
        <f t="shared" si="5"/>
        <v>1.4566131587307845E-6</v>
      </c>
      <c r="H78" s="19">
        <f t="shared" si="6"/>
        <v>4.1617518820879555E-7</v>
      </c>
      <c r="T78" s="19">
        <f t="shared" si="7"/>
        <v>3.0383727829554286E-14</v>
      </c>
      <c r="U78" s="81">
        <f t="shared" si="8"/>
        <v>0.14196289635422243</v>
      </c>
      <c r="V78" s="30"/>
      <c r="W78" s="23"/>
      <c r="Z78" s="23"/>
      <c r="AA78" s="23"/>
    </row>
    <row r="79" spans="1:27">
      <c r="A79" s="9" t="s">
        <v>490</v>
      </c>
      <c r="B79" t="s">
        <v>491</v>
      </c>
      <c r="C79">
        <v>57.5</v>
      </c>
      <c r="D79">
        <v>5</v>
      </c>
      <c r="F79" s="19">
        <f t="shared" si="9"/>
        <v>17.391304347826086</v>
      </c>
      <c r="G79" s="19">
        <f t="shared" si="5"/>
        <v>2.786564303658892E-5</v>
      </c>
      <c r="H79" s="19">
        <f t="shared" si="6"/>
        <v>7.9616122961682629E-6</v>
      </c>
      <c r="T79" s="19">
        <f t="shared" si="7"/>
        <v>5.8125392369582114E-13</v>
      </c>
      <c r="U79" s="81">
        <f t="shared" si="8"/>
        <v>2.7158119302546897</v>
      </c>
      <c r="V79" s="30"/>
      <c r="W79" s="23"/>
      <c r="Z79" s="23"/>
      <c r="AA79" s="23"/>
    </row>
    <row r="80" spans="1:27">
      <c r="A80" s="9" t="s">
        <v>492</v>
      </c>
      <c r="B80" t="s">
        <v>493</v>
      </c>
      <c r="C80">
        <v>318</v>
      </c>
      <c r="D80">
        <v>5</v>
      </c>
      <c r="F80" s="19">
        <f t="shared" si="9"/>
        <v>3.1446540880503147</v>
      </c>
      <c r="G80" s="19">
        <f t="shared" si="5"/>
        <v>5.0385989767417078E-6</v>
      </c>
      <c r="H80" s="19">
        <f t="shared" si="6"/>
        <v>1.4395997076404878E-6</v>
      </c>
      <c r="T80" s="19">
        <f t="shared" si="7"/>
        <v>1.051009453223576E-13</v>
      </c>
      <c r="U80" s="81">
        <f t="shared" si="8"/>
        <v>0.49106662260894557</v>
      </c>
      <c r="V80" s="30"/>
      <c r="W80" s="23"/>
      <c r="Z80" s="23"/>
      <c r="AA80" s="23"/>
    </row>
    <row r="81" spans="1:27">
      <c r="A81" s="9" t="s">
        <v>494</v>
      </c>
      <c r="B81" t="s">
        <v>495</v>
      </c>
      <c r="C81">
        <v>350</v>
      </c>
      <c r="D81">
        <v>5</v>
      </c>
      <c r="F81" s="19">
        <f t="shared" si="9"/>
        <v>2.8571428571428572</v>
      </c>
      <c r="G81" s="19">
        <f t="shared" si="5"/>
        <v>4.5779270702967512E-6</v>
      </c>
      <c r="H81" s="19">
        <f t="shared" si="6"/>
        <v>1.3079791629419288E-6</v>
      </c>
      <c r="T81" s="19">
        <f t="shared" si="7"/>
        <v>9.549171603574205E-14</v>
      </c>
      <c r="U81" s="81">
        <f t="shared" si="8"/>
        <v>0.44616910282755617</v>
      </c>
      <c r="V81" s="30"/>
      <c r="W81" s="23"/>
      <c r="Z81" s="23"/>
      <c r="AA81" s="23"/>
    </row>
    <row r="82" spans="1:27">
      <c r="A82" s="9" t="s">
        <v>496</v>
      </c>
      <c r="B82" t="s">
        <v>497</v>
      </c>
      <c r="C82">
        <v>320</v>
      </c>
      <c r="D82">
        <v>5</v>
      </c>
      <c r="F82" s="19">
        <f t="shared" si="9"/>
        <v>3.125</v>
      </c>
      <c r="G82" s="19">
        <f t="shared" si="5"/>
        <v>5.0071077331370718E-6</v>
      </c>
      <c r="H82" s="19">
        <f t="shared" si="6"/>
        <v>1.4306022094677347E-6</v>
      </c>
      <c r="P82" s="5">
        <v>0.1971</v>
      </c>
      <c r="T82" s="19">
        <f t="shared" si="7"/>
        <v>1.0444406441409286E-13</v>
      </c>
      <c r="U82" s="81">
        <f t="shared" si="8"/>
        <v>0.52741745621763958</v>
      </c>
      <c r="V82" s="30"/>
      <c r="W82" s="23"/>
      <c r="Z82" s="23"/>
      <c r="AA82" s="23"/>
    </row>
    <row r="83" spans="1:27">
      <c r="A83" t="s">
        <v>498</v>
      </c>
      <c r="B83" t="s">
        <v>499</v>
      </c>
      <c r="C83">
        <v>195</v>
      </c>
      <c r="D83">
        <v>5</v>
      </c>
      <c r="E83" t="s">
        <v>360</v>
      </c>
      <c r="F83" s="19">
        <f t="shared" si="9"/>
        <v>5.1282051282051286</v>
      </c>
      <c r="G83" s="19">
        <f t="shared" si="5"/>
        <v>8.2167921774557085E-6</v>
      </c>
      <c r="H83" s="19">
        <f t="shared" si="6"/>
        <v>2.347654907844488E-6</v>
      </c>
      <c r="T83" s="19">
        <f t="shared" si="7"/>
        <v>1.7139538775646009E-13</v>
      </c>
      <c r="U83" s="81">
        <f t="shared" si="8"/>
        <v>0.80081633840843436</v>
      </c>
      <c r="V83" s="30"/>
      <c r="W83" s="23"/>
      <c r="Z83" s="23"/>
      <c r="AA83" s="23"/>
    </row>
    <row r="84" spans="1:27">
      <c r="A84" s="9" t="s">
        <v>500</v>
      </c>
      <c r="B84" t="s">
        <v>501</v>
      </c>
      <c r="C84">
        <v>2500</v>
      </c>
      <c r="D84">
        <v>5</v>
      </c>
      <c r="E84" t="s">
        <v>360</v>
      </c>
      <c r="F84" s="19">
        <f t="shared" si="9"/>
        <v>0.4</v>
      </c>
      <c r="G84" s="19">
        <f t="shared" si="5"/>
        <v>6.4090978984154525E-7</v>
      </c>
      <c r="H84" s="19">
        <f t="shared" si="6"/>
        <v>1.8311708281187006E-7</v>
      </c>
      <c r="T84" s="19">
        <f t="shared" si="7"/>
        <v>1.3368840245003886E-14</v>
      </c>
      <c r="U84" s="81">
        <f t="shared" si="8"/>
        <v>6.2463674395857878E-2</v>
      </c>
      <c r="V84" s="30"/>
      <c r="W84" s="23"/>
      <c r="Z84" s="23"/>
      <c r="AA84" s="23"/>
    </row>
    <row r="85" spans="1:27">
      <c r="A85" s="9" t="s">
        <v>502</v>
      </c>
      <c r="B85" t="s">
        <v>503</v>
      </c>
      <c r="C85">
        <v>30</v>
      </c>
      <c r="D85">
        <v>5</v>
      </c>
      <c r="F85" s="19">
        <f t="shared" si="9"/>
        <v>33.333333333333336</v>
      </c>
      <c r="G85" s="19">
        <f t="shared" si="5"/>
        <v>5.3409149153462106E-5</v>
      </c>
      <c r="H85" s="19">
        <f t="shared" si="6"/>
        <v>1.5259756900989172E-5</v>
      </c>
      <c r="N85" s="5">
        <v>0.13500000000000001</v>
      </c>
      <c r="P85" s="5">
        <v>0.27826000000000001</v>
      </c>
      <c r="T85" s="19">
        <f t="shared" si="7"/>
        <v>1.1140700204169904E-12</v>
      </c>
      <c r="U85" s="81">
        <f t="shared" si="8"/>
        <v>6.066063161486885</v>
      </c>
      <c r="V85" s="30"/>
      <c r="W85" s="23"/>
      <c r="Z85" s="23"/>
      <c r="AA85" s="23"/>
    </row>
    <row r="86" spans="1:27">
      <c r="A86" s="9" t="s">
        <v>504</v>
      </c>
      <c r="B86" t="s">
        <v>505</v>
      </c>
      <c r="C86">
        <v>1250</v>
      </c>
      <c r="D86">
        <v>5</v>
      </c>
      <c r="F86" s="19">
        <f t="shared" si="9"/>
        <v>0.8</v>
      </c>
      <c r="G86" s="19">
        <f t="shared" si="5"/>
        <v>1.2818195796830905E-6</v>
      </c>
      <c r="H86" s="19">
        <f t="shared" si="6"/>
        <v>3.6623416562374012E-7</v>
      </c>
      <c r="N86" s="5">
        <v>0.1018</v>
      </c>
      <c r="P86" s="5">
        <v>0.1051</v>
      </c>
      <c r="T86" s="19">
        <f t="shared" si="7"/>
        <v>2.6737680490007773E-14</v>
      </c>
      <c r="U86" s="81">
        <f t="shared" si="8"/>
        <v>0.75305612741767003</v>
      </c>
      <c r="V86" s="30"/>
      <c r="W86" s="23"/>
      <c r="Z86" s="23"/>
      <c r="AA86" s="23"/>
    </row>
    <row r="87" spans="1:27">
      <c r="A87" s="9" t="s">
        <v>506</v>
      </c>
      <c r="B87" t="s">
        <v>507</v>
      </c>
      <c r="C87">
        <v>2560</v>
      </c>
      <c r="D87">
        <v>5</v>
      </c>
      <c r="F87" s="19">
        <f t="shared" si="9"/>
        <v>0.390625</v>
      </c>
      <c r="G87" s="19">
        <f t="shared" si="5"/>
        <v>6.2588846664213398E-7</v>
      </c>
      <c r="H87" s="19">
        <f t="shared" si="6"/>
        <v>1.7882527618346684E-7</v>
      </c>
      <c r="T87" s="19">
        <f t="shared" si="7"/>
        <v>1.3055508051761608E-14</v>
      </c>
      <c r="U87" s="81">
        <f t="shared" si="8"/>
        <v>6.0999682027204953E-2</v>
      </c>
      <c r="V87" s="30"/>
      <c r="W87" s="23"/>
      <c r="Z87" s="23"/>
      <c r="AA87" s="23"/>
    </row>
    <row r="88" spans="1:27">
      <c r="A88" s="9" t="s">
        <v>508</v>
      </c>
      <c r="B88" t="s">
        <v>509</v>
      </c>
      <c r="C88">
        <v>2000</v>
      </c>
      <c r="D88">
        <v>5</v>
      </c>
      <c r="F88" s="19">
        <f t="shared" si="9"/>
        <v>0.5</v>
      </c>
      <c r="G88" s="19">
        <f t="shared" si="5"/>
        <v>8.0113723730193148E-7</v>
      </c>
      <c r="H88" s="19">
        <f t="shared" si="6"/>
        <v>2.2889635351483755E-7</v>
      </c>
      <c r="T88" s="19">
        <f t="shared" si="7"/>
        <v>1.6711050306254858E-14</v>
      </c>
      <c r="U88" s="81">
        <f t="shared" si="8"/>
        <v>7.8079592994822339E-2</v>
      </c>
      <c r="V88" s="30"/>
      <c r="W88" s="23"/>
      <c r="Z88" s="23"/>
      <c r="AA88" s="23"/>
    </row>
    <row r="89" spans="1:27">
      <c r="A89" s="9" t="s">
        <v>510</v>
      </c>
      <c r="B89" t="s">
        <v>511</v>
      </c>
      <c r="C89">
        <v>1506</v>
      </c>
      <c r="D89">
        <v>5</v>
      </c>
      <c r="F89" s="19">
        <f t="shared" si="9"/>
        <v>0.66401062416998669</v>
      </c>
      <c r="G89" s="19">
        <f t="shared" si="5"/>
        <v>1.0639272739733485E-6</v>
      </c>
      <c r="H89" s="19">
        <f t="shared" si="6"/>
        <v>3.039792211352424E-7</v>
      </c>
      <c r="T89" s="19">
        <f t="shared" si="7"/>
        <v>2.2192629888784671E-14</v>
      </c>
      <c r="U89" s="81">
        <f t="shared" si="8"/>
        <v>0.103691358558861</v>
      </c>
      <c r="V89" s="30"/>
      <c r="W89" s="23"/>
      <c r="Z89" s="23"/>
      <c r="AA89" s="23"/>
    </row>
    <row r="90" spans="1:27">
      <c r="A90" s="9" t="s">
        <v>512</v>
      </c>
      <c r="B90" t="s">
        <v>513</v>
      </c>
      <c r="C90">
        <v>800</v>
      </c>
      <c r="D90">
        <v>5</v>
      </c>
      <c r="F90" s="19">
        <f t="shared" si="9"/>
        <v>1.25</v>
      </c>
      <c r="G90" s="19">
        <f t="shared" si="5"/>
        <v>2.0028430932548286E-6</v>
      </c>
      <c r="H90" s="19">
        <f t="shared" si="6"/>
        <v>5.722408837870939E-7</v>
      </c>
      <c r="T90" s="19">
        <f t="shared" si="7"/>
        <v>4.1777625765637141E-14</v>
      </c>
      <c r="U90" s="81">
        <f t="shared" si="8"/>
        <v>0.19519898248705583</v>
      </c>
      <c r="V90" s="30"/>
      <c r="W90" s="23"/>
      <c r="Z90" s="23"/>
      <c r="AA90" s="23"/>
    </row>
    <row r="91" spans="1:27">
      <c r="A91" s="9" t="s">
        <v>514</v>
      </c>
      <c r="B91" t="s">
        <v>515</v>
      </c>
      <c r="C91">
        <v>17</v>
      </c>
      <c r="D91">
        <v>5</v>
      </c>
      <c r="E91" t="s">
        <v>516</v>
      </c>
      <c r="F91" s="19">
        <f t="shared" si="9"/>
        <v>58.823529411764703</v>
      </c>
      <c r="G91" s="19">
        <f t="shared" si="5"/>
        <v>9.4251439682580183E-5</v>
      </c>
      <c r="H91" s="19">
        <f t="shared" si="6"/>
        <v>2.6928982766451477E-5</v>
      </c>
      <c r="N91" s="5">
        <v>0.14029</v>
      </c>
      <c r="T91" s="19">
        <f t="shared" si="7"/>
        <v>1.9660059183829244E-12</v>
      </c>
      <c r="U91" s="81">
        <f t="shared" si="8"/>
        <v>10.022487618834061</v>
      </c>
      <c r="V91" s="30"/>
      <c r="W91" s="23"/>
      <c r="Z91" s="23"/>
      <c r="AA91" s="23"/>
    </row>
    <row r="92" spans="1:27">
      <c r="A92" s="9" t="s">
        <v>517</v>
      </c>
      <c r="B92" t="s">
        <v>518</v>
      </c>
      <c r="C92">
        <v>586</v>
      </c>
      <c r="D92">
        <v>5</v>
      </c>
      <c r="F92" s="19">
        <f t="shared" si="9"/>
        <v>1.7064846416382253</v>
      </c>
      <c r="G92" s="19">
        <f t="shared" si="5"/>
        <v>2.7342567826004489E-6</v>
      </c>
      <c r="H92" s="19">
        <f t="shared" si="6"/>
        <v>7.8121622360012815E-7</v>
      </c>
      <c r="T92" s="19">
        <f t="shared" si="7"/>
        <v>5.7034301386535356E-14</v>
      </c>
      <c r="U92" s="81">
        <f t="shared" si="8"/>
        <v>0.26648325254205579</v>
      </c>
      <c r="V92" s="30"/>
      <c r="W92" s="23"/>
      <c r="Z92" s="23"/>
      <c r="AA92" s="23"/>
    </row>
    <row r="93" spans="1:27">
      <c r="A93" s="9" t="s">
        <v>519</v>
      </c>
      <c r="B93" t="s">
        <v>520</v>
      </c>
      <c r="C93">
        <v>578</v>
      </c>
      <c r="D93">
        <v>5</v>
      </c>
      <c r="F93" s="19">
        <f t="shared" si="9"/>
        <v>1.7301038062283738</v>
      </c>
      <c r="G93" s="19">
        <f t="shared" si="5"/>
        <v>2.7721011671347115E-6</v>
      </c>
      <c r="H93" s="19">
        <f t="shared" si="6"/>
        <v>7.920289048956317E-7</v>
      </c>
      <c r="T93" s="19">
        <f t="shared" si="7"/>
        <v>5.7823703481850714E-14</v>
      </c>
      <c r="U93" s="81">
        <f t="shared" si="8"/>
        <v>0.27017160205820884</v>
      </c>
      <c r="V93" s="30"/>
      <c r="W93" s="23"/>
      <c r="Z93" s="23"/>
      <c r="AA93" s="23"/>
    </row>
    <row r="94" spans="1:27">
      <c r="A94" s="9" t="s">
        <v>521</v>
      </c>
      <c r="B94" t="s">
        <v>522</v>
      </c>
      <c r="C94">
        <v>18</v>
      </c>
      <c r="D94">
        <v>5</v>
      </c>
      <c r="F94" s="19">
        <f t="shared" si="9"/>
        <v>55.55555555555555</v>
      </c>
      <c r="G94" s="19">
        <f t="shared" si="5"/>
        <v>8.9015248589103499E-5</v>
      </c>
      <c r="H94" s="19">
        <f t="shared" si="6"/>
        <v>2.5432928168315281E-5</v>
      </c>
      <c r="N94" s="5">
        <v>0.13070000000000001</v>
      </c>
      <c r="T94" s="19">
        <f t="shared" si="7"/>
        <v>1.8567833673616507E-12</v>
      </c>
      <c r="U94" s="81">
        <f t="shared" si="8"/>
        <v>9.4549712106206325</v>
      </c>
      <c r="V94" s="30"/>
      <c r="W94" s="23"/>
      <c r="Z94" s="23"/>
      <c r="AA94" s="23"/>
    </row>
    <row r="95" spans="1:27">
      <c r="A95" s="9" t="s">
        <v>523</v>
      </c>
      <c r="B95" t="s">
        <v>524</v>
      </c>
      <c r="C95">
        <v>1.8</v>
      </c>
      <c r="D95">
        <v>5</v>
      </c>
      <c r="F95" s="19">
        <f t="shared" si="9"/>
        <v>555.55555555555554</v>
      </c>
      <c r="G95" s="19">
        <f t="shared" si="5"/>
        <v>8.9015248589103505E-4</v>
      </c>
      <c r="H95" s="19">
        <f t="shared" si="6"/>
        <v>2.5432928168315285E-4</v>
      </c>
      <c r="T95" s="19">
        <f t="shared" si="7"/>
        <v>1.8567833673616506E-11</v>
      </c>
      <c r="U95" s="81">
        <f t="shared" si="8"/>
        <v>86.755103327580386</v>
      </c>
      <c r="V95" s="30"/>
      <c r="W95" s="23"/>
      <c r="Z95" s="23"/>
      <c r="AA95" s="23"/>
    </row>
    <row r="96" spans="1:27">
      <c r="A96" s="9" t="s">
        <v>525</v>
      </c>
      <c r="B96" t="s">
        <v>526</v>
      </c>
      <c r="C96">
        <v>1453</v>
      </c>
      <c r="D96">
        <v>5</v>
      </c>
      <c r="F96" s="19">
        <f t="shared" si="9"/>
        <v>0.68823124569855465</v>
      </c>
      <c r="G96" s="19">
        <f t="shared" si="5"/>
        <v>1.1027353576076139E-6</v>
      </c>
      <c r="H96" s="19">
        <f t="shared" si="6"/>
        <v>3.1506724503074675E-7</v>
      </c>
      <c r="T96" s="19">
        <f t="shared" si="7"/>
        <v>2.3002133938409988E-14</v>
      </c>
      <c r="U96" s="81">
        <f t="shared" si="8"/>
        <v>0.10747363110092545</v>
      </c>
      <c r="V96" s="30"/>
      <c r="W96" s="23"/>
      <c r="Z96" s="23"/>
      <c r="AA96" s="23"/>
    </row>
    <row r="97" spans="1:27">
      <c r="A97" s="9" t="s">
        <v>527</v>
      </c>
      <c r="B97" t="s">
        <v>528</v>
      </c>
      <c r="C97">
        <v>470</v>
      </c>
      <c r="D97">
        <v>5</v>
      </c>
      <c r="F97" s="19">
        <f t="shared" si="9"/>
        <v>2.1276595744680851</v>
      </c>
      <c r="G97" s="19">
        <f t="shared" si="5"/>
        <v>3.4090946268167298E-6</v>
      </c>
      <c r="H97" s="19">
        <f t="shared" si="6"/>
        <v>9.7402703623335137E-7</v>
      </c>
      <c r="T97" s="19">
        <f t="shared" si="7"/>
        <v>7.1110852367041944E-14</v>
      </c>
      <c r="U97" s="81">
        <f t="shared" si="8"/>
        <v>0.33225358721200993</v>
      </c>
      <c r="V97" s="30"/>
      <c r="W97" s="23"/>
      <c r="Z97" s="23"/>
      <c r="AA97" s="23"/>
    </row>
    <row r="98" spans="1:27">
      <c r="A98" t="s">
        <v>529</v>
      </c>
      <c r="B98" t="s">
        <v>530</v>
      </c>
      <c r="C98">
        <v>0.56000000000000005</v>
      </c>
      <c r="D98">
        <v>5</v>
      </c>
      <c r="F98" s="19">
        <f t="shared" si="9"/>
        <v>1785.7142857142856</v>
      </c>
      <c r="G98" s="19">
        <f t="shared" si="5"/>
        <v>2.8612044189354697E-3</v>
      </c>
      <c r="H98" s="19">
        <f t="shared" si="6"/>
        <v>8.1748697683870549E-4</v>
      </c>
      <c r="P98" s="5">
        <v>5.9299999999999999E-2</v>
      </c>
      <c r="T98" s="19">
        <f t="shared" si="7"/>
        <v>5.9682322522338776E-11</v>
      </c>
      <c r="U98" s="81">
        <f t="shared" si="8"/>
        <v>278.86754926722267</v>
      </c>
      <c r="V98" s="30"/>
      <c r="W98" s="23"/>
      <c r="Z98" s="23"/>
      <c r="AA98" s="23"/>
    </row>
    <row r="99" spans="1:27">
      <c r="A99" t="s">
        <v>531</v>
      </c>
      <c r="B99" t="s">
        <v>532</v>
      </c>
      <c r="C99">
        <v>946</v>
      </c>
      <c r="D99">
        <v>5</v>
      </c>
      <c r="F99" s="19">
        <f t="shared" si="9"/>
        <v>1.0570824524312896</v>
      </c>
      <c r="G99" s="19">
        <f t="shared" si="5"/>
        <v>1.6937362310823077E-6</v>
      </c>
      <c r="H99" s="19">
        <f t="shared" si="6"/>
        <v>4.8392463745208779E-7</v>
      </c>
      <c r="P99" s="5">
        <v>0.12148</v>
      </c>
      <c r="T99" s="19">
        <f t="shared" si="7"/>
        <v>3.5329916080877076E-14</v>
      </c>
      <c r="U99" s="81">
        <f t="shared" si="8"/>
        <v>0.1893691352956075</v>
      </c>
      <c r="V99" s="30"/>
      <c r="W99" s="23"/>
      <c r="Z99" s="23"/>
      <c r="AA99" s="23"/>
    </row>
    <row r="100" spans="1:27">
      <c r="A100" s="9" t="s">
        <v>533</v>
      </c>
      <c r="B100" t="s">
        <v>534</v>
      </c>
      <c r="C100">
        <v>1600</v>
      </c>
      <c r="D100">
        <v>5</v>
      </c>
      <c r="F100" s="19">
        <f t="shared" si="9"/>
        <v>0.625</v>
      </c>
      <c r="G100" s="19">
        <f t="shared" si="5"/>
        <v>1.0014215466274143E-6</v>
      </c>
      <c r="H100" s="19">
        <f t="shared" si="6"/>
        <v>2.8612044189354695E-7</v>
      </c>
      <c r="T100" s="19">
        <f t="shared" si="7"/>
        <v>2.0888812882818571E-14</v>
      </c>
      <c r="U100" s="81">
        <f t="shared" si="8"/>
        <v>9.7599491243527917E-2</v>
      </c>
      <c r="V100" s="30"/>
      <c r="W100" s="23"/>
      <c r="Z100" s="23"/>
      <c r="AA100" s="23"/>
    </row>
    <row r="101" spans="1:27">
      <c r="A101" s="9" t="s">
        <v>535</v>
      </c>
      <c r="B101" t="s">
        <v>536</v>
      </c>
      <c r="C101">
        <v>429</v>
      </c>
      <c r="D101">
        <v>5</v>
      </c>
      <c r="F101" s="19">
        <f t="shared" si="9"/>
        <v>2.3310023310023311</v>
      </c>
      <c r="G101" s="19">
        <f t="shared" si="5"/>
        <v>3.7349055352071401E-6</v>
      </c>
      <c r="H101" s="19">
        <f t="shared" si="6"/>
        <v>1.06711586720204E-6</v>
      </c>
      <c r="P101" s="5">
        <v>0.11600000000000001</v>
      </c>
      <c r="T101" s="19">
        <f t="shared" si="7"/>
        <v>7.790699443475459E-14</v>
      </c>
      <c r="U101" s="81">
        <f t="shared" si="8"/>
        <v>0.38720742654928836</v>
      </c>
      <c r="V101" s="30"/>
      <c r="W101" s="23"/>
      <c r="Z101" s="23"/>
      <c r="AA101" s="23"/>
    </row>
    <row r="102" spans="1:27">
      <c r="A102" s="9" t="s">
        <v>537</v>
      </c>
      <c r="B102" t="s">
        <v>538</v>
      </c>
      <c r="C102">
        <v>1150</v>
      </c>
      <c r="D102">
        <v>5</v>
      </c>
      <c r="F102" s="19">
        <f t="shared" si="9"/>
        <v>0.86956521739130443</v>
      </c>
      <c r="G102" s="19">
        <f t="shared" si="5"/>
        <v>1.3932821518294464E-6</v>
      </c>
      <c r="H102" s="19">
        <f t="shared" si="6"/>
        <v>3.980806148084132E-7</v>
      </c>
      <c r="P102" s="5">
        <v>0.30430000000000001</v>
      </c>
      <c r="T102" s="19">
        <f t="shared" si="7"/>
        <v>2.9062696184791057E-14</v>
      </c>
      <c r="U102" s="81">
        <f t="shared" si="8"/>
        <v>0.1966505965127345</v>
      </c>
      <c r="V102" s="30"/>
      <c r="W102" s="23"/>
      <c r="Z102" s="23"/>
      <c r="AA102" s="23"/>
    </row>
    <row r="103" spans="1:27">
      <c r="A103" s="9" t="s">
        <v>539</v>
      </c>
      <c r="B103" t="s">
        <v>540</v>
      </c>
      <c r="C103">
        <v>310</v>
      </c>
      <c r="D103">
        <v>5</v>
      </c>
      <c r="F103" s="19">
        <f t="shared" si="9"/>
        <v>3.225806451612903</v>
      </c>
      <c r="G103" s="19">
        <f t="shared" si="5"/>
        <v>5.168627337431816E-6</v>
      </c>
      <c r="H103" s="19">
        <f t="shared" si="6"/>
        <v>1.4767506678376617E-6</v>
      </c>
      <c r="N103" s="5">
        <v>0.13500000000000001</v>
      </c>
      <c r="P103" s="5">
        <v>0.27910000000000001</v>
      </c>
      <c r="T103" s="19">
        <f t="shared" si="7"/>
        <v>1.0781322778228939E-13</v>
      </c>
      <c r="U103" s="81">
        <f t="shared" si="8"/>
        <v>1.3646642714760762</v>
      </c>
      <c r="V103" s="30"/>
      <c r="W103" s="23"/>
      <c r="Z103" s="23"/>
      <c r="AA103" s="23"/>
    </row>
    <row r="104" spans="1:27">
      <c r="A104" t="s">
        <v>541</v>
      </c>
      <c r="B104" t="s">
        <v>542</v>
      </c>
      <c r="C104">
        <v>644</v>
      </c>
      <c r="D104">
        <v>5</v>
      </c>
      <c r="F104" s="19">
        <f t="shared" si="9"/>
        <v>1.5527950310559004</v>
      </c>
      <c r="G104" s="19">
        <f t="shared" si="5"/>
        <v>2.4880038425525822E-6</v>
      </c>
      <c r="H104" s="19">
        <f t="shared" si="6"/>
        <v>7.108582407293091E-7</v>
      </c>
      <c r="I104" s="5">
        <v>0.54300000000000004</v>
      </c>
      <c r="T104" s="19">
        <f t="shared" si="7"/>
        <v>5.1897671758555452E-14</v>
      </c>
      <c r="U104" s="81">
        <f t="shared" si="8"/>
        <v>442.1370144580585</v>
      </c>
      <c r="V104" s="30"/>
      <c r="W104" s="23"/>
      <c r="Z104" s="23"/>
      <c r="AA104" s="23"/>
    </row>
    <row r="105" spans="1:27">
      <c r="A105" s="9" t="s">
        <v>543</v>
      </c>
      <c r="B105" t="s">
        <v>544</v>
      </c>
      <c r="C105">
        <v>474</v>
      </c>
      <c r="D105">
        <v>5</v>
      </c>
      <c r="F105" s="19">
        <f t="shared" si="9"/>
        <v>2.109704641350211</v>
      </c>
      <c r="G105" s="19">
        <f t="shared" si="5"/>
        <v>3.3803258957887406E-6</v>
      </c>
      <c r="H105" s="19">
        <f t="shared" si="6"/>
        <v>9.6580739879678301E-7</v>
      </c>
      <c r="T105" s="19">
        <f t="shared" si="7"/>
        <v>7.051076078588547E-14</v>
      </c>
      <c r="U105" s="81">
        <f t="shared" si="8"/>
        <v>0.32944975947182426</v>
      </c>
      <c r="V105" s="30"/>
      <c r="W105" s="23"/>
      <c r="Z105" s="23"/>
      <c r="AA105" s="23"/>
    </row>
    <row r="106" spans="1:27">
      <c r="A106" s="9" t="s">
        <v>545</v>
      </c>
      <c r="B106" t="s">
        <v>546</v>
      </c>
      <c r="C106">
        <v>59</v>
      </c>
      <c r="D106">
        <v>5</v>
      </c>
      <c r="F106" s="19">
        <f t="shared" si="9"/>
        <v>16.949152542372882</v>
      </c>
      <c r="G106" s="19">
        <f t="shared" si="5"/>
        <v>2.7157194484811239E-5</v>
      </c>
      <c r="H106" s="19">
        <f t="shared" si="6"/>
        <v>7.7591984242317825E-6</v>
      </c>
      <c r="T106" s="19">
        <f t="shared" si="7"/>
        <v>5.6647628156796138E-13</v>
      </c>
      <c r="U106" s="81">
        <f t="shared" si="8"/>
        <v>2.6467658642312659</v>
      </c>
      <c r="V106" s="30"/>
      <c r="W106" s="23"/>
      <c r="Z106" s="23"/>
      <c r="AA106" s="23"/>
    </row>
    <row r="107" spans="1:27">
      <c r="A107" s="9" t="s">
        <v>547</v>
      </c>
      <c r="B107" t="s">
        <v>548</v>
      </c>
      <c r="C107">
        <v>766</v>
      </c>
      <c r="D107">
        <v>5</v>
      </c>
      <c r="F107" s="19">
        <f t="shared" si="9"/>
        <v>1.3054830287206267</v>
      </c>
      <c r="G107" s="19">
        <f t="shared" si="5"/>
        <v>2.0917421339476021E-6</v>
      </c>
      <c r="H107" s="19">
        <f t="shared" si="6"/>
        <v>5.9764060969931478E-7</v>
      </c>
      <c r="T107" s="19">
        <f t="shared" si="7"/>
        <v>4.3631985133824694E-14</v>
      </c>
      <c r="U107" s="81">
        <f t="shared" si="8"/>
        <v>0.20386316708830901</v>
      </c>
      <c r="V107" s="30"/>
      <c r="W107" s="23"/>
      <c r="Z107" s="23"/>
      <c r="AA107" s="23"/>
    </row>
    <row r="108" spans="1:27">
      <c r="A108" s="9" t="s">
        <v>549</v>
      </c>
      <c r="B108" t="s">
        <v>550</v>
      </c>
      <c r="C108">
        <v>26</v>
      </c>
      <c r="D108">
        <v>5</v>
      </c>
      <c r="F108" s="19">
        <f t="shared" si="9"/>
        <v>38.461538461538467</v>
      </c>
      <c r="G108" s="19">
        <f t="shared" si="5"/>
        <v>6.1625941330917817E-5</v>
      </c>
      <c r="H108" s="19">
        <f t="shared" si="6"/>
        <v>1.7607411808833662E-5</v>
      </c>
      <c r="T108" s="19">
        <f t="shared" si="7"/>
        <v>1.2854654081734507E-12</v>
      </c>
      <c r="U108" s="81">
        <f t="shared" si="8"/>
        <v>6.0061225380632575</v>
      </c>
      <c r="V108" s="30"/>
      <c r="W108" s="23"/>
      <c r="Z108" s="23"/>
      <c r="AA108" s="23"/>
    </row>
    <row r="109" spans="1:27">
      <c r="A109" s="9" t="s">
        <v>551</v>
      </c>
      <c r="B109" t="s">
        <v>552</v>
      </c>
      <c r="C109">
        <v>1.5</v>
      </c>
      <c r="D109">
        <v>5</v>
      </c>
      <c r="F109" s="19">
        <f t="shared" si="9"/>
        <v>666.66666666666663</v>
      </c>
      <c r="G109" s="19">
        <f t="shared" si="5"/>
        <v>1.0681829830692421E-3</v>
      </c>
      <c r="H109" s="19">
        <f t="shared" si="6"/>
        <v>3.0519513801978339E-4</v>
      </c>
      <c r="T109" s="19">
        <f t="shared" si="7"/>
        <v>2.228140040833981E-11</v>
      </c>
      <c r="U109" s="81">
        <f t="shared" si="8"/>
        <v>104.10612399309646</v>
      </c>
      <c r="V109" s="30"/>
      <c r="W109" s="23"/>
      <c r="Z109" s="23"/>
      <c r="AA109" s="23"/>
    </row>
    <row r="110" spans="1:27">
      <c r="A110" s="9" t="s">
        <v>553</v>
      </c>
      <c r="B110" t="s">
        <v>554</v>
      </c>
      <c r="C110">
        <v>685</v>
      </c>
      <c r="D110">
        <v>5</v>
      </c>
      <c r="F110" s="19">
        <f t="shared" si="9"/>
        <v>1.4598540145985401</v>
      </c>
      <c r="G110" s="19">
        <f t="shared" si="5"/>
        <v>2.3390868242392163E-6</v>
      </c>
      <c r="H110" s="19">
        <f t="shared" si="6"/>
        <v>6.6831052121120445E-7</v>
      </c>
      <c r="T110" s="19">
        <f t="shared" si="7"/>
        <v>4.8791387755488633E-14</v>
      </c>
      <c r="U110" s="81">
        <f t="shared" si="8"/>
        <v>0.22796961458342291</v>
      </c>
      <c r="V110" s="30"/>
      <c r="W110" s="23"/>
      <c r="Z110" s="23"/>
      <c r="AA110" s="23"/>
    </row>
    <row r="111" spans="1:27">
      <c r="A111" s="9" t="s">
        <v>555</v>
      </c>
      <c r="B111" t="s">
        <v>556</v>
      </c>
      <c r="C111">
        <v>214</v>
      </c>
      <c r="D111">
        <v>5</v>
      </c>
      <c r="F111" s="19">
        <f t="shared" si="9"/>
        <v>4.6728971962616823</v>
      </c>
      <c r="G111" s="19">
        <f t="shared" si="5"/>
        <v>7.4872639000180522E-6</v>
      </c>
      <c r="H111" s="19">
        <f t="shared" si="6"/>
        <v>2.1392182571480146E-6</v>
      </c>
      <c r="T111" s="19">
        <f t="shared" si="7"/>
        <v>1.5617804024537249E-13</v>
      </c>
      <c r="U111" s="81">
        <f t="shared" si="8"/>
        <v>0.72971582238151722</v>
      </c>
      <c r="V111" s="30"/>
      <c r="W111" s="23"/>
      <c r="Z111" s="23"/>
      <c r="AA111" s="23"/>
    </row>
    <row r="112" spans="1:27">
      <c r="A112" s="9" t="s">
        <v>557</v>
      </c>
      <c r="B112" t="s">
        <v>558</v>
      </c>
      <c r="C112">
        <v>180</v>
      </c>
      <c r="D112">
        <v>5</v>
      </c>
      <c r="F112" s="19">
        <f t="shared" si="9"/>
        <v>5.5555555555555554</v>
      </c>
      <c r="G112" s="19">
        <f t="shared" si="5"/>
        <v>8.9015248589103499E-6</v>
      </c>
      <c r="H112" s="19">
        <f t="shared" si="6"/>
        <v>2.5432928168315285E-6</v>
      </c>
      <c r="N112" s="5">
        <v>0.1129</v>
      </c>
      <c r="P112" s="5">
        <v>0.3498</v>
      </c>
      <c r="T112" s="19">
        <f t="shared" si="7"/>
        <v>1.8567833673616509E-13</v>
      </c>
      <c r="U112" s="81">
        <f t="shared" si="8"/>
        <v>1.6108173309857277</v>
      </c>
      <c r="V112" s="30"/>
      <c r="W112" s="23"/>
      <c r="Z112" s="23"/>
      <c r="AA112" s="23"/>
    </row>
    <row r="113" spans="1:27">
      <c r="A113" s="9" t="s">
        <v>559</v>
      </c>
      <c r="B113" t="s">
        <v>560</v>
      </c>
      <c r="C113">
        <v>638</v>
      </c>
      <c r="D113">
        <v>5</v>
      </c>
      <c r="F113" s="19">
        <f t="shared" si="9"/>
        <v>1.567398119122257</v>
      </c>
      <c r="G113" s="19">
        <f t="shared" si="5"/>
        <v>2.5114019978116978E-6</v>
      </c>
      <c r="H113" s="19">
        <f t="shared" si="6"/>
        <v>7.1754342794619922E-7</v>
      </c>
      <c r="P113" s="5">
        <v>0.21560000000000001</v>
      </c>
      <c r="T113" s="19">
        <f t="shared" si="7"/>
        <v>5.2385737637162558E-14</v>
      </c>
      <c r="U113" s="81">
        <f t="shared" si="8"/>
        <v>0.28788361440383181</v>
      </c>
      <c r="V113" s="30"/>
      <c r="W113" s="23"/>
      <c r="Z113" s="23"/>
      <c r="AA113" s="23"/>
    </row>
    <row r="114" spans="1:27">
      <c r="A114" s="9" t="s">
        <v>561</v>
      </c>
      <c r="B114" t="s">
        <v>562</v>
      </c>
      <c r="C114">
        <v>25</v>
      </c>
      <c r="D114">
        <v>5</v>
      </c>
      <c r="E114" s="9" t="s">
        <v>563</v>
      </c>
      <c r="F114" s="19">
        <f t="shared" si="9"/>
        <v>40</v>
      </c>
      <c r="G114" s="19">
        <f t="shared" si="5"/>
        <v>6.4090978984154517E-5</v>
      </c>
      <c r="H114" s="19">
        <f t="shared" si="6"/>
        <v>1.8311708281187005E-5</v>
      </c>
      <c r="T114" s="19">
        <f t="shared" si="7"/>
        <v>1.3368840245003885E-12</v>
      </c>
      <c r="U114" s="81">
        <f t="shared" si="8"/>
        <v>6.2463674395857867</v>
      </c>
      <c r="V114" s="30"/>
      <c r="W114" s="23"/>
      <c r="Z114" s="23"/>
      <c r="AA114" s="23"/>
    </row>
    <row r="115" spans="1:27">
      <c r="A115" s="9" t="s">
        <v>564</v>
      </c>
      <c r="B115" t="s">
        <v>565</v>
      </c>
      <c r="C115">
        <v>660</v>
      </c>
      <c r="D115">
        <v>5</v>
      </c>
      <c r="F115" s="19">
        <f t="shared" si="9"/>
        <v>1.5151515151515151</v>
      </c>
      <c r="G115" s="19">
        <f t="shared" si="5"/>
        <v>2.4276885978846409E-6</v>
      </c>
      <c r="H115" s="19">
        <f t="shared" si="6"/>
        <v>6.9362531368132603E-7</v>
      </c>
      <c r="T115" s="19">
        <f t="shared" si="7"/>
        <v>5.0639546382590476E-14</v>
      </c>
      <c r="U115" s="81">
        <f t="shared" si="8"/>
        <v>0.23660482725703738</v>
      </c>
      <c r="V115" s="30"/>
      <c r="W115" s="23"/>
      <c r="Z115" s="23"/>
      <c r="AA115" s="23"/>
    </row>
    <row r="116" spans="1:27">
      <c r="A116" s="9" t="s">
        <v>566</v>
      </c>
      <c r="B116" t="s">
        <v>567</v>
      </c>
      <c r="C116">
        <v>100</v>
      </c>
      <c r="D116">
        <v>5</v>
      </c>
      <c r="F116" s="19">
        <f t="shared" si="9"/>
        <v>10</v>
      </c>
      <c r="G116" s="19">
        <f t="shared" si="5"/>
        <v>1.6022744746038629E-5</v>
      </c>
      <c r="H116" s="19">
        <f t="shared" si="6"/>
        <v>4.5779270702967512E-6</v>
      </c>
      <c r="N116" s="5">
        <v>0.1</v>
      </c>
      <c r="P116" s="5">
        <v>0.20619999999999999</v>
      </c>
      <c r="T116" s="19">
        <f t="shared" si="7"/>
        <v>3.3422100612509713E-13</v>
      </c>
      <c r="U116" s="81">
        <f t="shared" si="8"/>
        <v>2.1992059056979731</v>
      </c>
      <c r="V116" s="30"/>
      <c r="W116" s="23"/>
      <c r="Z116" s="23"/>
      <c r="AA116" s="23"/>
    </row>
    <row r="117" spans="1:27">
      <c r="A117" s="9" t="s">
        <v>568</v>
      </c>
      <c r="B117" t="s">
        <v>569</v>
      </c>
      <c r="C117">
        <v>18</v>
      </c>
      <c r="D117">
        <v>5</v>
      </c>
      <c r="F117" s="19">
        <f t="shared" si="9"/>
        <v>55.55555555555555</v>
      </c>
      <c r="G117" s="19">
        <f t="shared" si="5"/>
        <v>8.9015248589103499E-5</v>
      </c>
      <c r="H117" s="19">
        <f t="shared" si="6"/>
        <v>2.5432928168315281E-5</v>
      </c>
      <c r="P117" s="5">
        <v>7.8600000000000003E-2</v>
      </c>
      <c r="T117" s="19">
        <f t="shared" si="7"/>
        <v>1.8567833673616507E-12</v>
      </c>
      <c r="U117" s="81">
        <f t="shared" si="8"/>
        <v>8.6912303327580371</v>
      </c>
      <c r="V117" s="30"/>
      <c r="W117" s="23"/>
      <c r="Z117" s="23"/>
      <c r="AA117" s="23"/>
    </row>
    <row r="118" spans="1:27">
      <c r="A118" s="9" t="s">
        <v>570</v>
      </c>
      <c r="B118" t="s">
        <v>571</v>
      </c>
      <c r="C118">
        <v>36</v>
      </c>
      <c r="D118">
        <v>5</v>
      </c>
      <c r="F118" s="19">
        <f t="shared" si="9"/>
        <v>27.777777777777775</v>
      </c>
      <c r="G118" s="19">
        <f t="shared" si="5"/>
        <v>4.450762429455175E-5</v>
      </c>
      <c r="H118" s="19">
        <f t="shared" si="6"/>
        <v>1.271646408415764E-5</v>
      </c>
      <c r="T118" s="19">
        <f t="shared" si="7"/>
        <v>9.2839168368082533E-13</v>
      </c>
      <c r="U118" s="81">
        <f t="shared" si="8"/>
        <v>4.3377551663790186</v>
      </c>
      <c r="V118" s="30"/>
      <c r="W118" s="23"/>
      <c r="Z118" s="23"/>
      <c r="AA118" s="23"/>
    </row>
    <row r="119" spans="1:27">
      <c r="A119" s="9" t="s">
        <v>572</v>
      </c>
      <c r="B119" t="s">
        <v>573</v>
      </c>
      <c r="C119">
        <v>21</v>
      </c>
      <c r="D119">
        <v>5</v>
      </c>
      <c r="F119" s="19">
        <f t="shared" si="9"/>
        <v>47.619047619047613</v>
      </c>
      <c r="G119" s="19">
        <f t="shared" si="5"/>
        <v>7.6298784504945862E-5</v>
      </c>
      <c r="H119" s="19">
        <f t="shared" si="6"/>
        <v>2.1799652715698814E-5</v>
      </c>
      <c r="N119" s="5">
        <v>9.5890000000000003E-2</v>
      </c>
      <c r="P119" s="5">
        <v>9.8900000000000002E-2</v>
      </c>
      <c r="T119" s="19">
        <f t="shared" si="7"/>
        <v>1.5915286005957005E-12</v>
      </c>
      <c r="U119" s="81">
        <f t="shared" si="8"/>
        <v>8.0277947863116879</v>
      </c>
      <c r="V119" s="30"/>
      <c r="W119" s="23"/>
      <c r="Z119" s="23"/>
      <c r="AA119" s="23"/>
    </row>
    <row r="120" spans="1:27">
      <c r="A120" s="9" t="s">
        <v>574</v>
      </c>
      <c r="B120" t="s">
        <v>575</v>
      </c>
      <c r="C120">
        <v>916</v>
      </c>
      <c r="D120">
        <v>5</v>
      </c>
      <c r="F120" s="19">
        <f t="shared" si="9"/>
        <v>1.0917030567685588</v>
      </c>
      <c r="G120" s="19">
        <f t="shared" si="5"/>
        <v>1.7492079417072738E-6</v>
      </c>
      <c r="H120" s="19">
        <f t="shared" si="6"/>
        <v>4.9977369763064964E-7</v>
      </c>
      <c r="P120" s="5">
        <v>0.16902598774561589</v>
      </c>
      <c r="T120" s="19">
        <f t="shared" si="7"/>
        <v>3.6487009402303177E-14</v>
      </c>
      <c r="U120" s="81">
        <f t="shared" si="8"/>
        <v>0.20428465823650818</v>
      </c>
      <c r="V120" s="30"/>
      <c r="W120" s="23"/>
      <c r="Z120" s="23"/>
      <c r="AA120" s="23"/>
    </row>
    <row r="121" spans="1:27">
      <c r="A121" s="9" t="s">
        <v>576</v>
      </c>
      <c r="B121" t="s">
        <v>577</v>
      </c>
      <c r="C121">
        <v>325</v>
      </c>
      <c r="D121">
        <v>5</v>
      </c>
      <c r="F121" s="19">
        <f t="shared" si="9"/>
        <v>3.0769230769230771</v>
      </c>
      <c r="G121" s="19">
        <f t="shared" si="5"/>
        <v>4.9300753064734249E-6</v>
      </c>
      <c r="H121" s="19">
        <f t="shared" si="6"/>
        <v>1.4085929447066927E-6</v>
      </c>
      <c r="T121" s="19">
        <f t="shared" si="7"/>
        <v>1.0283723265387605E-13</v>
      </c>
      <c r="U121" s="81">
        <f t="shared" si="8"/>
        <v>0.48048980304506056</v>
      </c>
      <c r="V121" s="30"/>
      <c r="W121" s="23"/>
      <c r="Z121" s="23"/>
      <c r="AA121" s="23"/>
    </row>
    <row r="122" spans="1:27">
      <c r="A122" s="9" t="s">
        <v>578</v>
      </c>
      <c r="B122" t="s">
        <v>579</v>
      </c>
      <c r="C122">
        <v>200</v>
      </c>
      <c r="D122">
        <v>5</v>
      </c>
      <c r="F122" s="19">
        <f t="shared" si="9"/>
        <v>5</v>
      </c>
      <c r="G122" s="19">
        <f t="shared" si="5"/>
        <v>8.0113723730193146E-6</v>
      </c>
      <c r="H122" s="19">
        <f t="shared" si="6"/>
        <v>2.2889635351483756E-6</v>
      </c>
      <c r="P122" s="5">
        <v>0.14199999999999999</v>
      </c>
      <c r="T122" s="19">
        <f t="shared" si="7"/>
        <v>1.6711050306254856E-13</v>
      </c>
      <c r="U122" s="81">
        <f t="shared" si="8"/>
        <v>0.80919592994822331</v>
      </c>
      <c r="V122" s="30"/>
      <c r="W122" s="23"/>
      <c r="Z122" s="23"/>
      <c r="AA122" s="23"/>
    </row>
    <row r="123" spans="1:27">
      <c r="A123" s="9" t="s">
        <v>580</v>
      </c>
      <c r="B123" t="s">
        <v>581</v>
      </c>
      <c r="C123">
        <v>13</v>
      </c>
      <c r="D123">
        <v>5</v>
      </c>
      <c r="F123" s="19">
        <f t="shared" si="9"/>
        <v>76.923076923076934</v>
      </c>
      <c r="G123" s="19">
        <f t="shared" si="5"/>
        <v>1.2325188266183563E-4</v>
      </c>
      <c r="H123" s="19">
        <f t="shared" si="6"/>
        <v>3.5214823617667325E-5</v>
      </c>
      <c r="N123" s="5">
        <v>0.161</v>
      </c>
      <c r="P123" s="5">
        <v>0.33289999999999997</v>
      </c>
      <c r="T123" s="19">
        <f t="shared" si="7"/>
        <v>2.5709308163469015E-12</v>
      </c>
      <c r="U123" s="81">
        <f t="shared" si="8"/>
        <v>13.038987289866974</v>
      </c>
      <c r="V123" s="30"/>
      <c r="W123" s="23"/>
      <c r="Z123" s="23"/>
      <c r="AA123" s="23"/>
    </row>
    <row r="124" spans="1:27">
      <c r="A124" s="9" t="s">
        <v>582</v>
      </c>
      <c r="B124" t="s">
        <v>583</v>
      </c>
      <c r="C124">
        <v>61</v>
      </c>
      <c r="D124">
        <v>5</v>
      </c>
      <c r="F124" s="19">
        <f t="shared" si="9"/>
        <v>16.393442622950822</v>
      </c>
      <c r="G124" s="19">
        <f t="shared" si="5"/>
        <v>2.6266794665637102E-5</v>
      </c>
      <c r="H124" s="19">
        <f t="shared" si="6"/>
        <v>7.5047984758963144E-6</v>
      </c>
      <c r="N124" s="5">
        <v>0.128</v>
      </c>
      <c r="P124" s="5">
        <v>0.2641</v>
      </c>
      <c r="T124" s="19">
        <f t="shared" si="7"/>
        <v>5.4790328872966749E-13</v>
      </c>
      <c r="U124" s="81">
        <f t="shared" si="8"/>
        <v>3.3761654341938998</v>
      </c>
      <c r="V124" s="30"/>
      <c r="W124" s="23"/>
      <c r="Z124" s="23"/>
      <c r="AA124" s="23"/>
    </row>
    <row r="125" spans="1:27">
      <c r="A125" t="s">
        <v>584</v>
      </c>
      <c r="B125" t="s">
        <v>585</v>
      </c>
      <c r="C125">
        <v>28</v>
      </c>
      <c r="D125">
        <v>5</v>
      </c>
      <c r="F125" s="19">
        <f t="shared" si="9"/>
        <v>35.714285714285715</v>
      </c>
      <c r="G125" s="19">
        <f t="shared" si="5"/>
        <v>5.7224088378709393E-5</v>
      </c>
      <c r="H125" s="19">
        <f t="shared" si="6"/>
        <v>1.634973953677411E-5</v>
      </c>
      <c r="N125" s="5">
        <v>9.5000000000000001E-2</v>
      </c>
      <c r="P125" s="5">
        <v>0.19670000000000001</v>
      </c>
      <c r="T125" s="19">
        <f t="shared" si="7"/>
        <v>1.1936464504467757E-12</v>
      </c>
      <c r="U125" s="81">
        <f t="shared" si="8"/>
        <v>6.183009128855903</v>
      </c>
      <c r="V125" s="30"/>
      <c r="W125" s="23"/>
      <c r="Z125" s="23"/>
      <c r="AA125" s="23"/>
    </row>
    <row r="126" spans="1:27">
      <c r="A126" t="s">
        <v>586</v>
      </c>
      <c r="B126" t="s">
        <v>587</v>
      </c>
      <c r="C126">
        <v>2.7</v>
      </c>
      <c r="D126">
        <v>5</v>
      </c>
      <c r="F126" s="19">
        <f t="shared" si="9"/>
        <v>370.37037037037032</v>
      </c>
      <c r="G126" s="19">
        <f t="shared" si="5"/>
        <v>5.9343499059402326E-4</v>
      </c>
      <c r="H126" s="19">
        <f t="shared" si="6"/>
        <v>1.695528544554352E-4</v>
      </c>
      <c r="N126" s="5">
        <v>0.10199999999999999</v>
      </c>
      <c r="P126" s="5">
        <v>0.10545</v>
      </c>
      <c r="T126" s="19">
        <f t="shared" si="7"/>
        <v>1.2378555782411003E-11</v>
      </c>
      <c r="U126" s="81">
        <f t="shared" si="8"/>
        <v>58.466127078437793</v>
      </c>
      <c r="V126" s="30"/>
      <c r="W126" s="23"/>
      <c r="Z126" s="23"/>
      <c r="AA126" s="23"/>
    </row>
    <row r="127" spans="1:27">
      <c r="A127" s="9" t="s">
        <v>588</v>
      </c>
      <c r="B127" t="s">
        <v>589</v>
      </c>
      <c r="C127">
        <v>136</v>
      </c>
      <c r="D127">
        <v>5</v>
      </c>
      <c r="F127" s="19">
        <f t="shared" si="9"/>
        <v>7.3529411764705879</v>
      </c>
      <c r="G127" s="19">
        <f t="shared" si="5"/>
        <v>1.1781429960322523E-5</v>
      </c>
      <c r="H127" s="19">
        <f t="shared" si="6"/>
        <v>3.3661228458064347E-6</v>
      </c>
      <c r="T127" s="19">
        <f t="shared" si="7"/>
        <v>2.4575073979786554E-13</v>
      </c>
      <c r="U127" s="81">
        <f t="shared" si="8"/>
        <v>1.1482293087473874</v>
      </c>
      <c r="V127" s="30"/>
      <c r="W127" s="23"/>
      <c r="Z127" s="23"/>
      <c r="AA127" s="23"/>
    </row>
    <row r="128" spans="1:27">
      <c r="A128" s="9" t="s">
        <v>590</v>
      </c>
      <c r="B128" t="s">
        <v>591</v>
      </c>
      <c r="C128">
        <v>800</v>
      </c>
      <c r="D128">
        <v>5</v>
      </c>
      <c r="F128" s="19">
        <f t="shared" si="9"/>
        <v>1.25</v>
      </c>
      <c r="G128" s="19">
        <f t="shared" si="5"/>
        <v>2.0028430932548286E-6</v>
      </c>
      <c r="H128" s="19">
        <f t="shared" si="6"/>
        <v>5.722408837870939E-7</v>
      </c>
      <c r="N128" s="5">
        <v>0.112</v>
      </c>
      <c r="P128" s="5">
        <v>0.1154</v>
      </c>
      <c r="T128" s="19">
        <f t="shared" si="7"/>
        <v>4.1777625765637141E-14</v>
      </c>
      <c r="U128" s="81">
        <f t="shared" si="8"/>
        <v>0.88621791378476578</v>
      </c>
      <c r="V128" s="30"/>
      <c r="W128" s="23"/>
      <c r="Z128" s="23"/>
      <c r="AA128" s="23"/>
    </row>
    <row r="129" spans="1:27">
      <c r="A129" s="9" t="s">
        <v>592</v>
      </c>
      <c r="B129" t="s">
        <v>593</v>
      </c>
      <c r="C129">
        <v>350</v>
      </c>
      <c r="D129">
        <v>5</v>
      </c>
      <c r="F129" s="19">
        <f t="shared" si="9"/>
        <v>2.8571428571428572</v>
      </c>
      <c r="G129" s="19">
        <f t="shared" si="5"/>
        <v>4.5779270702967512E-6</v>
      </c>
      <c r="H129" s="19">
        <f t="shared" si="6"/>
        <v>1.3079791629419288E-6</v>
      </c>
      <c r="T129" s="19">
        <f t="shared" si="7"/>
        <v>9.549171603574205E-14</v>
      </c>
      <c r="U129" s="81">
        <f t="shared" si="8"/>
        <v>0.44616910282755617</v>
      </c>
      <c r="V129" s="30"/>
      <c r="W129" s="23"/>
      <c r="Z129" s="23"/>
      <c r="AA129" s="23"/>
    </row>
    <row r="130" spans="1:27">
      <c r="A130" s="9" t="s">
        <v>594</v>
      </c>
      <c r="B130" t="s">
        <v>595</v>
      </c>
      <c r="C130">
        <v>1150</v>
      </c>
      <c r="D130">
        <v>5</v>
      </c>
      <c r="F130" s="19">
        <f t="shared" si="9"/>
        <v>0.86956521739130443</v>
      </c>
      <c r="G130" s="19">
        <f t="shared" ref="G130:G193" si="10">18000/3700000000*35*F130/averagepesticidepotency</f>
        <v>1.3932821518294464E-6</v>
      </c>
      <c r="H130" s="19">
        <f t="shared" ref="H130:H193" si="11">9000000*0.02/3700000000*F130/averagepesticidepotency</f>
        <v>3.980806148084132E-7</v>
      </c>
      <c r="P130" s="5">
        <v>0.1263</v>
      </c>
      <c r="T130" s="19">
        <f t="shared" ref="T130:T193" si="12">0.008382/2360000000*F130/averagepesticidepotency</f>
        <v>2.9062696184791057E-14</v>
      </c>
      <c r="U130" s="81">
        <f t="shared" ref="U130:U193" si="13">G130*YLLvalue+H130*poisoningvalue+I130*As_orevalue+J130*Cu_orevalue+K130*F_orevalue+L130*Hg_orevalue+M130*I_orevalue+N130*P_orevalue+O130*Pb_orevalue+P130*S_orevalue+Q130*Sn_orevalue+R130*Tl_orevalue+S130*Zn_orevalue+T130*speciesvalue</f>
        <v>0.16105059651273451</v>
      </c>
      <c r="V130" s="30"/>
      <c r="W130" s="23"/>
      <c r="Z130" s="23"/>
      <c r="AA130" s="23"/>
    </row>
    <row r="131" spans="1:27">
      <c r="A131" s="9" t="s">
        <v>596</v>
      </c>
      <c r="B131" t="s">
        <v>597</v>
      </c>
      <c r="C131">
        <v>18</v>
      </c>
      <c r="D131">
        <v>5</v>
      </c>
      <c r="F131" s="19">
        <f t="shared" ref="F131:F194" si="14">1/C131*1000</f>
        <v>55.55555555555555</v>
      </c>
      <c r="G131" s="19">
        <f t="shared" si="10"/>
        <v>8.9015248589103499E-5</v>
      </c>
      <c r="H131" s="19">
        <f t="shared" si="11"/>
        <v>2.5432928168315281E-5</v>
      </c>
      <c r="T131" s="19">
        <f t="shared" si="12"/>
        <v>1.8567833673616507E-12</v>
      </c>
      <c r="U131" s="81">
        <f t="shared" si="13"/>
        <v>8.6755103327580372</v>
      </c>
      <c r="V131" s="30"/>
      <c r="W131" s="23"/>
      <c r="Z131" s="23"/>
      <c r="AA131" s="23"/>
    </row>
    <row r="132" spans="1:27">
      <c r="A132" s="9" t="s">
        <v>598</v>
      </c>
      <c r="B132" t="s">
        <v>599</v>
      </c>
      <c r="C132">
        <v>1452</v>
      </c>
      <c r="D132">
        <v>5</v>
      </c>
      <c r="F132" s="19">
        <f t="shared" si="14"/>
        <v>0.68870523415977969</v>
      </c>
      <c r="G132" s="19">
        <f t="shared" si="10"/>
        <v>1.1034948172202915E-6</v>
      </c>
      <c r="H132" s="19">
        <f t="shared" si="11"/>
        <v>3.1528423349151184E-7</v>
      </c>
      <c r="T132" s="19">
        <f t="shared" si="12"/>
        <v>2.3017975628450219E-14</v>
      </c>
      <c r="U132" s="81">
        <f t="shared" si="13"/>
        <v>0.10754764875319882</v>
      </c>
      <c r="V132" s="30"/>
      <c r="W132" s="23"/>
      <c r="Z132" s="23"/>
      <c r="AA132" s="23"/>
    </row>
    <row r="133" spans="1:27">
      <c r="A133" s="9" t="s">
        <v>600</v>
      </c>
      <c r="B133" t="s">
        <v>601</v>
      </c>
      <c r="C133">
        <v>245</v>
      </c>
      <c r="D133">
        <v>5</v>
      </c>
      <c r="F133" s="19">
        <f t="shared" si="14"/>
        <v>4.0816326530612246</v>
      </c>
      <c r="G133" s="19">
        <f t="shared" si="10"/>
        <v>6.5398958147096452E-6</v>
      </c>
      <c r="H133" s="19">
        <f t="shared" si="11"/>
        <v>1.8685416613456128E-6</v>
      </c>
      <c r="T133" s="19">
        <f t="shared" si="12"/>
        <v>1.364167371939172E-13</v>
      </c>
      <c r="U133" s="81">
        <f t="shared" si="13"/>
        <v>0.63738443261079458</v>
      </c>
      <c r="V133" s="30"/>
      <c r="W133" s="23"/>
      <c r="Z133" s="23"/>
      <c r="AA133" s="23"/>
    </row>
    <row r="134" spans="1:27">
      <c r="A134" s="9" t="s">
        <v>602</v>
      </c>
      <c r="B134" t="s">
        <v>603</v>
      </c>
      <c r="C134">
        <v>180</v>
      </c>
      <c r="D134">
        <v>5</v>
      </c>
      <c r="F134" s="19">
        <f t="shared" si="14"/>
        <v>5.5555555555555554</v>
      </c>
      <c r="G134" s="19">
        <f t="shared" si="10"/>
        <v>8.9015248589103499E-6</v>
      </c>
      <c r="H134" s="19">
        <f t="shared" si="11"/>
        <v>2.5432928168315285E-6</v>
      </c>
      <c r="N134" s="5">
        <v>0.111</v>
      </c>
      <c r="P134" s="5">
        <v>0.23</v>
      </c>
      <c r="T134" s="19">
        <f t="shared" si="12"/>
        <v>1.8567833673616509E-13</v>
      </c>
      <c r="U134" s="81">
        <f t="shared" si="13"/>
        <v>1.5755262241154986</v>
      </c>
      <c r="V134" s="30"/>
      <c r="W134" s="23"/>
      <c r="Z134" s="23"/>
      <c r="AA134" s="23"/>
    </row>
    <row r="135" spans="1:27">
      <c r="A135" s="9" t="s">
        <v>604</v>
      </c>
      <c r="B135" t="s">
        <v>605</v>
      </c>
      <c r="C135">
        <v>125</v>
      </c>
      <c r="D135">
        <v>5</v>
      </c>
      <c r="F135" s="19">
        <f t="shared" si="14"/>
        <v>8</v>
      </c>
      <c r="G135" s="19">
        <f t="shared" si="10"/>
        <v>1.2818195796830904E-5</v>
      </c>
      <c r="H135" s="19">
        <f t="shared" si="11"/>
        <v>3.6623416562374009E-6</v>
      </c>
      <c r="Q135" s="5">
        <v>0.28999999999999998</v>
      </c>
      <c r="T135" s="19">
        <f t="shared" si="12"/>
        <v>2.6737680490007773E-13</v>
      </c>
      <c r="U135" s="81">
        <f t="shared" si="13"/>
        <v>576.64609888474251</v>
      </c>
      <c r="V135" s="30"/>
      <c r="W135" s="23"/>
      <c r="Z135" s="23"/>
      <c r="AA135" s="23"/>
    </row>
    <row r="136" spans="1:27">
      <c r="A136" t="s">
        <v>606</v>
      </c>
      <c r="B136" t="s">
        <v>607</v>
      </c>
      <c r="C136">
        <v>171</v>
      </c>
      <c r="D136">
        <v>5</v>
      </c>
      <c r="F136" s="19">
        <f t="shared" si="14"/>
        <v>5.8479532163742682</v>
      </c>
      <c r="G136" s="19">
        <f t="shared" si="10"/>
        <v>9.3700261672740514E-6</v>
      </c>
      <c r="H136" s="19">
        <f t="shared" si="11"/>
        <v>2.6771503335068718E-6</v>
      </c>
      <c r="Q136" s="5">
        <v>0.32300000000000001</v>
      </c>
      <c r="T136" s="19">
        <f t="shared" si="12"/>
        <v>1.954508807749106E-13</v>
      </c>
      <c r="U136" s="81">
        <f t="shared" si="13"/>
        <v>641.78622748699024</v>
      </c>
      <c r="V136" s="30"/>
      <c r="W136" s="23"/>
      <c r="Z136" s="23"/>
      <c r="AA136" s="23"/>
    </row>
    <row r="137" spans="1:27">
      <c r="A137" s="9" t="s">
        <v>608</v>
      </c>
      <c r="B137" t="s">
        <v>609</v>
      </c>
      <c r="C137">
        <v>70.2</v>
      </c>
      <c r="D137">
        <v>5</v>
      </c>
      <c r="F137" s="19">
        <f t="shared" si="14"/>
        <v>14.245014245014245</v>
      </c>
      <c r="G137" s="19">
        <f t="shared" si="10"/>
        <v>2.2824422715154747E-5</v>
      </c>
      <c r="H137" s="19">
        <f t="shared" si="11"/>
        <v>6.5212636329013548E-6</v>
      </c>
      <c r="T137" s="19">
        <f t="shared" si="12"/>
        <v>4.7609829932350014E-13</v>
      </c>
      <c r="U137" s="81">
        <f t="shared" si="13"/>
        <v>2.2244898289123172</v>
      </c>
      <c r="V137" s="30"/>
      <c r="W137" s="23"/>
      <c r="Z137" s="23"/>
      <c r="AA137" s="23"/>
    </row>
    <row r="138" spans="1:27">
      <c r="A138" s="9" t="s">
        <v>610</v>
      </c>
      <c r="B138" t="s">
        <v>611</v>
      </c>
      <c r="C138">
        <v>525</v>
      </c>
      <c r="D138">
        <v>5</v>
      </c>
      <c r="F138" s="19">
        <f t="shared" si="14"/>
        <v>1.9047619047619047</v>
      </c>
      <c r="G138" s="19">
        <f t="shared" si="10"/>
        <v>3.0519513801978338E-6</v>
      </c>
      <c r="H138" s="19">
        <f t="shared" si="11"/>
        <v>8.7198610862795262E-7</v>
      </c>
      <c r="T138" s="19">
        <f t="shared" si="12"/>
        <v>6.3661144023828016E-14</v>
      </c>
      <c r="U138" s="81">
        <f t="shared" si="13"/>
        <v>0.29744606855170408</v>
      </c>
      <c r="V138" s="30"/>
      <c r="W138" s="23"/>
      <c r="Z138" s="23"/>
      <c r="AA138" s="23"/>
    </row>
    <row r="139" spans="1:27">
      <c r="A139" s="9" t="s">
        <v>612</v>
      </c>
      <c r="B139" t="s">
        <v>613</v>
      </c>
      <c r="C139">
        <v>97</v>
      </c>
      <c r="D139">
        <v>5</v>
      </c>
      <c r="F139" s="19">
        <f t="shared" si="14"/>
        <v>10.309278350515465</v>
      </c>
      <c r="G139" s="19">
        <f t="shared" si="10"/>
        <v>1.6518293552617144E-5</v>
      </c>
      <c r="H139" s="19">
        <f t="shared" si="11"/>
        <v>4.7195124436048982E-6</v>
      </c>
      <c r="K139" s="5">
        <v>0.26079999999999998</v>
      </c>
      <c r="P139" s="5">
        <v>7.3200000000000001E-2</v>
      </c>
      <c r="T139" s="19">
        <f t="shared" si="12"/>
        <v>3.4455773827329604E-13</v>
      </c>
      <c r="U139" s="81">
        <f t="shared" si="13"/>
        <v>3.4535231293607525</v>
      </c>
      <c r="V139" s="30"/>
      <c r="W139" s="23"/>
      <c r="Z139" s="23"/>
      <c r="AA139" s="23"/>
    </row>
    <row r="140" spans="1:27">
      <c r="A140" s="9" t="s">
        <v>614</v>
      </c>
      <c r="B140" t="s">
        <v>615</v>
      </c>
      <c r="C140">
        <v>0.25</v>
      </c>
      <c r="D140">
        <v>5</v>
      </c>
      <c r="F140" s="19">
        <f t="shared" si="14"/>
        <v>4000</v>
      </c>
      <c r="G140" s="19">
        <f t="shared" si="10"/>
        <v>6.4090978984154522E-3</v>
      </c>
      <c r="H140" s="19">
        <f t="shared" si="11"/>
        <v>1.8311708281187004E-3</v>
      </c>
      <c r="K140" s="5">
        <v>0.1051</v>
      </c>
      <c r="T140" s="19">
        <f t="shared" si="12"/>
        <v>1.3368840245003886E-10</v>
      </c>
      <c r="U140" s="81">
        <f t="shared" si="13"/>
        <v>625.37381195678347</v>
      </c>
      <c r="V140" s="30"/>
      <c r="W140" s="23"/>
      <c r="Z140" s="23"/>
      <c r="AA140" s="23"/>
    </row>
    <row r="141" spans="1:27">
      <c r="A141" s="9" t="s">
        <v>616</v>
      </c>
      <c r="B141" t="s">
        <v>617</v>
      </c>
      <c r="C141">
        <v>2940</v>
      </c>
      <c r="D141">
        <v>5</v>
      </c>
      <c r="F141" s="19">
        <f t="shared" si="14"/>
        <v>0.3401360544217687</v>
      </c>
      <c r="G141" s="19">
        <f t="shared" si="10"/>
        <v>5.4499131789247047E-7</v>
      </c>
      <c r="H141" s="19">
        <f t="shared" si="11"/>
        <v>1.557118051121344E-7</v>
      </c>
      <c r="K141" s="5">
        <v>0.16020000000000001</v>
      </c>
      <c r="T141" s="19">
        <f t="shared" si="12"/>
        <v>1.1368061432826434E-14</v>
      </c>
      <c r="U141" s="81">
        <f t="shared" si="13"/>
        <v>1.1766005578941072</v>
      </c>
      <c r="V141" s="30"/>
      <c r="W141" s="23"/>
      <c r="Z141" s="23"/>
      <c r="AA141" s="23"/>
    </row>
    <row r="142" spans="1:27">
      <c r="A142" s="9" t="s">
        <v>618</v>
      </c>
      <c r="B142" t="s">
        <v>619</v>
      </c>
      <c r="C142">
        <v>67</v>
      </c>
      <c r="D142">
        <v>5</v>
      </c>
      <c r="F142" s="19">
        <f t="shared" si="14"/>
        <v>14.925373134328359</v>
      </c>
      <c r="G142" s="19">
        <f t="shared" si="10"/>
        <v>2.3914544397072583E-5</v>
      </c>
      <c r="H142" s="19">
        <f t="shared" si="11"/>
        <v>6.8327269705921658E-6</v>
      </c>
      <c r="K142" s="5">
        <v>8.4199999999999997E-2</v>
      </c>
      <c r="T142" s="19">
        <f t="shared" si="12"/>
        <v>4.9883732257477187E-13</v>
      </c>
      <c r="U142" s="81">
        <f t="shared" si="13"/>
        <v>2.9212300797511213</v>
      </c>
      <c r="V142" s="30"/>
      <c r="W142" s="23"/>
      <c r="Z142" s="23"/>
      <c r="AA142" s="23"/>
    </row>
    <row r="143" spans="1:27">
      <c r="A143" t="s">
        <v>620</v>
      </c>
      <c r="B143" t="s">
        <v>621</v>
      </c>
      <c r="C143">
        <v>818</v>
      </c>
      <c r="D143">
        <v>5</v>
      </c>
      <c r="F143" s="19">
        <f t="shared" si="14"/>
        <v>1.2224938875305624</v>
      </c>
      <c r="G143" s="19">
        <f t="shared" si="10"/>
        <v>1.958770751349466E-6</v>
      </c>
      <c r="H143" s="19">
        <f t="shared" si="11"/>
        <v>5.5964878609984735E-7</v>
      </c>
      <c r="K143" s="5">
        <v>0.20918</v>
      </c>
      <c r="P143" s="5">
        <v>8.8010000000000005E-2</v>
      </c>
      <c r="T143" s="19">
        <f t="shared" si="12"/>
        <v>4.085831370722459E-14</v>
      </c>
      <c r="U143" s="81">
        <f t="shared" si="13"/>
        <v>1.6754883702822756</v>
      </c>
      <c r="V143" s="30"/>
      <c r="W143" s="23"/>
      <c r="Z143" s="23"/>
      <c r="AA143" s="23"/>
    </row>
    <row r="144" spans="1:27">
      <c r="A144" t="s">
        <v>622</v>
      </c>
      <c r="B144" t="s">
        <v>623</v>
      </c>
      <c r="C144">
        <v>5.75</v>
      </c>
      <c r="D144">
        <v>5</v>
      </c>
      <c r="F144" s="19">
        <f t="shared" si="14"/>
        <v>173.91304347826087</v>
      </c>
      <c r="G144" s="19">
        <f t="shared" si="10"/>
        <v>2.7865643036588926E-4</v>
      </c>
      <c r="H144" s="19">
        <f t="shared" si="11"/>
        <v>7.9616122961682629E-5</v>
      </c>
      <c r="K144" s="5">
        <v>0.24660000000000001</v>
      </c>
      <c r="T144" s="19">
        <f t="shared" si="12"/>
        <v>5.8125392369582118E-12</v>
      </c>
      <c r="U144" s="81">
        <f t="shared" si="13"/>
        <v>28.887529087107048</v>
      </c>
      <c r="V144" s="30"/>
      <c r="W144" s="23"/>
      <c r="Z144" s="23"/>
      <c r="AA144" s="23"/>
    </row>
    <row r="145" spans="1:27">
      <c r="A145" t="s">
        <v>624</v>
      </c>
      <c r="B145" t="s">
        <v>625</v>
      </c>
      <c r="C145">
        <v>1500</v>
      </c>
      <c r="D145">
        <v>5</v>
      </c>
      <c r="F145" s="19">
        <f t="shared" si="14"/>
        <v>0.66666666666666663</v>
      </c>
      <c r="G145" s="19">
        <f t="shared" si="10"/>
        <v>1.068182983069242E-6</v>
      </c>
      <c r="H145" s="19">
        <f t="shared" si="11"/>
        <v>3.0519513801978341E-7</v>
      </c>
      <c r="K145" s="5">
        <v>0.1358</v>
      </c>
      <c r="T145" s="19">
        <f t="shared" si="12"/>
        <v>2.228140040833981E-14</v>
      </c>
      <c r="U145" s="81">
        <f t="shared" si="13"/>
        <v>1.0564737182480337</v>
      </c>
      <c r="V145" s="30"/>
      <c r="W145" s="23"/>
      <c r="Z145" s="23"/>
      <c r="AA145" s="23"/>
    </row>
    <row r="146" spans="1:27">
      <c r="A146" t="s">
        <v>626</v>
      </c>
      <c r="B146" t="s">
        <v>627</v>
      </c>
      <c r="C146">
        <v>709</v>
      </c>
      <c r="D146">
        <v>5</v>
      </c>
      <c r="F146" s="19">
        <f t="shared" si="14"/>
        <v>1.4104372355430184</v>
      </c>
      <c r="G146" s="19">
        <f t="shared" si="10"/>
        <v>2.2599075805414147E-6</v>
      </c>
      <c r="H146" s="19">
        <f t="shared" si="11"/>
        <v>6.4568788015468991E-7</v>
      </c>
      <c r="K146" s="5">
        <v>0.1825</v>
      </c>
      <c r="T146" s="19">
        <f t="shared" si="12"/>
        <v>4.7139775193948823E-14</v>
      </c>
      <c r="U146" s="81">
        <f t="shared" si="13"/>
        <v>1.5001281794249166</v>
      </c>
      <c r="V146" s="30"/>
      <c r="W146" s="23"/>
      <c r="Z146" s="23"/>
      <c r="AA146" s="23"/>
    </row>
    <row r="147" spans="1:27">
      <c r="A147" t="s">
        <v>628</v>
      </c>
      <c r="B147" t="s">
        <v>629</v>
      </c>
      <c r="C147">
        <v>674</v>
      </c>
      <c r="D147">
        <v>5</v>
      </c>
      <c r="F147" s="19">
        <f t="shared" si="14"/>
        <v>1.4836795252225521</v>
      </c>
      <c r="G147" s="19">
        <f t="shared" si="10"/>
        <v>2.3772618317564739E-6</v>
      </c>
      <c r="H147" s="19">
        <f t="shared" si="11"/>
        <v>6.7921766621613519E-7</v>
      </c>
      <c r="K147" s="5">
        <v>0.1205</v>
      </c>
      <c r="T147" s="19">
        <f t="shared" si="12"/>
        <v>4.9587686368708778E-14</v>
      </c>
      <c r="U147" s="81">
        <f t="shared" si="13"/>
        <v>1.0767586339659583</v>
      </c>
      <c r="V147" s="30"/>
      <c r="W147" s="23"/>
      <c r="Z147" s="23"/>
      <c r="AA147" s="23"/>
    </row>
    <row r="148" spans="1:27">
      <c r="A148" t="s">
        <v>630</v>
      </c>
      <c r="B148" t="s">
        <v>631</v>
      </c>
      <c r="C148">
        <v>1310</v>
      </c>
      <c r="D148">
        <v>5</v>
      </c>
      <c r="F148" s="19">
        <f t="shared" si="14"/>
        <v>0.76335877862595414</v>
      </c>
      <c r="G148" s="19">
        <f t="shared" si="10"/>
        <v>1.2231102859571472E-6</v>
      </c>
      <c r="H148" s="19">
        <f t="shared" si="11"/>
        <v>3.4946008170204207E-7</v>
      </c>
      <c r="K148" s="5">
        <v>0.12612000000000001</v>
      </c>
      <c r="T148" s="19">
        <f t="shared" si="12"/>
        <v>2.551305390267917E-14</v>
      </c>
      <c r="U148" s="81">
        <f t="shared" si="13"/>
        <v>1.00368708333388</v>
      </c>
      <c r="V148" s="30"/>
      <c r="W148" s="23"/>
      <c r="Z148" s="23"/>
      <c r="AA148" s="23"/>
    </row>
    <row r="149" spans="1:27">
      <c r="A149" t="s">
        <v>632</v>
      </c>
      <c r="B149" t="s">
        <v>633</v>
      </c>
      <c r="C149">
        <v>669</v>
      </c>
      <c r="D149">
        <v>5</v>
      </c>
      <c r="F149" s="19">
        <f t="shared" si="14"/>
        <v>1.4947683109118086</v>
      </c>
      <c r="G149" s="19">
        <f t="shared" si="10"/>
        <v>2.3950291100207221E-6</v>
      </c>
      <c r="H149" s="19">
        <f t="shared" si="11"/>
        <v>6.8429403143449202E-7</v>
      </c>
      <c r="K149" s="5">
        <v>0.18407000000000001</v>
      </c>
      <c r="T149" s="19">
        <f t="shared" si="12"/>
        <v>4.9958296879685667E-14</v>
      </c>
      <c r="U149" s="81">
        <f t="shared" si="13"/>
        <v>1.5243076868761816</v>
      </c>
      <c r="V149" s="30"/>
      <c r="W149" s="23"/>
      <c r="Z149" s="23"/>
      <c r="AA149" s="23"/>
    </row>
    <row r="150" spans="1:27">
      <c r="A150" t="s">
        <v>634</v>
      </c>
      <c r="B150" t="s">
        <v>635</v>
      </c>
      <c r="C150">
        <v>1250</v>
      </c>
      <c r="D150">
        <v>5</v>
      </c>
      <c r="F150" s="19">
        <f t="shared" si="14"/>
        <v>0.8</v>
      </c>
      <c r="G150" s="19">
        <f t="shared" si="10"/>
        <v>1.2818195796830905E-6</v>
      </c>
      <c r="H150" s="19">
        <f t="shared" si="11"/>
        <v>3.6623416562374012E-7</v>
      </c>
      <c r="K150" s="5">
        <v>0.12989999999999999</v>
      </c>
      <c r="P150" s="5">
        <v>7.2929999999999995E-2</v>
      </c>
      <c r="T150" s="19">
        <f t="shared" si="12"/>
        <v>2.6737680490007773E-14</v>
      </c>
      <c r="U150" s="81">
        <f t="shared" si="13"/>
        <v>1.0505041477145163</v>
      </c>
      <c r="V150" s="30"/>
      <c r="W150" s="23"/>
      <c r="Z150" s="23"/>
      <c r="AA150" s="23"/>
    </row>
    <row r="151" spans="1:27">
      <c r="A151" t="s">
        <v>636</v>
      </c>
      <c r="B151" t="s">
        <v>637</v>
      </c>
      <c r="C151">
        <v>20</v>
      </c>
      <c r="D151">
        <v>5</v>
      </c>
      <c r="F151" s="19">
        <f t="shared" si="14"/>
        <v>50</v>
      </c>
      <c r="G151" s="19">
        <f t="shared" si="10"/>
        <v>8.0113723730193149E-5</v>
      </c>
      <c r="H151" s="19">
        <f t="shared" si="11"/>
        <v>2.2889635351483756E-5</v>
      </c>
      <c r="T151" s="19">
        <f t="shared" si="12"/>
        <v>1.6711050306254858E-12</v>
      </c>
      <c r="U151" s="81">
        <f t="shared" si="13"/>
        <v>7.807959299482234</v>
      </c>
      <c r="V151" s="30"/>
      <c r="W151" s="23"/>
      <c r="Z151" s="23"/>
      <c r="AA151" s="23"/>
    </row>
    <row r="152" spans="1:27">
      <c r="A152" t="s">
        <v>638</v>
      </c>
      <c r="B152" t="s">
        <v>639</v>
      </c>
      <c r="C152">
        <v>500</v>
      </c>
      <c r="D152">
        <v>5</v>
      </c>
      <c r="F152" s="19">
        <f t="shared" si="14"/>
        <v>2</v>
      </c>
      <c r="G152" s="19">
        <f t="shared" si="10"/>
        <v>3.2045489492077259E-6</v>
      </c>
      <c r="H152" s="19">
        <f t="shared" si="11"/>
        <v>9.1558541405935022E-7</v>
      </c>
      <c r="T152" s="19">
        <f t="shared" si="12"/>
        <v>6.6844201225019434E-14</v>
      </c>
      <c r="U152" s="81">
        <f t="shared" si="13"/>
        <v>0.31231837197928936</v>
      </c>
      <c r="V152" s="30"/>
      <c r="W152" s="23"/>
      <c r="Z152" s="23"/>
      <c r="AA152" s="23"/>
    </row>
    <row r="153" spans="1:27">
      <c r="A153" t="s">
        <v>640</v>
      </c>
      <c r="B153" t="s">
        <v>641</v>
      </c>
      <c r="C153">
        <v>940</v>
      </c>
      <c r="D153">
        <v>5</v>
      </c>
      <c r="F153" s="19">
        <f t="shared" si="14"/>
        <v>1.0638297872340425</v>
      </c>
      <c r="G153" s="19">
        <f t="shared" si="10"/>
        <v>1.7045473134083649E-6</v>
      </c>
      <c r="H153" s="19">
        <f t="shared" si="11"/>
        <v>4.8701351811667569E-7</v>
      </c>
      <c r="T153" s="19">
        <f t="shared" si="12"/>
        <v>3.5555426183520972E-14</v>
      </c>
      <c r="U153" s="81">
        <f t="shared" si="13"/>
        <v>0.16612679360600496</v>
      </c>
      <c r="V153" s="30"/>
      <c r="W153" s="23"/>
      <c r="Z153" s="23"/>
      <c r="AA153" s="23"/>
    </row>
    <row r="154" spans="1:27">
      <c r="A154" t="s">
        <v>642</v>
      </c>
      <c r="B154" t="s">
        <v>643</v>
      </c>
      <c r="C154">
        <v>53</v>
      </c>
      <c r="D154">
        <v>5</v>
      </c>
      <c r="F154" s="19">
        <f t="shared" si="14"/>
        <v>18.867924528301884</v>
      </c>
      <c r="G154" s="19">
        <f t="shared" si="10"/>
        <v>3.0231593860450242E-5</v>
      </c>
      <c r="H154" s="19">
        <f t="shared" si="11"/>
        <v>8.6375982458429252E-6</v>
      </c>
      <c r="P154" s="5">
        <v>8.3699999999999997E-2</v>
      </c>
      <c r="T154" s="19">
        <f t="shared" si="12"/>
        <v>6.3060567193414543E-13</v>
      </c>
      <c r="U154" s="81">
        <f t="shared" si="13"/>
        <v>2.9631397356536731</v>
      </c>
      <c r="V154" s="30"/>
      <c r="W154" s="23"/>
      <c r="Z154" s="23"/>
      <c r="AA154" s="23"/>
    </row>
    <row r="155" spans="1:27">
      <c r="A155" t="s">
        <v>644</v>
      </c>
      <c r="B155" t="s">
        <v>645</v>
      </c>
      <c r="C155">
        <v>177</v>
      </c>
      <c r="D155">
        <v>5</v>
      </c>
      <c r="F155" s="19">
        <f t="shared" si="14"/>
        <v>5.6497175141242941</v>
      </c>
      <c r="G155" s="19">
        <f t="shared" si="10"/>
        <v>9.0523981616037468E-6</v>
      </c>
      <c r="H155" s="19">
        <f t="shared" si="11"/>
        <v>2.5863994747439274E-6</v>
      </c>
      <c r="T155" s="19">
        <f t="shared" si="12"/>
        <v>1.8882542718932044E-13</v>
      </c>
      <c r="U155" s="81">
        <f t="shared" si="13"/>
        <v>0.88225528807708864</v>
      </c>
      <c r="V155" s="30"/>
      <c r="W155" s="23"/>
      <c r="Z155" s="23"/>
      <c r="AA155" s="23"/>
    </row>
    <row r="156" spans="1:27">
      <c r="A156" t="s">
        <v>646</v>
      </c>
      <c r="B156" t="s">
        <v>647</v>
      </c>
      <c r="C156">
        <v>1620</v>
      </c>
      <c r="D156">
        <v>5</v>
      </c>
      <c r="F156" s="19">
        <f t="shared" si="14"/>
        <v>0.61728395061728392</v>
      </c>
      <c r="G156" s="19">
        <f t="shared" si="10"/>
        <v>9.8905831765670557E-7</v>
      </c>
      <c r="H156" s="19">
        <f t="shared" si="11"/>
        <v>2.8258809075905867E-7</v>
      </c>
      <c r="N156" s="5">
        <v>0.156</v>
      </c>
      <c r="T156" s="19">
        <f t="shared" si="12"/>
        <v>2.0630926304018341E-14</v>
      </c>
      <c r="U156" s="81">
        <f t="shared" si="13"/>
        <v>1.0267380707032487</v>
      </c>
      <c r="V156" s="30"/>
      <c r="W156" s="23"/>
      <c r="Z156" s="23"/>
      <c r="AA156" s="23"/>
    </row>
    <row r="157" spans="1:27">
      <c r="A157" t="s">
        <v>648</v>
      </c>
      <c r="B157" s="9" t="s">
        <v>649</v>
      </c>
      <c r="C157">
        <v>280</v>
      </c>
      <c r="D157">
        <v>5</v>
      </c>
      <c r="F157" s="19">
        <f t="shared" si="14"/>
        <v>3.5714285714285712</v>
      </c>
      <c r="G157" s="19">
        <f t="shared" si="10"/>
        <v>5.722408837870939E-6</v>
      </c>
      <c r="H157" s="19">
        <f t="shared" si="11"/>
        <v>1.6349739536774111E-6</v>
      </c>
      <c r="T157" s="19">
        <f t="shared" si="12"/>
        <v>1.1936464504467755E-13</v>
      </c>
      <c r="U157" s="81">
        <f t="shared" si="13"/>
        <v>0.5577113785344453</v>
      </c>
      <c r="V157" s="30"/>
      <c r="W157" s="23"/>
      <c r="Z157" s="23"/>
      <c r="AA157" s="23"/>
    </row>
    <row r="158" spans="1:27">
      <c r="A158" t="s">
        <v>650</v>
      </c>
      <c r="B158" t="s">
        <v>651</v>
      </c>
      <c r="C158">
        <v>2150</v>
      </c>
      <c r="D158">
        <v>5</v>
      </c>
      <c r="F158" s="19">
        <f t="shared" si="14"/>
        <v>0.46511627906976749</v>
      </c>
      <c r="G158" s="19">
        <f t="shared" si="10"/>
        <v>7.4524394167621544E-7</v>
      </c>
      <c r="H158" s="19">
        <f t="shared" si="11"/>
        <v>2.1292684047891869E-7</v>
      </c>
      <c r="K158" s="5">
        <v>0.15759999999999999</v>
      </c>
      <c r="T158" s="19">
        <f t="shared" si="12"/>
        <v>1.5545163075585917E-14</v>
      </c>
      <c r="U158" s="81">
        <f t="shared" si="13"/>
        <v>1.1778835260291696</v>
      </c>
      <c r="V158" s="30"/>
      <c r="W158" s="23"/>
      <c r="Z158" s="23"/>
      <c r="AA158" s="23"/>
    </row>
    <row r="159" spans="1:27">
      <c r="A159" t="s">
        <v>652</v>
      </c>
      <c r="B159" t="s">
        <v>653</v>
      </c>
      <c r="C159">
        <v>139</v>
      </c>
      <c r="D159">
        <v>5</v>
      </c>
      <c r="E159" t="s">
        <v>654</v>
      </c>
      <c r="F159" s="19">
        <f t="shared" si="14"/>
        <v>7.1942446043165473</v>
      </c>
      <c r="G159" s="19">
        <f t="shared" si="10"/>
        <v>1.1527154493552974E-5</v>
      </c>
      <c r="H159" s="19">
        <f t="shared" si="11"/>
        <v>3.2934727124437064E-6</v>
      </c>
      <c r="T159" s="19">
        <f t="shared" si="12"/>
        <v>2.4044676699647278E-13</v>
      </c>
      <c r="U159" s="81">
        <f t="shared" si="13"/>
        <v>1.1234473812204655</v>
      </c>
      <c r="V159" s="30"/>
      <c r="W159" s="23"/>
      <c r="Z159" s="23"/>
      <c r="AA159" s="23"/>
    </row>
    <row r="160" spans="1:27">
      <c r="A160" t="s">
        <v>655</v>
      </c>
      <c r="B160" t="s">
        <v>656</v>
      </c>
      <c r="C160">
        <v>107</v>
      </c>
      <c r="D160">
        <v>5</v>
      </c>
      <c r="F160" s="19">
        <f t="shared" si="14"/>
        <v>9.3457943925233646</v>
      </c>
      <c r="G160" s="19">
        <f t="shared" si="10"/>
        <v>1.4974527800036104E-5</v>
      </c>
      <c r="H160" s="19">
        <f t="shared" si="11"/>
        <v>4.2784365142960292E-6</v>
      </c>
      <c r="N160" s="5">
        <v>0.124</v>
      </c>
      <c r="T160" s="19">
        <f t="shared" si="12"/>
        <v>3.1235608049074499E-13</v>
      </c>
      <c r="U160" s="81">
        <f t="shared" si="13"/>
        <v>2.1989354615569274</v>
      </c>
      <c r="V160" s="30"/>
      <c r="W160" s="23"/>
      <c r="Z160" s="23"/>
      <c r="AA160" s="23"/>
    </row>
    <row r="161" spans="1:27">
      <c r="A161" s="9" t="s">
        <v>657</v>
      </c>
      <c r="B161" t="s">
        <v>658</v>
      </c>
      <c r="C161">
        <v>10000</v>
      </c>
      <c r="D161">
        <v>5</v>
      </c>
      <c r="E161" t="s">
        <v>659</v>
      </c>
      <c r="F161" s="19">
        <f t="shared" si="14"/>
        <v>0.1</v>
      </c>
      <c r="G161" s="19">
        <f t="shared" si="10"/>
        <v>1.6022744746038631E-7</v>
      </c>
      <c r="H161" s="19">
        <f t="shared" si="11"/>
        <v>4.5779270702967515E-8</v>
      </c>
      <c r="T161" s="19">
        <f t="shared" si="12"/>
        <v>3.3422100612509716E-15</v>
      </c>
      <c r="U161" s="81">
        <f t="shared" si="13"/>
        <v>1.561591859896447E-2</v>
      </c>
      <c r="V161" s="30"/>
      <c r="W161" s="23"/>
      <c r="Z161" s="23"/>
      <c r="AA161" s="23"/>
    </row>
    <row r="162" spans="1:27">
      <c r="A162" s="9" t="s">
        <v>660</v>
      </c>
      <c r="B162" t="s">
        <v>661</v>
      </c>
      <c r="C162">
        <v>1690</v>
      </c>
      <c r="D162">
        <v>5</v>
      </c>
      <c r="F162" s="19">
        <f t="shared" si="14"/>
        <v>0.59171597633136097</v>
      </c>
      <c r="G162" s="19">
        <f t="shared" si="10"/>
        <v>9.4809140509104326E-7</v>
      </c>
      <c r="H162" s="19">
        <f t="shared" si="11"/>
        <v>2.7088325859744089E-7</v>
      </c>
      <c r="T162" s="19">
        <f t="shared" si="12"/>
        <v>1.9776390894976163E-14</v>
      </c>
      <c r="U162" s="81">
        <f t="shared" si="13"/>
        <v>9.2401885200973199E-2</v>
      </c>
      <c r="V162" s="30"/>
      <c r="W162" s="23"/>
      <c r="Z162" s="23"/>
      <c r="AA162" s="23"/>
    </row>
    <row r="163" spans="1:27">
      <c r="A163" s="9" t="s">
        <v>662</v>
      </c>
      <c r="B163" t="s">
        <v>663</v>
      </c>
      <c r="C163">
        <v>1215</v>
      </c>
      <c r="D163">
        <v>5</v>
      </c>
      <c r="F163" s="19">
        <f t="shared" si="14"/>
        <v>0.82304526748971196</v>
      </c>
      <c r="G163" s="19">
        <f t="shared" si="10"/>
        <v>1.3187444235422742E-6</v>
      </c>
      <c r="H163" s="19">
        <f t="shared" si="11"/>
        <v>3.767841210120783E-7</v>
      </c>
      <c r="K163" s="5">
        <v>0.23050000000000001</v>
      </c>
      <c r="T163" s="19">
        <f t="shared" si="12"/>
        <v>2.7507901738691125E-14</v>
      </c>
      <c r="U163" s="81">
        <f t="shared" si="13"/>
        <v>1.7450263034203399</v>
      </c>
      <c r="V163" s="30"/>
      <c r="W163" s="23"/>
      <c r="Z163" s="23"/>
      <c r="AA163" s="23"/>
    </row>
    <row r="164" spans="1:27">
      <c r="A164" s="9" t="s">
        <v>664</v>
      </c>
      <c r="B164" t="s">
        <v>665</v>
      </c>
      <c r="C164">
        <v>227</v>
      </c>
      <c r="D164">
        <v>5</v>
      </c>
      <c r="F164" s="19">
        <f t="shared" si="14"/>
        <v>4.4052863436123353</v>
      </c>
      <c r="G164" s="19">
        <f t="shared" si="10"/>
        <v>7.0584778616910276E-6</v>
      </c>
      <c r="H164" s="19">
        <f t="shared" si="11"/>
        <v>2.0167079604831503E-6</v>
      </c>
      <c r="T164" s="19">
        <f t="shared" si="12"/>
        <v>1.4723392340312653E-13</v>
      </c>
      <c r="U164" s="81">
        <f t="shared" si="13"/>
        <v>0.68792592946980047</v>
      </c>
      <c r="V164" s="30"/>
      <c r="W164" s="23"/>
      <c r="Z164" s="23"/>
      <c r="AA164" s="23"/>
    </row>
    <row r="165" spans="1:27">
      <c r="A165" s="9" t="s">
        <v>666</v>
      </c>
      <c r="B165" t="s">
        <v>667</v>
      </c>
      <c r="C165">
        <v>410</v>
      </c>
      <c r="D165">
        <v>5</v>
      </c>
      <c r="F165" s="19">
        <f t="shared" si="14"/>
        <v>2.4390243902439024</v>
      </c>
      <c r="G165" s="19">
        <f t="shared" si="10"/>
        <v>3.9079865234240561E-6</v>
      </c>
      <c r="H165" s="19">
        <f t="shared" si="11"/>
        <v>1.1165675781211587E-6</v>
      </c>
      <c r="T165" s="19">
        <f t="shared" si="12"/>
        <v>8.1517318567096863E-14</v>
      </c>
      <c r="U165" s="81">
        <f t="shared" si="13"/>
        <v>0.38087606338937724</v>
      </c>
      <c r="V165" s="30"/>
      <c r="W165" s="23"/>
      <c r="Z165" s="23"/>
      <c r="AA165" s="23"/>
    </row>
    <row r="166" spans="1:27">
      <c r="A166" s="9" t="s">
        <v>668</v>
      </c>
      <c r="B166" t="s">
        <v>669</v>
      </c>
      <c r="C166">
        <v>280</v>
      </c>
      <c r="D166">
        <v>5</v>
      </c>
      <c r="F166" s="19">
        <f t="shared" si="14"/>
        <v>3.5714285714285712</v>
      </c>
      <c r="G166" s="19">
        <f t="shared" si="10"/>
        <v>5.722408837870939E-6</v>
      </c>
      <c r="H166" s="19">
        <f t="shared" si="11"/>
        <v>1.6349739536774111E-6</v>
      </c>
      <c r="T166" s="19">
        <f t="shared" si="12"/>
        <v>1.1936464504467755E-13</v>
      </c>
      <c r="U166" s="81">
        <f t="shared" si="13"/>
        <v>0.5577113785344453</v>
      </c>
      <c r="V166" s="30"/>
      <c r="W166" s="23"/>
      <c r="Z166" s="23"/>
      <c r="AA166" s="23"/>
    </row>
    <row r="167" spans="1:27">
      <c r="A167" s="9" t="s">
        <v>670</v>
      </c>
      <c r="B167" t="s">
        <v>671</v>
      </c>
      <c r="C167">
        <v>511</v>
      </c>
      <c r="D167">
        <v>5</v>
      </c>
      <c r="F167" s="19">
        <f t="shared" si="14"/>
        <v>1.9569471624266144</v>
      </c>
      <c r="G167" s="19">
        <f t="shared" si="10"/>
        <v>3.135566486504624E-6</v>
      </c>
      <c r="H167" s="19">
        <f t="shared" si="11"/>
        <v>8.9587613900132118E-7</v>
      </c>
      <c r="K167" s="5">
        <v>0.108</v>
      </c>
      <c r="T167" s="19">
        <f t="shared" si="12"/>
        <v>6.5405284955987689E-14</v>
      </c>
      <c r="U167" s="81">
        <f t="shared" si="13"/>
        <v>1.0630010209721217</v>
      </c>
      <c r="V167" s="30"/>
      <c r="W167" s="23"/>
      <c r="Z167" s="23"/>
      <c r="AA167" s="23"/>
    </row>
    <row r="168" spans="1:27">
      <c r="A168" s="9" t="s">
        <v>672</v>
      </c>
      <c r="B168" t="s">
        <v>673</v>
      </c>
      <c r="C168">
        <v>110</v>
      </c>
      <c r="D168">
        <v>5</v>
      </c>
      <c r="F168" s="19">
        <f t="shared" si="14"/>
        <v>9.0909090909090899</v>
      </c>
      <c r="G168" s="19">
        <f t="shared" si="10"/>
        <v>1.4566131587307844E-5</v>
      </c>
      <c r="H168" s="19">
        <f t="shared" si="11"/>
        <v>4.1617518820879553E-6</v>
      </c>
      <c r="M168" s="5">
        <v>0.68430000000000002</v>
      </c>
      <c r="T168" s="19">
        <f t="shared" si="12"/>
        <v>3.0383727829554288E-13</v>
      </c>
      <c r="U168" s="81">
        <f t="shared" si="13"/>
        <v>23.180368963542225</v>
      </c>
      <c r="V168" s="30"/>
      <c r="W168" s="23"/>
      <c r="Z168" s="23"/>
      <c r="AA168" s="23"/>
    </row>
    <row r="169" spans="1:27">
      <c r="A169" s="9" t="s">
        <v>674</v>
      </c>
      <c r="B169" t="s">
        <v>675</v>
      </c>
      <c r="C169">
        <v>190</v>
      </c>
      <c r="D169">
        <v>5</v>
      </c>
      <c r="F169" s="19">
        <f t="shared" si="14"/>
        <v>5.2631578947368416</v>
      </c>
      <c r="G169" s="19">
        <f t="shared" si="10"/>
        <v>8.4330235505466468E-6</v>
      </c>
      <c r="H169" s="19">
        <f t="shared" si="11"/>
        <v>2.4094353001561847E-6</v>
      </c>
      <c r="M169" s="5">
        <v>0.51060000000000005</v>
      </c>
      <c r="T169" s="19">
        <f t="shared" si="12"/>
        <v>1.7590579269741951E-13</v>
      </c>
      <c r="U169" s="81">
        <f t="shared" si="13"/>
        <v>17.058970452577078</v>
      </c>
      <c r="V169" s="30"/>
      <c r="W169" s="23"/>
      <c r="Z169" s="23"/>
      <c r="AA169" s="23"/>
    </row>
    <row r="170" spans="1:27">
      <c r="A170" s="9" t="s">
        <v>676</v>
      </c>
      <c r="B170" t="s">
        <v>677</v>
      </c>
      <c r="C170">
        <v>595</v>
      </c>
      <c r="D170">
        <v>5</v>
      </c>
      <c r="F170" s="19">
        <f t="shared" si="14"/>
        <v>1.680672268907563</v>
      </c>
      <c r="G170" s="19">
        <f t="shared" si="10"/>
        <v>2.6928982766451479E-6</v>
      </c>
      <c r="H170" s="19">
        <f t="shared" si="11"/>
        <v>7.6939950761289928E-7</v>
      </c>
      <c r="N170" s="5">
        <v>0.107</v>
      </c>
      <c r="P170" s="5">
        <v>0.111</v>
      </c>
      <c r="T170" s="19">
        <f t="shared" si="12"/>
        <v>5.617159766808356E-14</v>
      </c>
      <c r="U170" s="81">
        <f t="shared" si="13"/>
        <v>0.92277264243560775</v>
      </c>
      <c r="V170" s="30"/>
      <c r="W170" s="23"/>
      <c r="Z170" s="23"/>
      <c r="AA170" s="23"/>
    </row>
    <row r="171" spans="1:27">
      <c r="A171" s="9" t="s">
        <v>678</v>
      </c>
      <c r="B171" t="s">
        <v>679</v>
      </c>
      <c r="C171">
        <v>450</v>
      </c>
      <c r="D171">
        <v>5</v>
      </c>
      <c r="F171" s="19">
        <f t="shared" si="14"/>
        <v>2.2222222222222223</v>
      </c>
      <c r="G171" s="19">
        <f t="shared" si="10"/>
        <v>3.5606099435641405E-6</v>
      </c>
      <c r="H171" s="19">
        <f t="shared" si="11"/>
        <v>1.0173171267326114E-6</v>
      </c>
      <c r="T171" s="19">
        <f t="shared" si="12"/>
        <v>7.4271334694466032E-14</v>
      </c>
      <c r="U171" s="81">
        <f t="shared" si="13"/>
        <v>0.34702041331032157</v>
      </c>
      <c r="V171" s="30"/>
      <c r="W171" s="23"/>
      <c r="Z171" s="23"/>
      <c r="AA171" s="23"/>
    </row>
    <row r="172" spans="1:27">
      <c r="A172" s="9" t="s">
        <v>680</v>
      </c>
      <c r="B172" t="s">
        <v>681</v>
      </c>
      <c r="C172">
        <v>1190</v>
      </c>
      <c r="D172">
        <v>5</v>
      </c>
      <c r="F172" s="19">
        <f t="shared" si="14"/>
        <v>0.84033613445378152</v>
      </c>
      <c r="G172" s="19">
        <f t="shared" ref="G172" si="15">18000/3700000000*35*F172/averagepesticidepotency</f>
        <v>1.346449138322574E-6</v>
      </c>
      <c r="H172" s="19">
        <f t="shared" ref="H172" si="16">9000000*0.02/3700000000*F172/averagepesticidepotency</f>
        <v>3.8469975380644964E-7</v>
      </c>
      <c r="P172" s="5">
        <v>0.22039</v>
      </c>
      <c r="T172" s="19">
        <f t="shared" ref="T172" si="17">0.008382/2360000000*F172/averagepesticidepotency</f>
        <v>2.808579883404178E-14</v>
      </c>
      <c r="U172" s="81">
        <f t="shared" si="13"/>
        <v>0.17530420671398711</v>
      </c>
      <c r="V172" s="30"/>
      <c r="W172" s="23"/>
      <c r="Z172" s="23"/>
      <c r="AA172" s="23"/>
    </row>
    <row r="173" spans="1:27">
      <c r="A173" s="9" t="s">
        <v>682</v>
      </c>
      <c r="B173" t="s">
        <v>683</v>
      </c>
      <c r="C173">
        <v>1826</v>
      </c>
      <c r="D173">
        <v>5</v>
      </c>
      <c r="F173" s="19">
        <f t="shared" si="14"/>
        <v>0.547645125958379</v>
      </c>
      <c r="G173" s="19">
        <f t="shared" si="10"/>
        <v>8.7747780646432814E-7</v>
      </c>
      <c r="H173" s="19">
        <f t="shared" si="11"/>
        <v>2.5070794470409376E-7</v>
      </c>
      <c r="T173" s="19">
        <f t="shared" si="12"/>
        <v>1.8303450499731499E-14</v>
      </c>
      <c r="U173" s="81">
        <f t="shared" si="13"/>
        <v>8.5519817080856889E-2</v>
      </c>
      <c r="V173" s="30"/>
      <c r="W173" s="23"/>
      <c r="Z173" s="23"/>
      <c r="AA173" s="23"/>
    </row>
    <row r="174" spans="1:27">
      <c r="A174" s="9" t="s">
        <v>684</v>
      </c>
      <c r="B174" t="s">
        <v>685</v>
      </c>
      <c r="C174">
        <v>630</v>
      </c>
      <c r="D174">
        <v>5</v>
      </c>
      <c r="F174" s="19">
        <f t="shared" si="14"/>
        <v>1.5873015873015872</v>
      </c>
      <c r="G174" s="19">
        <f t="shared" si="10"/>
        <v>2.5432928168315285E-6</v>
      </c>
      <c r="H174" s="19">
        <f t="shared" si="11"/>
        <v>7.2665509052329378E-7</v>
      </c>
      <c r="T174" s="19">
        <f t="shared" si="12"/>
        <v>5.305095335319002E-14</v>
      </c>
      <c r="U174" s="81">
        <f t="shared" si="13"/>
        <v>0.24787172379308678</v>
      </c>
      <c r="V174" s="30"/>
      <c r="W174" s="23"/>
      <c r="Z174" s="23"/>
      <c r="AA174" s="23"/>
    </row>
    <row r="175" spans="1:27">
      <c r="A175" s="9" t="s">
        <v>686</v>
      </c>
      <c r="B175" t="s">
        <v>687</v>
      </c>
      <c r="C175">
        <v>112</v>
      </c>
      <c r="D175">
        <v>5</v>
      </c>
      <c r="F175" s="19">
        <f t="shared" si="14"/>
        <v>8.9285714285714288</v>
      </c>
      <c r="G175" s="19">
        <f t="shared" si="10"/>
        <v>1.4306022094677348E-5</v>
      </c>
      <c r="H175" s="19">
        <f t="shared" si="11"/>
        <v>4.0874348841935275E-6</v>
      </c>
      <c r="N175" s="5">
        <v>9.9000000000000005E-2</v>
      </c>
      <c r="P175" s="5">
        <v>0.1022</v>
      </c>
      <c r="T175" s="19">
        <f t="shared" si="12"/>
        <v>2.9841161261169393E-13</v>
      </c>
      <c r="U175" s="81">
        <f t="shared" si="13"/>
        <v>2.0051287516796248</v>
      </c>
      <c r="V175" s="30"/>
      <c r="W175" s="23"/>
      <c r="Z175" s="23"/>
      <c r="AA175" s="23"/>
    </row>
    <row r="176" spans="1:27">
      <c r="A176" s="9" t="s">
        <v>688</v>
      </c>
      <c r="B176" s="13" t="s">
        <v>689</v>
      </c>
      <c r="C176">
        <v>68</v>
      </c>
      <c r="D176">
        <v>5</v>
      </c>
      <c r="F176" s="19">
        <f t="shared" si="14"/>
        <v>14.705882352941176</v>
      </c>
      <c r="G176" s="19">
        <f t="shared" si="10"/>
        <v>2.3562859920645046E-5</v>
      </c>
      <c r="H176" s="19">
        <f t="shared" si="11"/>
        <v>6.7322456916128694E-6</v>
      </c>
      <c r="K176" s="5">
        <v>0.12670000000000001</v>
      </c>
      <c r="T176" s="19">
        <f t="shared" si="12"/>
        <v>4.9150147959573109E-13</v>
      </c>
      <c r="U176" s="81">
        <f t="shared" si="13"/>
        <v>3.1850077647120103</v>
      </c>
      <c r="V176" s="30"/>
      <c r="W176" s="23"/>
      <c r="Z176" s="23"/>
      <c r="AA176" s="23"/>
    </row>
    <row r="177" spans="1:27">
      <c r="A177" s="9" t="s">
        <v>690</v>
      </c>
      <c r="B177" t="s">
        <v>691</v>
      </c>
      <c r="C177">
        <v>100</v>
      </c>
      <c r="D177">
        <v>5</v>
      </c>
      <c r="E177" t="s">
        <v>430</v>
      </c>
      <c r="F177" s="19">
        <f t="shared" si="14"/>
        <v>10</v>
      </c>
      <c r="G177" s="19">
        <f t="shared" si="10"/>
        <v>1.6022744746038629E-5</v>
      </c>
      <c r="H177" s="19">
        <f t="shared" si="11"/>
        <v>4.5779270702967512E-6</v>
      </c>
      <c r="I177" s="5">
        <v>0.216</v>
      </c>
      <c r="O177" s="5">
        <v>0.59699999999999998</v>
      </c>
      <c r="T177" s="19">
        <f t="shared" si="12"/>
        <v>3.3422100612509713E-13</v>
      </c>
      <c r="U177" s="81">
        <f t="shared" si="13"/>
        <v>473.94459066752756</v>
      </c>
      <c r="V177" s="30"/>
      <c r="W177" s="23"/>
      <c r="Z177" s="23"/>
      <c r="AA177" s="23"/>
    </row>
    <row r="178" spans="1:27">
      <c r="A178" s="9" t="s">
        <v>692</v>
      </c>
      <c r="B178" t="s">
        <v>693</v>
      </c>
      <c r="C178">
        <v>962</v>
      </c>
      <c r="D178">
        <v>5</v>
      </c>
      <c r="E178" t="s">
        <v>694</v>
      </c>
      <c r="F178" s="19">
        <f t="shared" si="14"/>
        <v>1.0395010395010396</v>
      </c>
      <c r="G178" s="19">
        <f t="shared" si="10"/>
        <v>1.6655659819166977E-6</v>
      </c>
      <c r="H178" s="19">
        <f t="shared" si="11"/>
        <v>4.7587599483334217E-7</v>
      </c>
      <c r="T178" s="19">
        <f t="shared" si="12"/>
        <v>3.474230832901218E-14</v>
      </c>
      <c r="U178" s="81">
        <f t="shared" si="13"/>
        <v>0.16232763616387183</v>
      </c>
      <c r="V178" s="30"/>
      <c r="W178" s="23"/>
      <c r="Z178" s="23"/>
      <c r="AA178" s="23"/>
    </row>
    <row r="179" spans="1:27">
      <c r="A179" s="9" t="s">
        <v>695</v>
      </c>
      <c r="B179" t="s">
        <v>696</v>
      </c>
      <c r="C179">
        <v>790</v>
      </c>
      <c r="D179">
        <v>5</v>
      </c>
      <c r="F179" s="19">
        <f t="shared" si="14"/>
        <v>1.2658227848101267</v>
      </c>
      <c r="G179" s="19">
        <f t="shared" si="10"/>
        <v>2.0281955374732446E-6</v>
      </c>
      <c r="H179" s="19">
        <f t="shared" si="11"/>
        <v>5.7948443927806981E-7</v>
      </c>
      <c r="P179" s="5">
        <v>0.13075000000000001</v>
      </c>
      <c r="T179" s="19">
        <f t="shared" si="12"/>
        <v>4.2306456471531287E-14</v>
      </c>
      <c r="U179" s="81">
        <f t="shared" si="13"/>
        <v>0.22381985568309457</v>
      </c>
      <c r="V179" s="30"/>
      <c r="W179" s="23"/>
      <c r="Z179" s="23"/>
      <c r="AA179" s="23"/>
    </row>
    <row r="180" spans="1:27">
      <c r="A180" s="9" t="s">
        <v>697</v>
      </c>
      <c r="B180" t="s">
        <v>698</v>
      </c>
      <c r="C180">
        <v>680</v>
      </c>
      <c r="D180">
        <v>5</v>
      </c>
      <c r="F180" s="19">
        <f t="shared" si="14"/>
        <v>1.4705882352941175</v>
      </c>
      <c r="G180" s="19">
        <f t="shared" si="10"/>
        <v>2.3562859920645043E-6</v>
      </c>
      <c r="H180" s="19">
        <f t="shared" si="11"/>
        <v>6.7322456916128687E-7</v>
      </c>
      <c r="T180" s="19">
        <f t="shared" si="12"/>
        <v>4.9150147959573103E-14</v>
      </c>
      <c r="U180" s="81">
        <f t="shared" si="13"/>
        <v>0.22964586174947743</v>
      </c>
      <c r="V180" s="30"/>
      <c r="W180" s="23"/>
      <c r="Z180" s="23"/>
      <c r="AA180" s="23"/>
    </row>
    <row r="181" spans="1:27">
      <c r="A181" s="9" t="s">
        <v>699</v>
      </c>
      <c r="B181" t="s">
        <v>700</v>
      </c>
      <c r="C181">
        <v>31</v>
      </c>
      <c r="D181">
        <v>5</v>
      </c>
      <c r="F181" s="19">
        <f t="shared" si="14"/>
        <v>32.258064516129032</v>
      </c>
      <c r="G181" s="19">
        <f t="shared" si="10"/>
        <v>5.1686273374318164E-5</v>
      </c>
      <c r="H181" s="19">
        <f t="shared" si="11"/>
        <v>1.4767506678376617E-5</v>
      </c>
      <c r="N181" s="5">
        <v>9.4E-2</v>
      </c>
      <c r="P181" s="5">
        <v>0.1943</v>
      </c>
      <c r="T181" s="19">
        <f t="shared" si="12"/>
        <v>1.0781322778228941E-12</v>
      </c>
      <c r="U181" s="81">
        <f t="shared" si="13"/>
        <v>5.6368446994935857</v>
      </c>
      <c r="V181" s="30"/>
      <c r="W181" s="23"/>
      <c r="Z181" s="23"/>
      <c r="AA181" s="23"/>
    </row>
    <row r="182" spans="1:27">
      <c r="A182" s="9" t="s">
        <v>701</v>
      </c>
      <c r="B182" t="s">
        <v>702</v>
      </c>
      <c r="C182">
        <v>925</v>
      </c>
      <c r="D182">
        <v>5</v>
      </c>
      <c r="F182" s="19">
        <f t="shared" si="14"/>
        <v>1.0810810810810811</v>
      </c>
      <c r="G182" s="19">
        <f t="shared" si="10"/>
        <v>1.7321886211933656E-6</v>
      </c>
      <c r="H182" s="19">
        <f t="shared" si="11"/>
        <v>4.9491103462667586E-7</v>
      </c>
      <c r="T182" s="19">
        <f t="shared" si="12"/>
        <v>3.6132000662172664E-14</v>
      </c>
      <c r="U182" s="81">
        <f t="shared" si="13"/>
        <v>0.16882074161042668</v>
      </c>
      <c r="V182" s="30"/>
      <c r="W182" s="23"/>
      <c r="Z182" s="23"/>
      <c r="AA182" s="23"/>
    </row>
    <row r="183" spans="1:27">
      <c r="A183" t="s">
        <v>703</v>
      </c>
      <c r="B183" t="s">
        <v>704</v>
      </c>
      <c r="C183">
        <v>1050</v>
      </c>
      <c r="D183">
        <v>5</v>
      </c>
      <c r="F183" s="19">
        <f t="shared" si="14"/>
        <v>0.95238095238095233</v>
      </c>
      <c r="G183" s="19">
        <f t="shared" si="10"/>
        <v>1.5259756900989169E-6</v>
      </c>
      <c r="H183" s="19">
        <f t="shared" si="11"/>
        <v>4.3599305431397631E-7</v>
      </c>
      <c r="T183" s="19">
        <f t="shared" si="12"/>
        <v>3.1830572011914008E-14</v>
      </c>
      <c r="U183" s="81">
        <f t="shared" si="13"/>
        <v>0.14872303427585204</v>
      </c>
      <c r="V183" s="30"/>
      <c r="W183" s="23"/>
      <c r="Z183" s="23"/>
      <c r="AA183" s="23"/>
    </row>
    <row r="184" spans="1:27">
      <c r="A184" t="s">
        <v>705</v>
      </c>
      <c r="B184" t="s">
        <v>706</v>
      </c>
      <c r="C184">
        <v>4000</v>
      </c>
      <c r="D184">
        <v>5</v>
      </c>
      <c r="F184" s="19">
        <f t="shared" si="14"/>
        <v>0.25</v>
      </c>
      <c r="G184" s="19">
        <f t="shared" si="10"/>
        <v>4.0056861865096574E-7</v>
      </c>
      <c r="H184" s="19">
        <f t="shared" si="11"/>
        <v>1.1444817675741878E-7</v>
      </c>
      <c r="K184" s="5">
        <v>0.1837</v>
      </c>
      <c r="P184" s="5">
        <v>0.1031</v>
      </c>
      <c r="T184" s="19">
        <f t="shared" si="12"/>
        <v>8.3555251531274292E-15</v>
      </c>
      <c r="U184" s="81">
        <f t="shared" si="13"/>
        <v>1.3479508647200322</v>
      </c>
      <c r="V184" s="30"/>
      <c r="W184" s="23"/>
      <c r="Z184" s="23"/>
      <c r="AA184" s="23"/>
    </row>
    <row r="185" spans="1:27">
      <c r="A185" t="s">
        <v>707</v>
      </c>
      <c r="B185" t="s">
        <v>708</v>
      </c>
      <c r="C185">
        <v>270</v>
      </c>
      <c r="D185">
        <v>5</v>
      </c>
      <c r="F185" s="19">
        <f t="shared" si="14"/>
        <v>3.7037037037037037</v>
      </c>
      <c r="G185" s="19">
        <f t="shared" si="10"/>
        <v>5.9343499059402338E-6</v>
      </c>
      <c r="H185" s="19">
        <f t="shared" si="11"/>
        <v>1.6955285445543523E-6</v>
      </c>
      <c r="T185" s="19">
        <f t="shared" si="12"/>
        <v>1.2378555782411004E-13</v>
      </c>
      <c r="U185" s="81">
        <f t="shared" si="13"/>
        <v>0.57836735551720253</v>
      </c>
      <c r="V185" s="30"/>
      <c r="W185" s="23"/>
      <c r="Z185" s="23"/>
      <c r="AA185" s="23"/>
    </row>
    <row r="186" spans="1:27">
      <c r="A186" s="9" t="s">
        <v>709</v>
      </c>
      <c r="B186" t="s">
        <v>710</v>
      </c>
      <c r="C186">
        <v>1</v>
      </c>
      <c r="D186">
        <v>5</v>
      </c>
      <c r="F186" s="19">
        <f t="shared" si="14"/>
        <v>1000</v>
      </c>
      <c r="G186" s="19">
        <f t="shared" si="10"/>
        <v>1.602274474603863E-3</v>
      </c>
      <c r="H186" s="19">
        <f t="shared" si="11"/>
        <v>4.5779270702967509E-4</v>
      </c>
      <c r="L186" s="5">
        <v>0.73899999999999999</v>
      </c>
      <c r="T186" s="19">
        <f t="shared" si="12"/>
        <v>3.3422100612509714E-11</v>
      </c>
      <c r="U186" s="81">
        <f t="shared" si="13"/>
        <v>57890.534185989629</v>
      </c>
      <c r="V186" s="30"/>
      <c r="W186" s="23"/>
      <c r="Z186" s="23"/>
      <c r="AA186" s="23"/>
    </row>
    <row r="187" spans="1:27">
      <c r="A187" s="9" t="s">
        <v>711</v>
      </c>
      <c r="B187" t="s">
        <v>712</v>
      </c>
      <c r="C187">
        <v>18</v>
      </c>
      <c r="D187">
        <v>5</v>
      </c>
      <c r="F187" s="19">
        <f t="shared" si="14"/>
        <v>55.55555555555555</v>
      </c>
      <c r="G187" s="19">
        <f t="shared" si="10"/>
        <v>8.9015248589103499E-5</v>
      </c>
      <c r="H187" s="19">
        <f t="shared" si="11"/>
        <v>2.5432928168315281E-5</v>
      </c>
      <c r="L187" s="5">
        <v>0.92600000000000005</v>
      </c>
      <c r="T187" s="19">
        <f t="shared" si="12"/>
        <v>1.8567833673616507E-12</v>
      </c>
      <c r="U187" s="81">
        <f t="shared" si="13"/>
        <v>72352.425510332745</v>
      </c>
      <c r="V187" s="30"/>
      <c r="W187" s="23"/>
      <c r="Z187" s="23"/>
      <c r="AA187" s="23"/>
    </row>
    <row r="188" spans="1:27">
      <c r="A188" s="9" t="s">
        <v>713</v>
      </c>
      <c r="B188" t="s">
        <v>714</v>
      </c>
      <c r="C188">
        <v>210</v>
      </c>
      <c r="D188">
        <v>5</v>
      </c>
      <c r="F188" s="19">
        <f t="shared" si="14"/>
        <v>4.7619047619047628</v>
      </c>
      <c r="G188" s="19">
        <f t="shared" si="10"/>
        <v>7.6298784504945876E-6</v>
      </c>
      <c r="H188" s="19">
        <f t="shared" si="11"/>
        <v>2.1799652715698819E-6</v>
      </c>
      <c r="L188" s="5">
        <v>0.85</v>
      </c>
      <c r="T188" s="19">
        <f t="shared" si="12"/>
        <v>1.591528600595701E-13</v>
      </c>
      <c r="U188" s="81">
        <f t="shared" si="13"/>
        <v>66406.993615171363</v>
      </c>
      <c r="V188" s="30"/>
      <c r="W188" s="23"/>
      <c r="Z188" s="23"/>
      <c r="AA188" s="23"/>
    </row>
    <row r="189" spans="1:27">
      <c r="A189" s="9" t="s">
        <v>715</v>
      </c>
      <c r="B189" t="s">
        <v>716</v>
      </c>
      <c r="C189">
        <v>669</v>
      </c>
      <c r="D189">
        <v>5</v>
      </c>
      <c r="F189" s="19">
        <f t="shared" si="14"/>
        <v>1.4947683109118086</v>
      </c>
      <c r="G189" s="19">
        <f t="shared" si="10"/>
        <v>2.3950291100207221E-6</v>
      </c>
      <c r="H189" s="19">
        <f t="shared" si="11"/>
        <v>6.8429403143449202E-7</v>
      </c>
      <c r="T189" s="19">
        <f t="shared" si="12"/>
        <v>4.9958296879685667E-14</v>
      </c>
      <c r="U189" s="81">
        <f t="shared" si="13"/>
        <v>0.23342180267510418</v>
      </c>
      <c r="V189" s="30"/>
      <c r="W189" s="23"/>
      <c r="Z189" s="23"/>
      <c r="AA189" s="23"/>
    </row>
    <row r="190" spans="1:27">
      <c r="A190" s="9" t="s">
        <v>717</v>
      </c>
      <c r="B190" t="s">
        <v>718</v>
      </c>
      <c r="C190">
        <v>283</v>
      </c>
      <c r="D190">
        <v>5</v>
      </c>
      <c r="F190" s="19">
        <f t="shared" si="14"/>
        <v>3.5335689045936394</v>
      </c>
      <c r="G190" s="19">
        <f t="shared" si="10"/>
        <v>5.6617472600843216E-6</v>
      </c>
      <c r="H190" s="19">
        <f t="shared" si="11"/>
        <v>1.617642074309806E-6</v>
      </c>
      <c r="T190" s="19">
        <f t="shared" si="12"/>
        <v>1.1809929545056436E-13</v>
      </c>
      <c r="U190" s="81">
        <f t="shared" si="13"/>
        <v>0.55179924377966316</v>
      </c>
      <c r="V190" s="30"/>
      <c r="W190" s="23"/>
      <c r="Z190" s="23"/>
      <c r="AA190" s="23"/>
    </row>
    <row r="191" spans="1:27">
      <c r="A191" s="9" t="s">
        <v>719</v>
      </c>
      <c r="B191" t="s">
        <v>720</v>
      </c>
      <c r="C191">
        <v>1447</v>
      </c>
      <c r="D191">
        <v>5</v>
      </c>
      <c r="F191" s="19">
        <f t="shared" si="14"/>
        <v>0.69108500345542501</v>
      </c>
      <c r="G191" s="19">
        <f t="shared" si="10"/>
        <v>1.1073078608181499E-6</v>
      </c>
      <c r="H191" s="19">
        <f t="shared" si="11"/>
        <v>3.1637367451947139E-7</v>
      </c>
      <c r="T191" s="19">
        <f t="shared" si="12"/>
        <v>2.3097512517283836E-14</v>
      </c>
      <c r="U191" s="81">
        <f t="shared" si="13"/>
        <v>0.10791927158924994</v>
      </c>
      <c r="V191" s="30"/>
      <c r="W191" s="23"/>
      <c r="Z191" s="23"/>
      <c r="AA191" s="23"/>
    </row>
    <row r="192" spans="1:27">
      <c r="A192" s="9" t="s">
        <v>721</v>
      </c>
      <c r="B192" t="s">
        <v>722</v>
      </c>
      <c r="C192">
        <v>450</v>
      </c>
      <c r="D192">
        <v>5</v>
      </c>
      <c r="F192" s="19">
        <f t="shared" si="14"/>
        <v>2.2222222222222223</v>
      </c>
      <c r="G192" s="19">
        <f t="shared" si="10"/>
        <v>3.5606099435641405E-6</v>
      </c>
      <c r="H192" s="19">
        <f t="shared" si="11"/>
        <v>1.0173171267326114E-6</v>
      </c>
      <c r="P192" s="5">
        <v>0.49540000000000001</v>
      </c>
      <c r="T192" s="19">
        <f t="shared" si="12"/>
        <v>7.4271334694466032E-14</v>
      </c>
      <c r="U192" s="81">
        <f t="shared" si="13"/>
        <v>0.44610041331032158</v>
      </c>
      <c r="V192" s="30"/>
      <c r="W192" s="23"/>
      <c r="Z192" s="23"/>
      <c r="AA192" s="23"/>
    </row>
    <row r="193" spans="1:27">
      <c r="A193" s="9" t="s">
        <v>723</v>
      </c>
      <c r="B193" t="s">
        <v>724</v>
      </c>
      <c r="C193">
        <v>1459</v>
      </c>
      <c r="D193">
        <v>5</v>
      </c>
      <c r="F193" s="19">
        <f t="shared" si="14"/>
        <v>0.68540095956134339</v>
      </c>
      <c r="G193" s="19">
        <f t="shared" si="10"/>
        <v>1.0982004623741352E-6</v>
      </c>
      <c r="H193" s="19">
        <f t="shared" si="11"/>
        <v>3.1377156067832429E-7</v>
      </c>
      <c r="T193" s="19">
        <f t="shared" si="12"/>
        <v>2.2907539830369922E-14</v>
      </c>
      <c r="U193" s="81">
        <f t="shared" si="13"/>
        <v>0.10703165592162077</v>
      </c>
      <c r="V193" s="30"/>
      <c r="W193" s="23"/>
      <c r="Z193" s="23"/>
      <c r="AA193" s="23"/>
    </row>
    <row r="194" spans="1:27">
      <c r="A194" s="9" t="s">
        <v>725</v>
      </c>
      <c r="B194" t="s">
        <v>726</v>
      </c>
      <c r="C194">
        <v>678</v>
      </c>
      <c r="D194">
        <v>5</v>
      </c>
      <c r="F194" s="19">
        <f t="shared" si="14"/>
        <v>1.4749262536873156</v>
      </c>
      <c r="G194" s="19">
        <f t="shared" ref="G194:G257" si="18">18000/3700000000*35*F194/averagepesticidepotency</f>
        <v>2.3632366882062874E-6</v>
      </c>
      <c r="H194" s="19">
        <f t="shared" ref="H194:H257" si="19">9000000*0.02/3700000000*F194/averagepesticidepotency</f>
        <v>6.7521048234465349E-7</v>
      </c>
      <c r="N194" s="5">
        <v>0.129</v>
      </c>
      <c r="P194" s="5">
        <v>0.13321</v>
      </c>
      <c r="T194" s="19">
        <f t="shared" ref="T194:T257" si="20">0.008382/2360000000*F194/averagepesticidepotency</f>
        <v>4.9295133646769488E-14</v>
      </c>
      <c r="U194" s="81">
        <f t="shared" ref="U194:U257" si="21">G194*YLLvalue+H194*poisoningvalue+I194*As_orevalue+J194*Cu_orevalue+K194*F_orevalue+L194*Hg_orevalue+M194*I_orevalue+N194*P_orevalue+O194*Pb_orevalue+P194*S_orevalue+Q194*Sn_orevalue+R194*Tl_orevalue+S194*Zn_orevalue+T194*speciesvalue</f>
        <v>1.026287802254537</v>
      </c>
      <c r="V194" s="30"/>
      <c r="W194" s="23"/>
      <c r="Z194" s="23"/>
      <c r="AA194" s="23"/>
    </row>
    <row r="195" spans="1:27">
      <c r="A195" s="9" t="s">
        <v>727</v>
      </c>
      <c r="B195" t="s">
        <v>728</v>
      </c>
      <c r="C195">
        <v>7.5</v>
      </c>
      <c r="D195">
        <v>5</v>
      </c>
      <c r="F195" s="19">
        <f t="shared" ref="F195:F258" si="22">1/C195*1000</f>
        <v>133.33333333333334</v>
      </c>
      <c r="G195" s="19">
        <f t="shared" si="18"/>
        <v>2.1363659661384843E-4</v>
      </c>
      <c r="H195" s="19">
        <f t="shared" si="19"/>
        <v>6.1039027603956687E-5</v>
      </c>
      <c r="N195" s="5">
        <v>0.219</v>
      </c>
      <c r="P195" s="5">
        <v>0.22670000000000001</v>
      </c>
      <c r="T195" s="19">
        <f t="shared" si="20"/>
        <v>4.4562800816679616E-12</v>
      </c>
      <c r="U195" s="81">
        <f t="shared" si="21"/>
        <v>22.172623958924635</v>
      </c>
      <c r="V195" s="30"/>
      <c r="W195" s="23"/>
      <c r="Z195" s="23"/>
      <c r="AA195" s="23"/>
    </row>
    <row r="196" spans="1:27">
      <c r="A196" s="9" t="s">
        <v>729</v>
      </c>
      <c r="B196" t="s">
        <v>730</v>
      </c>
      <c r="C196">
        <v>112</v>
      </c>
      <c r="D196">
        <v>5</v>
      </c>
      <c r="F196" s="19">
        <f t="shared" si="22"/>
        <v>8.9285714285714288</v>
      </c>
      <c r="G196" s="19">
        <f t="shared" si="18"/>
        <v>1.4306022094677348E-5</v>
      </c>
      <c r="H196" s="19">
        <f t="shared" si="19"/>
        <v>4.0874348841935275E-6</v>
      </c>
      <c r="N196" s="5">
        <v>0.129</v>
      </c>
      <c r="P196" s="5">
        <v>0.13320000000000001</v>
      </c>
      <c r="T196" s="19">
        <f t="shared" si="20"/>
        <v>2.9841161261169393E-13</v>
      </c>
      <c r="U196" s="81">
        <f t="shared" si="21"/>
        <v>2.1902409654200827</v>
      </c>
      <c r="V196" s="30"/>
      <c r="W196" s="23"/>
      <c r="Z196" s="23"/>
      <c r="AA196" s="23"/>
    </row>
    <row r="197" spans="1:27">
      <c r="A197" s="9" t="s">
        <v>731</v>
      </c>
      <c r="B197" t="s">
        <v>732</v>
      </c>
      <c r="C197">
        <v>20</v>
      </c>
      <c r="D197">
        <v>5</v>
      </c>
      <c r="E197" s="9"/>
      <c r="F197" s="19">
        <f t="shared" si="22"/>
        <v>50</v>
      </c>
      <c r="G197" s="19">
        <f t="shared" si="18"/>
        <v>8.0113723730193149E-5</v>
      </c>
      <c r="H197" s="19">
        <f t="shared" si="19"/>
        <v>2.2889635351483756E-5</v>
      </c>
      <c r="N197" s="5">
        <v>0.10199999999999999</v>
      </c>
      <c r="P197" s="5">
        <v>0.10586</v>
      </c>
      <c r="T197" s="19">
        <f t="shared" si="20"/>
        <v>1.6711050306254858E-12</v>
      </c>
      <c r="U197" s="81">
        <f t="shared" si="21"/>
        <v>8.4374328261997906</v>
      </c>
      <c r="V197" s="30"/>
      <c r="W197" s="23"/>
      <c r="Z197" s="23"/>
      <c r="AA197" s="23"/>
    </row>
    <row r="198" spans="1:27">
      <c r="A198" t="s">
        <v>733</v>
      </c>
      <c r="B198" t="s">
        <v>734</v>
      </c>
      <c r="C198">
        <v>20</v>
      </c>
      <c r="D198">
        <v>5</v>
      </c>
      <c r="F198" s="19">
        <f t="shared" si="22"/>
        <v>50</v>
      </c>
      <c r="G198" s="19">
        <f t="shared" si="18"/>
        <v>8.0113723730193149E-5</v>
      </c>
      <c r="H198" s="19">
        <f t="shared" si="19"/>
        <v>2.2889635351483756E-5</v>
      </c>
      <c r="P198" s="5">
        <v>0.14202999999999999</v>
      </c>
      <c r="T198" s="19">
        <f t="shared" si="20"/>
        <v>1.6711050306254858E-12</v>
      </c>
      <c r="U198" s="81">
        <f t="shared" si="21"/>
        <v>7.8363652994822344</v>
      </c>
      <c r="V198" s="30"/>
      <c r="W198" s="23"/>
      <c r="Z198" s="23"/>
      <c r="AA198" s="23"/>
    </row>
    <row r="199" spans="1:27">
      <c r="A199" t="s">
        <v>735</v>
      </c>
      <c r="B199" t="s">
        <v>736</v>
      </c>
      <c r="C199">
        <v>32</v>
      </c>
      <c r="D199">
        <v>5</v>
      </c>
      <c r="F199" s="19">
        <f t="shared" si="22"/>
        <v>31.25</v>
      </c>
      <c r="G199" s="19">
        <f t="shared" si="18"/>
        <v>5.007107733137072E-5</v>
      </c>
      <c r="H199" s="19">
        <f t="shared" si="19"/>
        <v>1.4306022094677347E-5</v>
      </c>
      <c r="P199" s="5">
        <v>0.1973</v>
      </c>
      <c r="T199" s="19">
        <f t="shared" si="20"/>
        <v>1.0444406441409286E-12</v>
      </c>
      <c r="U199" s="81">
        <f t="shared" si="21"/>
        <v>4.9194345621763969</v>
      </c>
      <c r="V199" s="30"/>
      <c r="W199" s="23"/>
      <c r="Z199" s="23"/>
      <c r="AA199" s="23"/>
    </row>
    <row r="200" spans="1:27">
      <c r="A200" t="s">
        <v>737</v>
      </c>
      <c r="B200" t="s">
        <v>738</v>
      </c>
      <c r="C200">
        <v>72</v>
      </c>
      <c r="D200">
        <v>5</v>
      </c>
      <c r="F200" s="19">
        <f t="shared" si="22"/>
        <v>13.888888888888888</v>
      </c>
      <c r="G200" s="19">
        <f t="shared" si="18"/>
        <v>2.2253812147275875E-5</v>
      </c>
      <c r="H200" s="19">
        <f t="shared" si="19"/>
        <v>6.3582320420788202E-6</v>
      </c>
      <c r="P200" s="5">
        <v>0.43759999999999999</v>
      </c>
      <c r="T200" s="19">
        <f t="shared" si="20"/>
        <v>4.6419584184041267E-13</v>
      </c>
      <c r="U200" s="81">
        <f t="shared" si="21"/>
        <v>2.2563975831895093</v>
      </c>
      <c r="V200" s="30"/>
      <c r="W200" s="23"/>
      <c r="Z200" s="23"/>
      <c r="AA200" s="23"/>
    </row>
    <row r="201" spans="1:27">
      <c r="A201" t="s">
        <v>739</v>
      </c>
      <c r="B201" t="s">
        <v>740</v>
      </c>
      <c r="C201">
        <v>961</v>
      </c>
      <c r="D201">
        <v>5</v>
      </c>
      <c r="F201" s="19">
        <f t="shared" si="22"/>
        <v>1.0405827263267431</v>
      </c>
      <c r="G201" s="19">
        <f t="shared" si="18"/>
        <v>1.6672991411070377E-6</v>
      </c>
      <c r="H201" s="19">
        <f t="shared" si="19"/>
        <v>4.7637118317343929E-7</v>
      </c>
      <c r="I201" s="5">
        <v>0.53500000000000003</v>
      </c>
      <c r="T201" s="19">
        <f t="shared" si="20"/>
        <v>3.4778460574932068E-14</v>
      </c>
      <c r="U201" s="81">
        <f t="shared" si="21"/>
        <v>435.54661113483144</v>
      </c>
      <c r="V201" s="30"/>
      <c r="W201" s="23"/>
      <c r="Z201" s="23"/>
      <c r="AA201" s="23"/>
    </row>
    <row r="202" spans="1:27">
      <c r="A202" t="s">
        <v>741</v>
      </c>
      <c r="B202" t="s">
        <v>742</v>
      </c>
      <c r="C202">
        <v>268</v>
      </c>
      <c r="D202">
        <v>5</v>
      </c>
      <c r="F202" s="19">
        <f t="shared" si="22"/>
        <v>3.7313432835820897</v>
      </c>
      <c r="G202" s="19">
        <f t="shared" si="18"/>
        <v>5.9786360992681456E-6</v>
      </c>
      <c r="H202" s="19">
        <f t="shared" si="19"/>
        <v>1.7081817426480415E-6</v>
      </c>
      <c r="T202" s="19">
        <f t="shared" si="20"/>
        <v>1.2470933064369297E-13</v>
      </c>
      <c r="U202" s="81">
        <f t="shared" si="21"/>
        <v>0.58268352981210703</v>
      </c>
      <c r="V202" s="30"/>
      <c r="W202" s="23"/>
      <c r="Z202" s="23"/>
      <c r="AA202" s="23"/>
    </row>
    <row r="203" spans="1:27">
      <c r="A203" t="s">
        <v>743</v>
      </c>
      <c r="B203" t="s">
        <v>744</v>
      </c>
      <c r="C203">
        <v>1100</v>
      </c>
      <c r="D203">
        <v>5</v>
      </c>
      <c r="F203" s="19">
        <f t="shared" si="22"/>
        <v>0.90909090909090906</v>
      </c>
      <c r="G203" s="19">
        <f t="shared" si="18"/>
        <v>1.4566131587307845E-6</v>
      </c>
      <c r="H203" s="19">
        <f t="shared" si="19"/>
        <v>4.1617518820879555E-7</v>
      </c>
      <c r="P203" s="5">
        <v>0.14932999999999999</v>
      </c>
      <c r="T203" s="19">
        <f t="shared" si="20"/>
        <v>3.0383727829554286E-14</v>
      </c>
      <c r="U203" s="81">
        <f t="shared" si="21"/>
        <v>0.17182889635422244</v>
      </c>
      <c r="V203" s="30"/>
      <c r="W203" s="23"/>
      <c r="Z203" s="23"/>
      <c r="AA203" s="23"/>
    </row>
    <row r="204" spans="1:27">
      <c r="A204" t="s">
        <v>745</v>
      </c>
      <c r="B204" t="s">
        <v>746</v>
      </c>
      <c r="C204">
        <v>3</v>
      </c>
      <c r="D204">
        <v>5</v>
      </c>
      <c r="F204" s="19">
        <f t="shared" si="22"/>
        <v>333.33333333333331</v>
      </c>
      <c r="G204" s="19">
        <f t="shared" si="18"/>
        <v>5.3409149153462105E-4</v>
      </c>
      <c r="H204" s="19">
        <f t="shared" si="19"/>
        <v>1.525975690098917E-4</v>
      </c>
      <c r="N204" s="5">
        <v>0.13800000000000001</v>
      </c>
      <c r="T204" s="19">
        <f t="shared" si="20"/>
        <v>1.1140700204169905E-11</v>
      </c>
      <c r="U204" s="81">
        <f t="shared" si="21"/>
        <v>52.876058179754338</v>
      </c>
      <c r="V204" s="30"/>
      <c r="W204" s="23"/>
      <c r="Z204" s="23"/>
      <c r="AA204" s="23"/>
    </row>
    <row r="205" spans="1:27">
      <c r="A205" t="s">
        <v>747</v>
      </c>
      <c r="B205" t="s">
        <v>748</v>
      </c>
      <c r="C205">
        <v>369</v>
      </c>
      <c r="D205">
        <v>5</v>
      </c>
      <c r="F205" s="19">
        <f t="shared" si="22"/>
        <v>2.7100271002710028</v>
      </c>
      <c r="G205" s="19">
        <f t="shared" si="18"/>
        <v>4.3422072482489512E-6</v>
      </c>
      <c r="H205" s="19">
        <f t="shared" si="19"/>
        <v>1.2406306423568431E-6</v>
      </c>
      <c r="P205">
        <v>0.17080000000000001</v>
      </c>
      <c r="T205" s="19">
        <f t="shared" si="20"/>
        <v>9.0574798407885409E-14</v>
      </c>
      <c r="U205" s="81">
        <f t="shared" si="21"/>
        <v>0.45735562598819696</v>
      </c>
      <c r="V205" s="30"/>
      <c r="W205" s="23"/>
      <c r="Z205" s="23"/>
      <c r="AA205" s="23"/>
    </row>
    <row r="206" spans="1:27">
      <c r="A206" t="s">
        <v>749</v>
      </c>
      <c r="B206" t="s">
        <v>750</v>
      </c>
      <c r="C206">
        <v>8</v>
      </c>
      <c r="D206">
        <v>5</v>
      </c>
      <c r="F206" s="19">
        <f t="shared" si="22"/>
        <v>125</v>
      </c>
      <c r="G206" s="19">
        <f t="shared" si="18"/>
        <v>2.0028430932548288E-4</v>
      </c>
      <c r="H206" s="19">
        <f t="shared" si="19"/>
        <v>5.7224088378709387E-5</v>
      </c>
      <c r="N206" s="5">
        <v>0.13900000000000001</v>
      </c>
      <c r="T206" s="19">
        <f t="shared" si="20"/>
        <v>4.1777625765637143E-12</v>
      </c>
      <c r="U206" s="81">
        <f t="shared" si="21"/>
        <v>20.34885817236971</v>
      </c>
      <c r="V206" s="30"/>
      <c r="W206" s="23"/>
      <c r="Z206" s="23"/>
      <c r="AA206" s="23"/>
    </row>
    <row r="207" spans="1:27">
      <c r="A207" t="s">
        <v>751</v>
      </c>
      <c r="B207" t="s">
        <v>752</v>
      </c>
      <c r="C207">
        <v>1600</v>
      </c>
      <c r="D207">
        <v>5</v>
      </c>
      <c r="F207" s="19">
        <f t="shared" si="22"/>
        <v>0.625</v>
      </c>
      <c r="G207" s="19">
        <f t="shared" si="18"/>
        <v>1.0014215466274143E-6</v>
      </c>
      <c r="H207" s="19">
        <f t="shared" si="19"/>
        <v>2.8612044189354695E-7</v>
      </c>
      <c r="T207" s="19">
        <f t="shared" si="20"/>
        <v>2.0888812882818571E-14</v>
      </c>
      <c r="U207" s="81">
        <f t="shared" si="21"/>
        <v>9.7599491243527917E-2</v>
      </c>
      <c r="V207" s="30"/>
      <c r="W207" s="23"/>
      <c r="Z207" s="23"/>
      <c r="AA207" s="23"/>
    </row>
    <row r="208" spans="1:27">
      <c r="A208" t="s">
        <v>753</v>
      </c>
      <c r="B208" t="s">
        <v>754</v>
      </c>
      <c r="C208">
        <v>395</v>
      </c>
      <c r="D208">
        <v>5</v>
      </c>
      <c r="F208" s="19">
        <f t="shared" si="22"/>
        <v>2.5316455696202533</v>
      </c>
      <c r="G208" s="19">
        <f t="shared" si="18"/>
        <v>4.0563910749464893E-6</v>
      </c>
      <c r="H208" s="19">
        <f t="shared" si="19"/>
        <v>1.1589688785561396E-6</v>
      </c>
      <c r="P208" s="5">
        <v>0.49919999999999998</v>
      </c>
      <c r="T208" s="19">
        <f t="shared" si="20"/>
        <v>8.4612912943062574E-14</v>
      </c>
      <c r="U208" s="81">
        <f t="shared" si="21"/>
        <v>0.4951797113661891</v>
      </c>
      <c r="V208" s="30"/>
      <c r="W208" s="23"/>
      <c r="Z208" s="23"/>
      <c r="AA208" s="23"/>
    </row>
    <row r="209" spans="1:27">
      <c r="A209" t="s">
        <v>755</v>
      </c>
      <c r="B209" t="s">
        <v>756</v>
      </c>
      <c r="C209">
        <v>92</v>
      </c>
      <c r="D209">
        <v>5</v>
      </c>
      <c r="F209" s="19">
        <f t="shared" si="22"/>
        <v>10.869565217391305</v>
      </c>
      <c r="G209" s="19">
        <f t="shared" si="18"/>
        <v>1.7416026897868079E-5</v>
      </c>
      <c r="H209" s="19">
        <f t="shared" si="19"/>
        <v>4.9760076851051643E-6</v>
      </c>
      <c r="N209" s="5">
        <v>8.1000000000000003E-2</v>
      </c>
      <c r="T209" s="19">
        <f t="shared" si="20"/>
        <v>3.6328370230988824E-13</v>
      </c>
      <c r="U209" s="81">
        <f t="shared" si="21"/>
        <v>2.1804454335084178</v>
      </c>
      <c r="V209" s="30"/>
      <c r="W209" s="23"/>
      <c r="Z209" s="23"/>
      <c r="AA209" s="23"/>
    </row>
    <row r="210" spans="1:27">
      <c r="A210" t="s">
        <v>757</v>
      </c>
      <c r="B210" t="s">
        <v>758</v>
      </c>
      <c r="C210">
        <v>50</v>
      </c>
      <c r="D210">
        <v>5</v>
      </c>
      <c r="F210" s="19">
        <f t="shared" si="22"/>
        <v>20</v>
      </c>
      <c r="G210" s="19">
        <f t="shared" si="18"/>
        <v>3.2045489492077258E-5</v>
      </c>
      <c r="H210" s="19">
        <f t="shared" si="19"/>
        <v>9.1558541405935024E-6</v>
      </c>
      <c r="T210" s="19">
        <f t="shared" si="20"/>
        <v>6.6844201225019426E-13</v>
      </c>
      <c r="U210" s="81">
        <f t="shared" si="21"/>
        <v>3.1231837197928933</v>
      </c>
      <c r="V210" s="30"/>
      <c r="W210" s="23"/>
      <c r="Z210" s="23"/>
      <c r="AA210" s="23"/>
    </row>
    <row r="211" spans="1:27">
      <c r="A211" t="s">
        <v>759</v>
      </c>
      <c r="B211" t="s">
        <v>760</v>
      </c>
      <c r="C211">
        <v>940</v>
      </c>
      <c r="D211">
        <v>5</v>
      </c>
      <c r="F211" s="19">
        <f t="shared" si="22"/>
        <v>1.0638297872340425</v>
      </c>
      <c r="G211" s="19">
        <f t="shared" si="18"/>
        <v>1.7045473134083649E-6</v>
      </c>
      <c r="H211" s="19">
        <f t="shared" si="19"/>
        <v>4.8701351811667569E-7</v>
      </c>
      <c r="T211" s="19">
        <f t="shared" si="20"/>
        <v>3.5555426183520972E-14</v>
      </c>
      <c r="U211" s="81">
        <f t="shared" si="21"/>
        <v>0.16612679360600496</v>
      </c>
      <c r="V211" s="30"/>
      <c r="W211" s="23"/>
      <c r="Z211" s="23"/>
      <c r="AA211" s="23"/>
    </row>
    <row r="212" spans="1:27">
      <c r="A212" t="s">
        <v>761</v>
      </c>
      <c r="B212" t="s">
        <v>762</v>
      </c>
      <c r="C212">
        <v>2048</v>
      </c>
      <c r="D212">
        <v>5</v>
      </c>
      <c r="F212" s="19">
        <f t="shared" si="22"/>
        <v>0.48828125</v>
      </c>
      <c r="G212" s="19">
        <f t="shared" si="18"/>
        <v>7.823605833026675E-7</v>
      </c>
      <c r="H212" s="19">
        <f t="shared" si="19"/>
        <v>2.2353159522933354E-7</v>
      </c>
      <c r="K212" s="5">
        <v>6.037E-2</v>
      </c>
      <c r="T212" s="19">
        <f t="shared" si="20"/>
        <v>1.6319385064702009E-14</v>
      </c>
      <c r="U212" s="81">
        <f t="shared" si="21"/>
        <v>0.49962538799181588</v>
      </c>
      <c r="V212" s="30"/>
      <c r="W212" s="23"/>
      <c r="Z212" s="23"/>
      <c r="AA212" s="23"/>
    </row>
    <row r="213" spans="1:27">
      <c r="A213" t="s">
        <v>763</v>
      </c>
      <c r="B213" t="s">
        <v>764</v>
      </c>
      <c r="C213">
        <v>550</v>
      </c>
      <c r="D213">
        <v>5</v>
      </c>
      <c r="F213" s="19">
        <f t="shared" si="22"/>
        <v>1.8181818181818181</v>
      </c>
      <c r="G213" s="19">
        <f t="shared" si="18"/>
        <v>2.913226317461569E-6</v>
      </c>
      <c r="H213" s="19">
        <f t="shared" si="19"/>
        <v>8.3235037641759111E-7</v>
      </c>
      <c r="P213" s="5">
        <v>0.15</v>
      </c>
      <c r="T213" s="19">
        <f t="shared" si="20"/>
        <v>6.0767455659108571E-14</v>
      </c>
      <c r="U213" s="81">
        <f t="shared" si="21"/>
        <v>0.31392579270844484</v>
      </c>
      <c r="V213" s="30"/>
      <c r="W213" s="23"/>
      <c r="Z213" s="23"/>
      <c r="AA213" s="23"/>
    </row>
    <row r="214" spans="1:27">
      <c r="A214" t="s">
        <v>765</v>
      </c>
      <c r="B214" t="s">
        <v>766</v>
      </c>
      <c r="C214">
        <v>30</v>
      </c>
      <c r="D214">
        <v>5</v>
      </c>
      <c r="F214" s="19">
        <f t="shared" si="22"/>
        <v>33.333333333333336</v>
      </c>
      <c r="G214" s="19">
        <f t="shared" si="18"/>
        <v>5.3409149153462106E-5</v>
      </c>
      <c r="H214" s="19">
        <f t="shared" si="19"/>
        <v>1.5259756900989172E-5</v>
      </c>
      <c r="N214" s="5">
        <v>0.14541000000000001</v>
      </c>
      <c r="P214" s="5">
        <v>0.15010000000000001</v>
      </c>
      <c r="T214" s="19">
        <f t="shared" si="20"/>
        <v>1.1140700204169904E-12</v>
      </c>
      <c r="U214" s="81">
        <f t="shared" si="21"/>
        <v>6.1025136996548239</v>
      </c>
      <c r="V214" s="30"/>
      <c r="W214" s="23"/>
      <c r="Z214" s="23"/>
      <c r="AA214" s="23"/>
    </row>
    <row r="215" spans="1:27">
      <c r="A215" t="s">
        <v>767</v>
      </c>
      <c r="B215" t="s">
        <v>768</v>
      </c>
      <c r="C215">
        <v>1860</v>
      </c>
      <c r="D215">
        <v>5</v>
      </c>
      <c r="F215" s="19">
        <f t="shared" si="22"/>
        <v>0.5376344086021505</v>
      </c>
      <c r="G215" s="19">
        <f t="shared" si="18"/>
        <v>8.6143788957196941E-7</v>
      </c>
      <c r="H215" s="19">
        <f t="shared" si="19"/>
        <v>2.4612511130627694E-7</v>
      </c>
      <c r="T215" s="19">
        <f t="shared" si="20"/>
        <v>1.7968871297048233E-14</v>
      </c>
      <c r="U215" s="81">
        <f t="shared" si="21"/>
        <v>8.3956551607335853E-2</v>
      </c>
      <c r="V215" s="30"/>
      <c r="W215" s="23"/>
      <c r="Z215" s="23"/>
      <c r="AA215" s="23"/>
    </row>
    <row r="216" spans="1:27">
      <c r="A216" t="s">
        <v>769</v>
      </c>
      <c r="B216" t="s">
        <v>770</v>
      </c>
      <c r="C216">
        <v>2.5</v>
      </c>
      <c r="D216">
        <v>5</v>
      </c>
      <c r="F216" s="19">
        <f t="shared" si="22"/>
        <v>400</v>
      </c>
      <c r="G216" s="19">
        <f t="shared" si="18"/>
        <v>6.4090978984154519E-4</v>
      </c>
      <c r="H216" s="19">
        <f t="shared" si="19"/>
        <v>1.8311708281187005E-4</v>
      </c>
      <c r="P216" s="5">
        <v>0.1459</v>
      </c>
      <c r="T216" s="19">
        <f t="shared" si="20"/>
        <v>1.3368840245003886E-11</v>
      </c>
      <c r="U216" s="81">
        <f t="shared" si="21"/>
        <v>62.492854395857869</v>
      </c>
      <c r="V216" s="30"/>
      <c r="W216" s="23"/>
      <c r="Z216" s="23"/>
      <c r="AA216" s="23"/>
    </row>
    <row r="217" spans="1:27">
      <c r="A217" t="s">
        <v>771</v>
      </c>
      <c r="B217" t="s">
        <v>772</v>
      </c>
      <c r="C217">
        <v>30</v>
      </c>
      <c r="D217">
        <v>5</v>
      </c>
      <c r="F217" s="19">
        <f t="shared" si="22"/>
        <v>33.333333333333336</v>
      </c>
      <c r="G217" s="19">
        <f t="shared" si="18"/>
        <v>5.3409149153462106E-5</v>
      </c>
      <c r="H217" s="19">
        <f t="shared" si="19"/>
        <v>1.5259756900989172E-5</v>
      </c>
      <c r="N217" s="5">
        <v>0.12590000000000001</v>
      </c>
      <c r="P217" s="5">
        <v>0.25979999999999998</v>
      </c>
      <c r="T217" s="19">
        <f t="shared" si="20"/>
        <v>1.1140700204169904E-12</v>
      </c>
      <c r="U217" s="81">
        <f t="shared" si="21"/>
        <v>6.0081011233189461</v>
      </c>
      <c r="V217" s="30"/>
      <c r="W217" s="23"/>
      <c r="Z217" s="23"/>
      <c r="AA217" s="23"/>
    </row>
    <row r="218" spans="1:27">
      <c r="A218" s="9" t="s">
        <v>773</v>
      </c>
      <c r="B218" t="s">
        <v>774</v>
      </c>
      <c r="C218">
        <v>1300</v>
      </c>
      <c r="D218">
        <v>5</v>
      </c>
      <c r="F218" s="19">
        <f t="shared" si="22"/>
        <v>0.76923076923076927</v>
      </c>
      <c r="G218" s="19">
        <f t="shared" si="18"/>
        <v>1.2325188266183562E-6</v>
      </c>
      <c r="H218" s="19">
        <f t="shared" si="19"/>
        <v>3.5214823617667317E-7</v>
      </c>
      <c r="T218" s="19">
        <f t="shared" si="20"/>
        <v>2.5709308163469013E-14</v>
      </c>
      <c r="U218" s="81">
        <f t="shared" si="21"/>
        <v>0.12012245076126514</v>
      </c>
      <c r="V218" s="30"/>
      <c r="W218" s="23"/>
      <c r="Z218" s="23"/>
      <c r="AA218" s="23"/>
    </row>
    <row r="219" spans="1:27">
      <c r="A219" s="9" t="s">
        <v>775</v>
      </c>
      <c r="B219" t="s">
        <v>776</v>
      </c>
      <c r="C219">
        <v>100</v>
      </c>
      <c r="D219">
        <v>5</v>
      </c>
      <c r="F219" s="19">
        <f t="shared" si="22"/>
        <v>10</v>
      </c>
      <c r="G219" s="19">
        <f t="shared" si="18"/>
        <v>1.6022744746038629E-5</v>
      </c>
      <c r="H219" s="19">
        <f t="shared" si="19"/>
        <v>4.5779270702967512E-6</v>
      </c>
      <c r="T219" s="19">
        <f t="shared" si="20"/>
        <v>3.3422100612509713E-13</v>
      </c>
      <c r="U219" s="81">
        <f t="shared" si="21"/>
        <v>1.5615918598964467</v>
      </c>
      <c r="V219" s="30"/>
      <c r="W219" s="23"/>
      <c r="Z219" s="23"/>
      <c r="AA219" s="23"/>
    </row>
    <row r="220" spans="1:27">
      <c r="A220" t="s">
        <v>777</v>
      </c>
      <c r="B220" t="s">
        <v>778</v>
      </c>
      <c r="C220">
        <v>2</v>
      </c>
      <c r="D220">
        <v>5</v>
      </c>
      <c r="E220" t="s">
        <v>779</v>
      </c>
      <c r="F220" s="19">
        <f t="shared" si="22"/>
        <v>500</v>
      </c>
      <c r="G220" s="19">
        <f t="shared" si="18"/>
        <v>8.0113723730193152E-4</v>
      </c>
      <c r="H220" s="19">
        <f t="shared" si="19"/>
        <v>2.2889635351483755E-4</v>
      </c>
      <c r="N220" s="5">
        <v>0.10639999999999999</v>
      </c>
      <c r="P220" s="5">
        <v>0.1099</v>
      </c>
      <c r="T220" s="19">
        <f t="shared" si="20"/>
        <v>1.6711050306254857E-11</v>
      </c>
      <c r="U220" s="81">
        <f t="shared" si="21"/>
        <v>78.736114979555168</v>
      </c>
      <c r="V220" s="30"/>
      <c r="W220" s="23"/>
      <c r="Z220" s="23"/>
      <c r="AA220" s="23"/>
    </row>
    <row r="221" spans="1:27">
      <c r="A221" t="s">
        <v>780</v>
      </c>
      <c r="B221" t="s">
        <v>781</v>
      </c>
      <c r="C221">
        <v>6.01</v>
      </c>
      <c r="D221">
        <v>5</v>
      </c>
      <c r="F221" s="19">
        <f t="shared" si="22"/>
        <v>166.3893510815308</v>
      </c>
      <c r="G221" s="19">
        <f t="shared" si="18"/>
        <v>2.6660141008383748E-4</v>
      </c>
      <c r="H221" s="19">
        <f t="shared" si="19"/>
        <v>7.6171831452524993E-5</v>
      </c>
      <c r="N221" s="5">
        <v>0.1178</v>
      </c>
      <c r="P221" s="5">
        <v>0.12157999999999999</v>
      </c>
      <c r="T221" s="19">
        <f t="shared" si="20"/>
        <v>5.5610816326971245E-12</v>
      </c>
      <c r="U221" s="81">
        <f t="shared" si="21"/>
        <v>26.710070248191251</v>
      </c>
      <c r="V221" s="30"/>
      <c r="W221" s="23"/>
      <c r="Z221" s="23"/>
      <c r="AA221" s="23"/>
    </row>
    <row r="222" spans="1:27">
      <c r="A222" t="s">
        <v>782</v>
      </c>
      <c r="B222" t="s">
        <v>783</v>
      </c>
      <c r="C222">
        <v>100</v>
      </c>
      <c r="D222">
        <v>5</v>
      </c>
      <c r="E222" t="s">
        <v>784</v>
      </c>
      <c r="F222" s="19">
        <f t="shared" si="22"/>
        <v>10</v>
      </c>
      <c r="G222" s="19">
        <f t="shared" si="18"/>
        <v>1.6022744746038629E-5</v>
      </c>
      <c r="H222" s="19">
        <f t="shared" si="19"/>
        <v>4.5779270702967512E-6</v>
      </c>
      <c r="I222" s="5">
        <v>0.44340000000000002</v>
      </c>
      <c r="J222" s="5">
        <v>0.25072648181576068</v>
      </c>
      <c r="T222" s="19">
        <f t="shared" si="20"/>
        <v>3.3422100612509713E-13</v>
      </c>
      <c r="U222" s="81">
        <f t="shared" si="21"/>
        <v>397.38001845249698</v>
      </c>
      <c r="V222" s="30"/>
      <c r="W222" s="23"/>
      <c r="Z222" s="23"/>
      <c r="AA222" s="23"/>
    </row>
    <row r="223" spans="1:27">
      <c r="A223" s="9" t="s">
        <v>785</v>
      </c>
      <c r="B223" t="s">
        <v>786</v>
      </c>
      <c r="C223">
        <v>921</v>
      </c>
      <c r="D223">
        <v>5</v>
      </c>
      <c r="F223" s="19">
        <f t="shared" si="22"/>
        <v>1.0857763300760044</v>
      </c>
      <c r="G223" s="19">
        <f t="shared" si="18"/>
        <v>1.7397116988098405E-6</v>
      </c>
      <c r="H223" s="19">
        <f t="shared" si="19"/>
        <v>4.9706048537424011E-7</v>
      </c>
      <c r="P223" s="5">
        <v>0.15734000000000001</v>
      </c>
      <c r="T223" s="19">
        <f t="shared" si="20"/>
        <v>3.6288925746481783E-14</v>
      </c>
      <c r="U223" s="81">
        <f t="shared" si="21"/>
        <v>0.20102194787149258</v>
      </c>
      <c r="V223" s="30"/>
      <c r="W223" s="23"/>
      <c r="Z223" s="23"/>
      <c r="AA223" s="23"/>
    </row>
    <row r="224" spans="1:27">
      <c r="A224" s="9" t="s">
        <v>787</v>
      </c>
      <c r="B224" t="s">
        <v>788</v>
      </c>
      <c r="C224">
        <v>4665</v>
      </c>
      <c r="D224">
        <v>5</v>
      </c>
      <c r="F224" s="19">
        <f t="shared" si="22"/>
        <v>0.21436227224008572</v>
      </c>
      <c r="G224" s="19">
        <f t="shared" si="18"/>
        <v>3.434671971283736E-7</v>
      </c>
      <c r="H224" s="19">
        <f t="shared" si="19"/>
        <v>9.8133484893821014E-8</v>
      </c>
      <c r="T224" s="19">
        <f t="shared" si="20"/>
        <v>7.1644374303343435E-15</v>
      </c>
      <c r="U224" s="81">
        <f t="shared" si="21"/>
        <v>3.3474637939902394E-2</v>
      </c>
      <c r="V224" s="30"/>
      <c r="W224" s="23"/>
      <c r="Z224" s="23"/>
      <c r="AA224" s="23"/>
    </row>
    <row r="225" spans="1:27">
      <c r="A225" s="9" t="s">
        <v>789</v>
      </c>
      <c r="B225" t="s">
        <v>790</v>
      </c>
      <c r="C225">
        <v>27</v>
      </c>
      <c r="D225">
        <v>5</v>
      </c>
      <c r="F225" s="19">
        <f t="shared" si="22"/>
        <v>37.037037037037038</v>
      </c>
      <c r="G225" s="19">
        <f t="shared" si="18"/>
        <v>5.9343499059402335E-5</v>
      </c>
      <c r="H225" s="19">
        <f t="shared" si="19"/>
        <v>1.6955285445543524E-5</v>
      </c>
      <c r="T225" s="19">
        <f t="shared" si="20"/>
        <v>1.2378555782411006E-12</v>
      </c>
      <c r="U225" s="81">
        <f t="shared" si="21"/>
        <v>5.7836735551720251</v>
      </c>
      <c r="V225" s="30"/>
      <c r="W225" s="23"/>
      <c r="Z225" s="23"/>
      <c r="AA225" s="23"/>
    </row>
    <row r="226" spans="1:27">
      <c r="A226" s="9" t="s">
        <v>791</v>
      </c>
      <c r="B226" t="s">
        <v>792</v>
      </c>
      <c r="C226">
        <v>2200</v>
      </c>
      <c r="D226">
        <v>5</v>
      </c>
      <c r="F226" s="19">
        <f t="shared" si="22"/>
        <v>0.45454545454545453</v>
      </c>
      <c r="G226" s="19">
        <f t="shared" si="18"/>
        <v>7.2830657936539225E-7</v>
      </c>
      <c r="H226" s="19">
        <f t="shared" si="19"/>
        <v>2.0808759410439778E-7</v>
      </c>
      <c r="T226" s="19">
        <f t="shared" si="20"/>
        <v>1.5191863914777143E-14</v>
      </c>
      <c r="U226" s="81">
        <f t="shared" si="21"/>
        <v>7.0981448177111217E-2</v>
      </c>
      <c r="V226" s="30"/>
      <c r="W226" s="23"/>
      <c r="Z226" s="23"/>
      <c r="AA226" s="23"/>
    </row>
    <row r="227" spans="1:27">
      <c r="A227" s="9" t="s">
        <v>793</v>
      </c>
      <c r="B227" s="22" t="s">
        <v>794</v>
      </c>
      <c r="C227">
        <v>71</v>
      </c>
      <c r="D227">
        <v>5</v>
      </c>
      <c r="F227" s="19">
        <f t="shared" si="22"/>
        <v>14.084507042253522</v>
      </c>
      <c r="G227" s="19">
        <f t="shared" si="18"/>
        <v>2.2567246121181171E-5</v>
      </c>
      <c r="H227" s="19">
        <f t="shared" si="19"/>
        <v>6.4477846060517619E-6</v>
      </c>
      <c r="N227" s="5">
        <v>9.6799999999999997E-2</v>
      </c>
      <c r="P227" s="5">
        <v>0.19975000000000001</v>
      </c>
      <c r="T227" s="19">
        <f t="shared" si="20"/>
        <v>4.7073381144379884E-13</v>
      </c>
      <c r="U227" s="81">
        <f t="shared" si="21"/>
        <v>2.8166652311196057</v>
      </c>
      <c r="V227" s="30"/>
      <c r="W227" s="23"/>
      <c r="Z227" s="23"/>
      <c r="AA227" s="23"/>
    </row>
    <row r="228" spans="1:27">
      <c r="A228" s="9" t="s">
        <v>795</v>
      </c>
      <c r="B228" t="s">
        <v>796</v>
      </c>
      <c r="C228">
        <v>41</v>
      </c>
      <c r="D228">
        <v>5</v>
      </c>
      <c r="F228" s="19">
        <f t="shared" si="22"/>
        <v>24.390243902439025</v>
      </c>
      <c r="G228" s="19">
        <f t="shared" si="18"/>
        <v>3.9079865234240561E-5</v>
      </c>
      <c r="H228" s="19">
        <f t="shared" si="19"/>
        <v>1.1165675781211589E-5</v>
      </c>
      <c r="L228" s="5">
        <v>0.59567000000000003</v>
      </c>
      <c r="T228" s="19">
        <f t="shared" si="20"/>
        <v>8.1517318567096863E-13</v>
      </c>
      <c r="U228" s="81">
        <f t="shared" si="21"/>
        <v>46540.527510633889</v>
      </c>
      <c r="V228" s="30"/>
      <c r="W228" s="23"/>
      <c r="Z228" s="23"/>
      <c r="AA228" s="23"/>
    </row>
    <row r="229" spans="1:27">
      <c r="A229" s="9" t="s">
        <v>797</v>
      </c>
      <c r="B229" t="s">
        <v>798</v>
      </c>
      <c r="C229">
        <v>1</v>
      </c>
      <c r="D229">
        <v>5</v>
      </c>
      <c r="F229" s="19">
        <f t="shared" si="22"/>
        <v>1000</v>
      </c>
      <c r="G229" s="19">
        <f t="shared" si="18"/>
        <v>1.602274474603863E-3</v>
      </c>
      <c r="H229" s="19">
        <f t="shared" si="19"/>
        <v>4.5779270702967509E-4</v>
      </c>
      <c r="N229" s="5">
        <v>0.11905</v>
      </c>
      <c r="P229" s="5">
        <v>0.36870000000000003</v>
      </c>
      <c r="T229" s="19">
        <f t="shared" si="20"/>
        <v>3.3422100612509714E-11</v>
      </c>
      <c r="U229" s="81">
        <f t="shared" si="21"/>
        <v>156.94290929117139</v>
      </c>
      <c r="V229" s="30"/>
      <c r="W229" s="23"/>
      <c r="Z229" s="23"/>
      <c r="AA229" s="23"/>
    </row>
    <row r="230" spans="1:27">
      <c r="A230" s="9" t="s">
        <v>799</v>
      </c>
      <c r="B230" t="s">
        <v>800</v>
      </c>
      <c r="C230">
        <v>85</v>
      </c>
      <c r="D230">
        <v>5</v>
      </c>
      <c r="F230" s="19">
        <f t="shared" si="22"/>
        <v>11.76470588235294</v>
      </c>
      <c r="G230" s="19">
        <f t="shared" si="18"/>
        <v>1.8850287936516035E-5</v>
      </c>
      <c r="H230" s="19">
        <f t="shared" si="19"/>
        <v>5.385796553290295E-6</v>
      </c>
      <c r="N230" s="5">
        <v>8.43E-2</v>
      </c>
      <c r="P230" s="5">
        <v>0.17399999999999999</v>
      </c>
      <c r="T230" s="19">
        <f t="shared" si="20"/>
        <v>3.9320118367658482E-13</v>
      </c>
      <c r="U230" s="81">
        <f t="shared" si="21"/>
        <v>2.3747102146065071</v>
      </c>
      <c r="V230" s="30"/>
      <c r="W230" s="23"/>
      <c r="Z230" s="23"/>
      <c r="AA230" s="23"/>
    </row>
    <row r="231" spans="1:27">
      <c r="A231" s="9" t="s">
        <v>801</v>
      </c>
      <c r="B231" t="s">
        <v>802</v>
      </c>
      <c r="C231">
        <v>92.5</v>
      </c>
      <c r="D231">
        <v>5</v>
      </c>
      <c r="F231" s="19">
        <f t="shared" si="22"/>
        <v>10.810810810810811</v>
      </c>
      <c r="G231" s="19">
        <f t="shared" si="18"/>
        <v>1.7321886211933653E-5</v>
      </c>
      <c r="H231" s="19">
        <f t="shared" si="19"/>
        <v>4.9491103462667576E-6</v>
      </c>
      <c r="N231" s="5">
        <v>9.7699999999999995E-2</v>
      </c>
      <c r="P231" s="5">
        <v>0.20169999999999999</v>
      </c>
      <c r="T231" s="19">
        <f t="shared" si="20"/>
        <v>3.6132000662172668E-13</v>
      </c>
      <c r="U231" s="81">
        <f t="shared" si="21"/>
        <v>2.3112048588523586</v>
      </c>
      <c r="V231" s="30"/>
      <c r="W231" s="23"/>
      <c r="Z231" s="23"/>
      <c r="AA231" s="23"/>
    </row>
    <row r="232" spans="1:27">
      <c r="A232" s="9" t="s">
        <v>803</v>
      </c>
      <c r="B232" t="s">
        <v>804</v>
      </c>
      <c r="C232">
        <v>17.399999999999999</v>
      </c>
      <c r="D232">
        <v>5</v>
      </c>
      <c r="F232" s="19">
        <f t="shared" si="22"/>
        <v>57.471264367816097</v>
      </c>
      <c r="G232" s="19">
        <f t="shared" si="18"/>
        <v>9.2084739919762255E-5</v>
      </c>
      <c r="H232" s="19">
        <f t="shared" si="19"/>
        <v>2.630992569136064E-5</v>
      </c>
      <c r="N232" s="5">
        <v>0.10340000000000001</v>
      </c>
      <c r="T232" s="19">
        <f t="shared" si="20"/>
        <v>1.9208103800292941E-12</v>
      </c>
      <c r="U232" s="81">
        <f t="shared" si="21"/>
        <v>9.5913166248326114</v>
      </c>
      <c r="V232" s="30"/>
      <c r="W232" s="23"/>
      <c r="Z232" s="23"/>
      <c r="AA232" s="23"/>
    </row>
    <row r="233" spans="1:27">
      <c r="A233" s="9" t="s">
        <v>805</v>
      </c>
      <c r="B233" t="s">
        <v>806</v>
      </c>
      <c r="C233">
        <v>4000</v>
      </c>
      <c r="D233">
        <v>5</v>
      </c>
      <c r="F233" s="19">
        <f t="shared" si="22"/>
        <v>0.25</v>
      </c>
      <c r="G233" s="19">
        <f t="shared" si="18"/>
        <v>4.0056861865096574E-7</v>
      </c>
      <c r="H233" s="19">
        <f t="shared" si="19"/>
        <v>1.1444817675741878E-7</v>
      </c>
      <c r="N233" s="5">
        <v>0.10390000000000001</v>
      </c>
      <c r="P233" s="5">
        <v>0.10730000000000001</v>
      </c>
      <c r="T233" s="19">
        <f t="shared" si="20"/>
        <v>8.3555251531274292E-15</v>
      </c>
      <c r="U233" s="81">
        <f t="shared" si="21"/>
        <v>0.68013243008519753</v>
      </c>
      <c r="V233" s="30"/>
      <c r="W233" s="23"/>
      <c r="Z233" s="23"/>
      <c r="AA233" s="23"/>
    </row>
    <row r="234" spans="1:27">
      <c r="A234" s="9" t="s">
        <v>807</v>
      </c>
      <c r="B234" t="s">
        <v>808</v>
      </c>
      <c r="C234">
        <v>324</v>
      </c>
      <c r="D234">
        <v>5</v>
      </c>
      <c r="F234" s="19">
        <f t="shared" si="22"/>
        <v>3.0864197530864197</v>
      </c>
      <c r="G234" s="19">
        <f t="shared" si="18"/>
        <v>4.9452915882835276E-6</v>
      </c>
      <c r="H234" s="19">
        <f t="shared" si="19"/>
        <v>1.4129404537952936E-6</v>
      </c>
      <c r="N234" s="5">
        <v>8.77E-2</v>
      </c>
      <c r="P234" s="5">
        <v>0.18099999999999999</v>
      </c>
      <c r="T234" s="19">
        <f t="shared" si="20"/>
        <v>1.0315463152009172E-13</v>
      </c>
      <c r="U234" s="81">
        <f t="shared" si="21"/>
        <v>1.0411928344322743</v>
      </c>
      <c r="V234" s="30"/>
      <c r="W234" s="23"/>
      <c r="Z234" s="23"/>
      <c r="AA234" s="23"/>
    </row>
    <row r="235" spans="1:27">
      <c r="A235" t="s">
        <v>809</v>
      </c>
      <c r="B235" t="s">
        <v>810</v>
      </c>
      <c r="C235">
        <v>100</v>
      </c>
      <c r="D235">
        <v>5</v>
      </c>
      <c r="F235" s="19">
        <f t="shared" si="22"/>
        <v>10</v>
      </c>
      <c r="G235" s="19">
        <f t="shared" si="18"/>
        <v>1.6022744746038629E-5</v>
      </c>
      <c r="H235" s="19">
        <f t="shared" si="19"/>
        <v>4.5779270702967512E-6</v>
      </c>
      <c r="T235" s="19">
        <f t="shared" si="20"/>
        <v>3.3422100612509713E-13</v>
      </c>
      <c r="U235" s="81">
        <f t="shared" si="21"/>
        <v>1.5615918598964467</v>
      </c>
      <c r="V235" s="30"/>
      <c r="W235" s="23"/>
      <c r="Z235" s="23"/>
      <c r="AA235" s="23"/>
    </row>
    <row r="236" spans="1:27">
      <c r="A236" t="s">
        <v>811</v>
      </c>
      <c r="B236" t="s">
        <v>812</v>
      </c>
      <c r="C236">
        <v>1250</v>
      </c>
      <c r="D236">
        <v>5</v>
      </c>
      <c r="F236" s="19">
        <f t="shared" si="22"/>
        <v>0.8</v>
      </c>
      <c r="G236" s="19">
        <f t="shared" si="18"/>
        <v>1.2818195796830905E-6</v>
      </c>
      <c r="H236" s="19">
        <f t="shared" si="19"/>
        <v>3.6623416562374012E-7</v>
      </c>
      <c r="N236" s="5">
        <v>0.10150000000000001</v>
      </c>
      <c r="P236" s="5">
        <v>0.1048</v>
      </c>
      <c r="T236" s="19">
        <f t="shared" si="20"/>
        <v>2.6737680490007773E-14</v>
      </c>
      <c r="U236" s="81">
        <f t="shared" si="21"/>
        <v>0.75120700528026541</v>
      </c>
      <c r="V236" s="30"/>
      <c r="W236" s="23"/>
      <c r="Z236" s="23"/>
      <c r="AA236" s="23"/>
    </row>
    <row r="237" spans="1:27">
      <c r="A237" t="s">
        <v>813</v>
      </c>
      <c r="B237" t="s">
        <v>814</v>
      </c>
      <c r="C237">
        <v>550</v>
      </c>
      <c r="D237">
        <v>5</v>
      </c>
      <c r="F237" s="19">
        <f t="shared" si="22"/>
        <v>1.8181818181818181</v>
      </c>
      <c r="G237" s="19">
        <f t="shared" si="18"/>
        <v>2.913226317461569E-6</v>
      </c>
      <c r="H237" s="19">
        <f t="shared" si="19"/>
        <v>8.3235037641759111E-7</v>
      </c>
      <c r="T237" s="19">
        <f t="shared" si="20"/>
        <v>6.0767455659108571E-14</v>
      </c>
      <c r="U237" s="81">
        <f t="shared" si="21"/>
        <v>0.28392579270844487</v>
      </c>
      <c r="V237" s="30"/>
      <c r="W237" s="23"/>
      <c r="Z237" s="23"/>
      <c r="AA237" s="23"/>
    </row>
    <row r="238" spans="1:27">
      <c r="A238" t="s">
        <v>815</v>
      </c>
      <c r="B238" t="s">
        <v>816</v>
      </c>
      <c r="C238">
        <v>1600</v>
      </c>
      <c r="D238">
        <v>5</v>
      </c>
      <c r="F238" s="19">
        <f t="shared" si="22"/>
        <v>0.625</v>
      </c>
      <c r="G238" s="19">
        <f t="shared" si="18"/>
        <v>1.0014215466274143E-6</v>
      </c>
      <c r="H238" s="19">
        <f t="shared" si="19"/>
        <v>2.8612044189354695E-7</v>
      </c>
      <c r="T238" s="19">
        <f t="shared" si="20"/>
        <v>2.0888812882818571E-14</v>
      </c>
      <c r="U238" s="81">
        <f t="shared" si="21"/>
        <v>9.7599491243527917E-2</v>
      </c>
      <c r="V238" s="30"/>
      <c r="W238" s="23"/>
      <c r="Z238" s="23"/>
      <c r="AA238" s="23"/>
    </row>
    <row r="239" spans="1:27">
      <c r="A239" t="s">
        <v>817</v>
      </c>
      <c r="B239" t="s">
        <v>818</v>
      </c>
      <c r="C239">
        <v>358</v>
      </c>
      <c r="D239">
        <v>5</v>
      </c>
      <c r="F239" s="19">
        <f t="shared" si="22"/>
        <v>2.7932960893854748</v>
      </c>
      <c r="G239" s="19">
        <f t="shared" si="18"/>
        <v>4.4756270240331365E-6</v>
      </c>
      <c r="H239" s="19">
        <f t="shared" si="19"/>
        <v>1.2787505782951819E-6</v>
      </c>
      <c r="N239" s="5">
        <v>8.2299999999999998E-2</v>
      </c>
      <c r="P239" s="5">
        <v>8.5639999999999994E-2</v>
      </c>
      <c r="T239" s="19">
        <f t="shared" si="20"/>
        <v>9.335782293997127E-14</v>
      </c>
      <c r="U239" s="81">
        <f t="shared" si="21"/>
        <v>0.94414268324115003</v>
      </c>
      <c r="V239" s="30"/>
      <c r="W239" s="23"/>
      <c r="Z239" s="23"/>
      <c r="AA239" s="23"/>
    </row>
    <row r="240" spans="1:27">
      <c r="A240" t="s">
        <v>819</v>
      </c>
      <c r="B240" t="s">
        <v>820</v>
      </c>
      <c r="C240">
        <v>710</v>
      </c>
      <c r="D240">
        <v>5</v>
      </c>
      <c r="F240" s="19">
        <f t="shared" si="22"/>
        <v>1.4084507042253522</v>
      </c>
      <c r="G240" s="19">
        <f t="shared" si="18"/>
        <v>2.2567246121181173E-6</v>
      </c>
      <c r="H240" s="19">
        <f t="shared" si="19"/>
        <v>6.447784606051763E-7</v>
      </c>
      <c r="T240" s="19">
        <f t="shared" si="20"/>
        <v>4.7073381144379884E-14</v>
      </c>
      <c r="U240" s="81">
        <f t="shared" si="21"/>
        <v>0.21994251547837282</v>
      </c>
      <c r="V240" s="30"/>
      <c r="W240" s="23"/>
      <c r="Z240" s="23"/>
      <c r="AA240" s="23"/>
    </row>
    <row r="241" spans="1:27">
      <c r="A241" t="s">
        <v>821</v>
      </c>
      <c r="B241" t="s">
        <v>822</v>
      </c>
      <c r="C241">
        <v>367</v>
      </c>
      <c r="D241">
        <v>5</v>
      </c>
      <c r="F241" s="19">
        <f t="shared" si="22"/>
        <v>2.7247956403269753</v>
      </c>
      <c r="G241" s="19">
        <f t="shared" si="18"/>
        <v>4.3658705030078006E-6</v>
      </c>
      <c r="H241" s="19">
        <f t="shared" si="19"/>
        <v>1.247391572287943E-6</v>
      </c>
      <c r="T241" s="19">
        <f t="shared" si="20"/>
        <v>9.1068394039536001E-14</v>
      </c>
      <c r="U241" s="81">
        <f t="shared" si="21"/>
        <v>0.42550186918159311</v>
      </c>
      <c r="V241" s="30"/>
      <c r="W241" s="23"/>
      <c r="Z241" s="23"/>
      <c r="AA241" s="23"/>
    </row>
    <row r="242" spans="1:27">
      <c r="A242" t="s">
        <v>823</v>
      </c>
      <c r="B242" t="s">
        <v>824</v>
      </c>
      <c r="C242">
        <v>75</v>
      </c>
      <c r="D242">
        <v>5</v>
      </c>
      <c r="F242" s="19">
        <f t="shared" si="22"/>
        <v>13.333333333333334</v>
      </c>
      <c r="G242" s="19">
        <f t="shared" si="18"/>
        <v>2.1363659661384841E-5</v>
      </c>
      <c r="H242" s="19">
        <f t="shared" si="19"/>
        <v>6.1039027603956677E-6</v>
      </c>
      <c r="N242" s="5">
        <v>0.11020000000000001</v>
      </c>
      <c r="P242" s="5">
        <v>0.1138</v>
      </c>
      <c r="T242" s="19">
        <f t="shared" si="20"/>
        <v>4.4562800816679624E-13</v>
      </c>
      <c r="U242" s="81">
        <f t="shared" si="21"/>
        <v>2.7620866783352116</v>
      </c>
      <c r="V242" s="30"/>
      <c r="W242" s="23"/>
      <c r="Z242" s="23"/>
      <c r="AA242" s="23"/>
    </row>
    <row r="243" spans="1:27">
      <c r="A243" t="s">
        <v>825</v>
      </c>
      <c r="B243" t="s">
        <v>826</v>
      </c>
      <c r="C243">
        <v>1517</v>
      </c>
      <c r="D243">
        <v>5</v>
      </c>
      <c r="F243" s="19">
        <f t="shared" si="22"/>
        <v>0.65919578114700061</v>
      </c>
      <c r="G243" s="19">
        <f t="shared" si="18"/>
        <v>1.0562125738983936E-6</v>
      </c>
      <c r="H243" s="19">
        <f t="shared" si="19"/>
        <v>3.0177502111382665E-7</v>
      </c>
      <c r="T243" s="19">
        <f t="shared" si="20"/>
        <v>2.2031707720836991E-14</v>
      </c>
      <c r="U243" s="81">
        <f t="shared" si="21"/>
        <v>0.10293947659172359</v>
      </c>
      <c r="V243" s="30"/>
      <c r="W243" s="23"/>
      <c r="Z243" s="23"/>
      <c r="AA243" s="23"/>
    </row>
    <row r="244" spans="1:27">
      <c r="A244" t="s">
        <v>827</v>
      </c>
      <c r="B244" t="s">
        <v>828</v>
      </c>
      <c r="C244">
        <v>41</v>
      </c>
      <c r="D244">
        <v>5</v>
      </c>
      <c r="F244" s="19">
        <f t="shared" si="22"/>
        <v>24.390243902439025</v>
      </c>
      <c r="G244" s="19">
        <f t="shared" si="18"/>
        <v>3.9079865234240561E-5</v>
      </c>
      <c r="H244" s="19">
        <f t="shared" si="19"/>
        <v>1.1165675781211589E-5</v>
      </c>
      <c r="T244" s="19">
        <f t="shared" si="20"/>
        <v>8.1517318567096863E-13</v>
      </c>
      <c r="U244" s="81">
        <f t="shared" si="21"/>
        <v>3.8087606338937725</v>
      </c>
      <c r="V244" s="30"/>
      <c r="W244" s="23"/>
      <c r="Z244" s="23"/>
      <c r="AA244" s="23"/>
    </row>
    <row r="245" spans="1:27">
      <c r="A245" t="s">
        <v>829</v>
      </c>
      <c r="B245" t="s">
        <v>830</v>
      </c>
      <c r="C245">
        <v>1820</v>
      </c>
      <c r="D245">
        <v>5</v>
      </c>
      <c r="F245" s="19">
        <f t="shared" si="22"/>
        <v>0.5494505494505495</v>
      </c>
      <c r="G245" s="19">
        <f t="shared" si="18"/>
        <v>8.8037059044168312E-7</v>
      </c>
      <c r="H245" s="19">
        <f t="shared" si="19"/>
        <v>2.5153445441190941E-7</v>
      </c>
      <c r="P245" s="5">
        <v>0.1273</v>
      </c>
      <c r="T245" s="19">
        <f t="shared" si="20"/>
        <v>1.8363791545335012E-14</v>
      </c>
      <c r="U245" s="81">
        <f t="shared" si="21"/>
        <v>0.11126175054376082</v>
      </c>
      <c r="V245" s="30"/>
      <c r="W245" s="23"/>
      <c r="Z245" s="23"/>
      <c r="AA245" s="23"/>
    </row>
    <row r="246" spans="1:27">
      <c r="A246" s="9" t="s">
        <v>831</v>
      </c>
      <c r="B246" t="s">
        <v>832</v>
      </c>
      <c r="C246">
        <v>875</v>
      </c>
      <c r="D246">
        <v>5</v>
      </c>
      <c r="F246" s="19">
        <f t="shared" si="22"/>
        <v>1.142857142857143</v>
      </c>
      <c r="G246" s="19">
        <f t="shared" si="18"/>
        <v>1.8311708281187011E-6</v>
      </c>
      <c r="H246" s="19">
        <f t="shared" si="19"/>
        <v>5.2319166517677161E-7</v>
      </c>
      <c r="N246" s="5">
        <v>8.9800000000000005E-2</v>
      </c>
      <c r="P246" s="5">
        <v>0.18540000000000001</v>
      </c>
      <c r="T246" s="19">
        <f t="shared" si="20"/>
        <v>3.8196686414296824E-14</v>
      </c>
      <c r="U246" s="81">
        <f t="shared" si="21"/>
        <v>0.75109153426079356</v>
      </c>
      <c r="V246" s="30"/>
      <c r="W246" s="23"/>
      <c r="Z246" s="23"/>
      <c r="AA246" s="23"/>
    </row>
    <row r="247" spans="1:27">
      <c r="A247" s="9" t="s">
        <v>833</v>
      </c>
      <c r="B247" t="s">
        <v>834</v>
      </c>
      <c r="C247">
        <v>237</v>
      </c>
      <c r="D247">
        <v>5</v>
      </c>
      <c r="F247" s="19">
        <f t="shared" si="22"/>
        <v>4.2194092827004219</v>
      </c>
      <c r="G247" s="19">
        <f t="shared" si="18"/>
        <v>6.7606517915774813E-6</v>
      </c>
      <c r="H247" s="19">
        <f t="shared" si="19"/>
        <v>1.931614797593566E-6</v>
      </c>
      <c r="N247" s="5">
        <v>8.5900000000000004E-2</v>
      </c>
      <c r="P247" s="5">
        <v>8.8700000000000001E-2</v>
      </c>
      <c r="T247" s="19">
        <f t="shared" si="20"/>
        <v>1.4102152157177094E-13</v>
      </c>
      <c r="U247" s="81">
        <f t="shared" si="21"/>
        <v>1.1889248242871602</v>
      </c>
      <c r="V247" s="30"/>
      <c r="W247" s="23"/>
      <c r="Z247" s="23"/>
      <c r="AA247" s="23"/>
    </row>
    <row r="248" spans="1:27">
      <c r="A248" s="9" t="s">
        <v>835</v>
      </c>
      <c r="B248" t="s">
        <v>836</v>
      </c>
      <c r="C248">
        <v>218</v>
      </c>
      <c r="D248">
        <v>5</v>
      </c>
      <c r="F248" s="19">
        <f t="shared" si="22"/>
        <v>4.5871559633027523</v>
      </c>
      <c r="G248" s="19">
        <f t="shared" si="18"/>
        <v>7.3498829110268942E-6</v>
      </c>
      <c r="H248" s="19">
        <f t="shared" si="19"/>
        <v>2.0999665460076841E-6</v>
      </c>
      <c r="N248" s="5">
        <v>8.3030000000000007E-2</v>
      </c>
      <c r="P248" s="5">
        <v>8.5699999999999998E-2</v>
      </c>
      <c r="T248" s="19">
        <f t="shared" si="20"/>
        <v>1.5331238813077853E-13</v>
      </c>
      <c r="U248" s="81">
        <f t="shared" si="21"/>
        <v>1.2286359114659098</v>
      </c>
      <c r="V248" s="30"/>
      <c r="W248" s="23"/>
      <c r="Z248" s="23"/>
      <c r="AA248" s="23"/>
    </row>
    <row r="249" spans="1:27">
      <c r="A249" s="9" t="s">
        <v>837</v>
      </c>
      <c r="B249" t="s">
        <v>838</v>
      </c>
      <c r="C249">
        <v>1644</v>
      </c>
      <c r="D249">
        <v>5</v>
      </c>
      <c r="F249" s="19">
        <f t="shared" si="22"/>
        <v>0.6082725060827251</v>
      </c>
      <c r="G249" s="19">
        <f t="shared" si="18"/>
        <v>9.7461951009967333E-7</v>
      </c>
      <c r="H249" s="19">
        <f t="shared" si="19"/>
        <v>2.7846271717133526E-7</v>
      </c>
      <c r="T249" s="19">
        <f t="shared" si="20"/>
        <v>2.0329744898120266E-14</v>
      </c>
      <c r="U249" s="81">
        <f t="shared" si="21"/>
        <v>9.4987339409759536E-2</v>
      </c>
      <c r="V249" s="30"/>
      <c r="W249" s="23"/>
      <c r="Z249" s="23"/>
      <c r="AA249" s="23"/>
    </row>
    <row r="250" spans="1:27">
      <c r="A250" s="9" t="s">
        <v>839</v>
      </c>
      <c r="B250" t="s">
        <v>840</v>
      </c>
      <c r="C250">
        <v>750</v>
      </c>
      <c r="D250">
        <v>5</v>
      </c>
      <c r="F250" s="19">
        <f t="shared" si="22"/>
        <v>1.3333333333333333</v>
      </c>
      <c r="G250" s="19">
        <f t="shared" si="18"/>
        <v>2.1363659661384839E-6</v>
      </c>
      <c r="H250" s="19">
        <f t="shared" si="19"/>
        <v>6.1039027603956681E-7</v>
      </c>
      <c r="T250" s="19">
        <f t="shared" si="20"/>
        <v>4.456280081667962E-14</v>
      </c>
      <c r="U250" s="81">
        <f t="shared" si="21"/>
        <v>0.20821224798619289</v>
      </c>
      <c r="V250" s="30"/>
      <c r="W250" s="23"/>
      <c r="Z250" s="23"/>
      <c r="AA250" s="23"/>
    </row>
    <row r="251" spans="1:27">
      <c r="A251" s="9" t="s">
        <v>841</v>
      </c>
      <c r="B251" t="s">
        <v>842</v>
      </c>
      <c r="C251">
        <v>570</v>
      </c>
      <c r="D251">
        <v>5</v>
      </c>
      <c r="F251" s="19">
        <f t="shared" si="22"/>
        <v>1.7543859649122808</v>
      </c>
      <c r="G251" s="19">
        <f t="shared" si="18"/>
        <v>2.811007850182216E-6</v>
      </c>
      <c r="H251" s="19">
        <f t="shared" si="19"/>
        <v>8.0314510005206161E-7</v>
      </c>
      <c r="P251" s="5">
        <v>8.77E-2</v>
      </c>
      <c r="T251" s="19">
        <f t="shared" si="20"/>
        <v>5.8635264232473192E-14</v>
      </c>
      <c r="U251" s="81">
        <f t="shared" si="21"/>
        <v>0.29150348419235911</v>
      </c>
      <c r="V251" s="30"/>
      <c r="W251" s="23"/>
      <c r="Z251" s="23"/>
      <c r="AA251" s="23"/>
    </row>
    <row r="252" spans="1:27">
      <c r="A252" s="9" t="s">
        <v>843</v>
      </c>
      <c r="B252" t="s">
        <v>844</v>
      </c>
      <c r="C252">
        <v>424</v>
      </c>
      <c r="D252">
        <v>5</v>
      </c>
      <c r="F252" s="19">
        <f t="shared" si="22"/>
        <v>2.3584905660377355</v>
      </c>
      <c r="G252" s="19">
        <f t="shared" si="18"/>
        <v>3.7789492325562802E-6</v>
      </c>
      <c r="H252" s="19">
        <f t="shared" si="19"/>
        <v>1.0796997807303657E-6</v>
      </c>
      <c r="N252" s="5">
        <v>9.11E-2</v>
      </c>
      <c r="P252" s="5">
        <v>9.4E-2</v>
      </c>
      <c r="T252" s="19">
        <f t="shared" si="20"/>
        <v>7.8825708991768179E-14</v>
      </c>
      <c r="U252" s="81">
        <f t="shared" si="21"/>
        <v>0.93039672268189999</v>
      </c>
      <c r="V252" s="30"/>
      <c r="W252" s="23"/>
      <c r="Z252" s="23"/>
      <c r="AA252" s="23"/>
    </row>
    <row r="253" spans="1:27">
      <c r="A253" s="9" t="s">
        <v>845</v>
      </c>
      <c r="B253" t="s">
        <v>846</v>
      </c>
      <c r="C253">
        <v>321</v>
      </c>
      <c r="D253">
        <v>5</v>
      </c>
      <c r="F253" s="19">
        <f t="shared" si="22"/>
        <v>3.1152647975077881</v>
      </c>
      <c r="G253" s="19">
        <f t="shared" si="18"/>
        <v>4.9915092666787012E-6</v>
      </c>
      <c r="H253" s="19">
        <f t="shared" si="19"/>
        <v>1.4261455047653431E-6</v>
      </c>
      <c r="T253" s="19">
        <f t="shared" si="20"/>
        <v>1.04118693496915E-13</v>
      </c>
      <c r="U253" s="81">
        <f t="shared" si="21"/>
        <v>0.48647721492101148</v>
      </c>
      <c r="V253" s="30"/>
      <c r="W253" s="23"/>
      <c r="Z253" s="23"/>
      <c r="AA253" s="23"/>
    </row>
    <row r="254" spans="1:27">
      <c r="A254" s="9" t="s">
        <v>847</v>
      </c>
      <c r="B254" t="s">
        <v>848</v>
      </c>
      <c r="C254">
        <v>26</v>
      </c>
      <c r="D254">
        <v>5</v>
      </c>
      <c r="F254" s="19">
        <f t="shared" si="22"/>
        <v>38.461538461538467</v>
      </c>
      <c r="G254" s="19">
        <f t="shared" si="18"/>
        <v>6.1625941330917817E-5</v>
      </c>
      <c r="H254" s="19">
        <f t="shared" si="19"/>
        <v>1.7607411808833662E-5</v>
      </c>
      <c r="N254" s="5">
        <v>0.10390000000000001</v>
      </c>
      <c r="P254" s="5">
        <v>0.10727</v>
      </c>
      <c r="T254" s="19">
        <f t="shared" si="20"/>
        <v>1.2854654081734507E-12</v>
      </c>
      <c r="U254" s="81">
        <f t="shared" si="21"/>
        <v>6.6472091716510437</v>
      </c>
      <c r="V254" s="30"/>
      <c r="W254" s="23"/>
      <c r="Z254" s="23"/>
      <c r="AA254" s="23"/>
    </row>
    <row r="255" spans="1:27">
      <c r="A255" s="9" t="s">
        <v>849</v>
      </c>
      <c r="B255" t="s">
        <v>850</v>
      </c>
      <c r="C255">
        <v>1360</v>
      </c>
      <c r="D255">
        <v>5</v>
      </c>
      <c r="F255" s="19">
        <f t="shared" si="22"/>
        <v>0.73529411764705876</v>
      </c>
      <c r="G255" s="19">
        <f t="shared" si="18"/>
        <v>1.1781429960322522E-6</v>
      </c>
      <c r="H255" s="19">
        <f t="shared" si="19"/>
        <v>3.3661228458064344E-7</v>
      </c>
      <c r="T255" s="19">
        <f t="shared" si="20"/>
        <v>2.4575073979786551E-14</v>
      </c>
      <c r="U255" s="81">
        <f t="shared" si="21"/>
        <v>0.11482293087473872</v>
      </c>
      <c r="V255" s="30"/>
      <c r="W255" s="23"/>
      <c r="Z255" s="23"/>
      <c r="AA255" s="23"/>
    </row>
    <row r="256" spans="1:27">
      <c r="A256" s="9" t="s">
        <v>851</v>
      </c>
      <c r="B256" t="s">
        <v>852</v>
      </c>
      <c r="C256">
        <v>5900</v>
      </c>
      <c r="D256">
        <v>5</v>
      </c>
      <c r="F256" s="19">
        <f t="shared" si="22"/>
        <v>0.16949152542372883</v>
      </c>
      <c r="G256" s="19">
        <f t="shared" si="18"/>
        <v>2.7157194484811239E-7</v>
      </c>
      <c r="H256" s="19">
        <f t="shared" si="19"/>
        <v>7.7591984242317815E-8</v>
      </c>
      <c r="T256" s="19">
        <f t="shared" si="20"/>
        <v>5.6647628156796136E-15</v>
      </c>
      <c r="U256" s="81">
        <f t="shared" si="21"/>
        <v>2.6467658642312656E-2</v>
      </c>
      <c r="V256" s="30"/>
      <c r="W256" s="23"/>
      <c r="Z256" s="23"/>
      <c r="AA256" s="23"/>
    </row>
    <row r="257" spans="1:27">
      <c r="A257" s="9" t="s">
        <v>853</v>
      </c>
      <c r="B257" t="s">
        <v>854</v>
      </c>
      <c r="C257">
        <v>1012</v>
      </c>
      <c r="D257">
        <v>5</v>
      </c>
      <c r="F257" s="19">
        <f t="shared" si="22"/>
        <v>0.98814229249011853</v>
      </c>
      <c r="G257" s="19">
        <f t="shared" si="18"/>
        <v>1.5832751725334614E-6</v>
      </c>
      <c r="H257" s="19">
        <f t="shared" si="19"/>
        <v>4.5236433500956037E-7</v>
      </c>
      <c r="T257" s="19">
        <f t="shared" si="20"/>
        <v>3.3025791119080743E-14</v>
      </c>
      <c r="U257" s="81">
        <f t="shared" si="21"/>
        <v>0.15430749603719829</v>
      </c>
      <c r="V257" s="30"/>
      <c r="W257" s="23"/>
      <c r="Z257" s="23"/>
      <c r="AA257" s="23"/>
    </row>
    <row r="258" spans="1:27">
      <c r="A258" s="9" t="s">
        <v>855</v>
      </c>
      <c r="B258" s="9" t="s">
        <v>856</v>
      </c>
      <c r="C258">
        <v>60</v>
      </c>
      <c r="D258">
        <v>5</v>
      </c>
      <c r="F258" s="19">
        <f t="shared" si="22"/>
        <v>16.666666666666668</v>
      </c>
      <c r="G258" s="19">
        <f t="shared" ref="G258:G303" si="23">18000/3700000000*35*F258/averagepesticidepotency</f>
        <v>2.6704574576731053E-5</v>
      </c>
      <c r="H258" s="19">
        <f t="shared" ref="H258:H303" si="24">9000000*0.02/3700000000*F258/averagepesticidepotency</f>
        <v>7.6298784504945859E-6</v>
      </c>
      <c r="T258" s="19">
        <f t="shared" ref="T258:T303" si="25">0.008382/2360000000*F258/averagepesticidepotency</f>
        <v>5.570350102084952E-13</v>
      </c>
      <c r="U258" s="81">
        <f t="shared" ref="U258:U303" si="26">G258*YLLvalue+H258*poisoningvalue+I258*As_orevalue+J258*Cu_orevalue+K258*F_orevalue+L258*Hg_orevalue+M258*I_orevalue+N258*P_orevalue+O258*Pb_orevalue+P258*S_orevalue+Q258*Sn_orevalue+R258*Tl_orevalue+S258*Zn_orevalue+T258*speciesvalue</f>
        <v>2.6026530998274118</v>
      </c>
      <c r="V258" s="30"/>
      <c r="W258" s="23"/>
      <c r="Z258" s="23"/>
      <c r="AA258" s="23"/>
    </row>
    <row r="259" spans="1:27">
      <c r="A259" s="9" t="s">
        <v>857</v>
      </c>
      <c r="B259" t="s">
        <v>858</v>
      </c>
      <c r="C259">
        <v>750</v>
      </c>
      <c r="D259">
        <v>5</v>
      </c>
      <c r="F259" s="19">
        <f t="shared" ref="F259:F303" si="27">1/C259*1000</f>
        <v>1.3333333333333333</v>
      </c>
      <c r="G259" s="19">
        <f t="shared" si="23"/>
        <v>2.1363659661384839E-6</v>
      </c>
      <c r="H259" s="19">
        <f t="shared" si="24"/>
        <v>6.1039027603956681E-7</v>
      </c>
      <c r="P259" s="5">
        <v>0.15</v>
      </c>
      <c r="T259" s="19">
        <f t="shared" si="25"/>
        <v>4.456280081667962E-14</v>
      </c>
      <c r="U259" s="81">
        <f t="shared" si="26"/>
        <v>0.23821224798619289</v>
      </c>
      <c r="V259" s="30"/>
      <c r="W259" s="23"/>
      <c r="Z259" s="23"/>
      <c r="AA259" s="23"/>
    </row>
    <row r="260" spans="1:27">
      <c r="A260" s="9" t="s">
        <v>859</v>
      </c>
      <c r="B260" t="s">
        <v>860</v>
      </c>
      <c r="C260">
        <v>41</v>
      </c>
      <c r="D260">
        <v>5</v>
      </c>
      <c r="E260" t="s">
        <v>430</v>
      </c>
      <c r="F260" s="19">
        <f t="shared" si="27"/>
        <v>24.390243902439025</v>
      </c>
      <c r="G260" s="19">
        <f t="shared" si="23"/>
        <v>3.9079865234240561E-5</v>
      </c>
      <c r="H260" s="19">
        <f t="shared" si="24"/>
        <v>1.1165675781211589E-5</v>
      </c>
      <c r="I260" s="5">
        <v>0.57669999999999999</v>
      </c>
      <c r="T260" s="19">
        <f t="shared" si="25"/>
        <v>8.1517318567096863E-13</v>
      </c>
      <c r="U260" s="81">
        <f t="shared" si="26"/>
        <v>473.12842209222714</v>
      </c>
      <c r="V260" s="30"/>
      <c r="W260" s="23"/>
      <c r="Z260" s="23"/>
      <c r="AA260" s="23"/>
    </row>
    <row r="261" spans="1:27">
      <c r="A261" s="9" t="s">
        <v>861</v>
      </c>
      <c r="B261" t="s">
        <v>862</v>
      </c>
      <c r="C261">
        <v>5600</v>
      </c>
      <c r="D261">
        <v>5</v>
      </c>
      <c r="F261" s="19">
        <f t="shared" si="27"/>
        <v>0.17857142857142858</v>
      </c>
      <c r="G261" s="19">
        <f t="shared" si="23"/>
        <v>2.8612044189354695E-7</v>
      </c>
      <c r="H261" s="19">
        <f t="shared" si="24"/>
        <v>8.1748697683870551E-8</v>
      </c>
      <c r="T261" s="19">
        <f t="shared" si="25"/>
        <v>5.9682322522338781E-15</v>
      </c>
      <c r="U261" s="81">
        <f t="shared" si="26"/>
        <v>2.7885568926722261E-2</v>
      </c>
      <c r="V261" s="30"/>
      <c r="W261" s="23"/>
      <c r="Z261" s="23"/>
      <c r="AA261" s="23"/>
    </row>
    <row r="262" spans="1:27">
      <c r="A262" t="s">
        <v>863</v>
      </c>
      <c r="B262" t="s">
        <v>864</v>
      </c>
      <c r="C262">
        <v>5.73</v>
      </c>
      <c r="D262">
        <v>5</v>
      </c>
      <c r="F262" s="19">
        <f t="shared" si="27"/>
        <v>174.52006980802793</v>
      </c>
      <c r="G262" s="19">
        <f t="shared" si="23"/>
        <v>2.7962905315948743E-4</v>
      </c>
      <c r="H262" s="19">
        <f t="shared" si="24"/>
        <v>7.9894015188424972E-5</v>
      </c>
      <c r="T262" s="19">
        <f t="shared" si="25"/>
        <v>5.8328273320261282E-12</v>
      </c>
      <c r="U262" s="81">
        <f t="shared" si="26"/>
        <v>27.252912040077604</v>
      </c>
      <c r="V262" s="30"/>
      <c r="W262" s="23"/>
      <c r="Z262" s="23"/>
      <c r="AA262" s="23"/>
    </row>
    <row r="263" spans="1:27">
      <c r="A263" t="s">
        <v>865</v>
      </c>
      <c r="B263" t="s">
        <v>866</v>
      </c>
      <c r="C263">
        <v>0.1</v>
      </c>
      <c r="D263">
        <v>5</v>
      </c>
      <c r="F263" s="19">
        <f t="shared" si="27"/>
        <v>10000</v>
      </c>
      <c r="G263" s="19">
        <f t="shared" si="23"/>
        <v>1.6022744746038632E-2</v>
      </c>
      <c r="H263" s="19">
        <f t="shared" si="24"/>
        <v>4.5779270702967509E-3</v>
      </c>
      <c r="K263" s="5">
        <v>0.18995999999999999</v>
      </c>
      <c r="T263" s="19">
        <f t="shared" si="25"/>
        <v>3.3422100612509714E-10</v>
      </c>
      <c r="U263" s="81">
        <f t="shared" si="26"/>
        <v>1562.9240524458187</v>
      </c>
      <c r="V263" s="30"/>
      <c r="W263" s="23"/>
      <c r="Z263" s="23"/>
      <c r="AA263" s="23"/>
    </row>
    <row r="264" spans="1:27">
      <c r="A264" t="s">
        <v>867</v>
      </c>
      <c r="B264" t="s">
        <v>868</v>
      </c>
      <c r="C264">
        <v>500</v>
      </c>
      <c r="D264">
        <v>5</v>
      </c>
      <c r="F264" s="19">
        <f t="shared" si="27"/>
        <v>2</v>
      </c>
      <c r="G264" s="19">
        <f t="shared" si="23"/>
        <v>3.2045489492077259E-6</v>
      </c>
      <c r="H264" s="19">
        <f t="shared" si="24"/>
        <v>9.1558541405935022E-7</v>
      </c>
      <c r="T264" s="19">
        <f t="shared" si="25"/>
        <v>6.6844201225019434E-14</v>
      </c>
      <c r="U264" s="81">
        <f t="shared" si="26"/>
        <v>0.31231837197928936</v>
      </c>
      <c r="V264" s="30"/>
      <c r="W264" s="23"/>
      <c r="Z264" s="23"/>
      <c r="AA264" s="23"/>
    </row>
    <row r="265" spans="1:27">
      <c r="A265" t="s">
        <v>869</v>
      </c>
      <c r="B265" t="s">
        <v>870</v>
      </c>
      <c r="C265">
        <v>4.3</v>
      </c>
      <c r="D265">
        <v>5</v>
      </c>
      <c r="F265" s="19">
        <f t="shared" si="27"/>
        <v>232.55813953488371</v>
      </c>
      <c r="G265" s="19">
        <f t="shared" si="23"/>
        <v>3.7262197083810767E-4</v>
      </c>
      <c r="H265" s="19">
        <f t="shared" si="24"/>
        <v>1.0646342023945932E-4</v>
      </c>
      <c r="T265" s="19">
        <f t="shared" si="25"/>
        <v>7.7725815377929565E-12</v>
      </c>
      <c r="U265" s="81">
        <f t="shared" si="26"/>
        <v>36.316089765033645</v>
      </c>
      <c r="V265" s="30"/>
      <c r="W265" s="23"/>
      <c r="Z265" s="23"/>
      <c r="AA265" s="23"/>
    </row>
    <row r="266" spans="1:27">
      <c r="A266" t="s">
        <v>871</v>
      </c>
      <c r="B266" t="s">
        <v>872</v>
      </c>
      <c r="C266">
        <v>543</v>
      </c>
      <c r="D266">
        <v>5</v>
      </c>
      <c r="F266" s="19">
        <f t="shared" si="27"/>
        <v>1.8416206261510129</v>
      </c>
      <c r="G266" s="19">
        <f t="shared" si="23"/>
        <v>2.9507817211857516E-6</v>
      </c>
      <c r="H266" s="19">
        <f t="shared" si="24"/>
        <v>8.4308049176735741E-7</v>
      </c>
      <c r="K266" s="5">
        <v>0.61270000000000002</v>
      </c>
      <c r="P266" s="5">
        <v>6.0699999999999997E-2</v>
      </c>
      <c r="T266" s="19">
        <f t="shared" si="25"/>
        <v>6.1550829857292288E-14</v>
      </c>
      <c r="U266" s="81">
        <f t="shared" si="26"/>
        <v>4.596600977881482</v>
      </c>
      <c r="V266" s="30"/>
      <c r="W266" s="23"/>
      <c r="Z266" s="23"/>
      <c r="AA266" s="23"/>
    </row>
    <row r="267" spans="1:27">
      <c r="A267" t="s">
        <v>873</v>
      </c>
      <c r="B267" t="s">
        <v>874</v>
      </c>
      <c r="C267">
        <v>5</v>
      </c>
      <c r="D267">
        <v>5</v>
      </c>
      <c r="F267" s="19">
        <f t="shared" si="27"/>
        <v>200</v>
      </c>
      <c r="G267" s="19">
        <f t="shared" si="23"/>
        <v>3.204548949207726E-4</v>
      </c>
      <c r="H267" s="19">
        <f t="shared" si="24"/>
        <v>9.1558541405935024E-5</v>
      </c>
      <c r="N267" s="5">
        <v>9.6180000000000002E-2</v>
      </c>
      <c r="P267" s="5">
        <v>0.19857</v>
      </c>
      <c r="T267" s="19">
        <f t="shared" si="25"/>
        <v>6.6844201225019432E-12</v>
      </c>
      <c r="U267" s="81">
        <f t="shared" si="26"/>
        <v>31.845143755180846</v>
      </c>
      <c r="V267" s="30"/>
      <c r="W267" s="23"/>
      <c r="Z267" s="23"/>
      <c r="AA267" s="23"/>
    </row>
    <row r="268" spans="1:27">
      <c r="A268" t="s">
        <v>875</v>
      </c>
      <c r="B268" s="9" t="s">
        <v>876</v>
      </c>
      <c r="C268">
        <v>3320</v>
      </c>
      <c r="D268">
        <v>5</v>
      </c>
      <c r="F268" s="19">
        <f t="shared" si="27"/>
        <v>0.30120481927710846</v>
      </c>
      <c r="G268" s="19">
        <f t="shared" si="23"/>
        <v>4.8261279355538042E-7</v>
      </c>
      <c r="H268" s="19">
        <f t="shared" si="24"/>
        <v>1.3788936958725156E-7</v>
      </c>
      <c r="T268" s="19">
        <f t="shared" si="25"/>
        <v>1.0066897774852326E-14</v>
      </c>
      <c r="U268" s="81">
        <f t="shared" si="26"/>
        <v>4.7035899394471295E-2</v>
      </c>
      <c r="V268" s="30"/>
      <c r="W268" s="23"/>
      <c r="Z268" s="23"/>
      <c r="AA268" s="23"/>
    </row>
    <row r="269" spans="1:27">
      <c r="A269" t="s">
        <v>877</v>
      </c>
      <c r="B269" t="s">
        <v>878</v>
      </c>
      <c r="C269">
        <v>3352</v>
      </c>
      <c r="D269">
        <v>5</v>
      </c>
      <c r="F269" s="19">
        <f t="shared" si="27"/>
        <v>0.29832935560859192</v>
      </c>
      <c r="G269" s="19">
        <f t="shared" si="23"/>
        <v>4.7800551151666564E-7</v>
      </c>
      <c r="H269" s="19">
        <f t="shared" si="24"/>
        <v>1.3657300329047589E-7</v>
      </c>
      <c r="T269" s="19">
        <f t="shared" si="25"/>
        <v>9.9707937388155488E-15</v>
      </c>
      <c r="U269" s="81">
        <f t="shared" si="26"/>
        <v>4.6586869328652955E-2</v>
      </c>
      <c r="V269" s="30"/>
      <c r="W269" s="23"/>
      <c r="Z269" s="23"/>
      <c r="AA269" s="23"/>
    </row>
    <row r="270" spans="1:27">
      <c r="A270" t="s">
        <v>879</v>
      </c>
      <c r="B270" t="s">
        <v>880</v>
      </c>
      <c r="C270">
        <v>595</v>
      </c>
      <c r="D270">
        <v>5</v>
      </c>
      <c r="F270" s="19">
        <f t="shared" si="27"/>
        <v>1.680672268907563</v>
      </c>
      <c r="G270" s="19">
        <f t="shared" si="23"/>
        <v>2.6928982766451479E-6</v>
      </c>
      <c r="H270" s="19">
        <f t="shared" si="24"/>
        <v>7.6939950761289928E-7</v>
      </c>
      <c r="T270" s="19">
        <f t="shared" si="25"/>
        <v>5.617159766808356E-14</v>
      </c>
      <c r="U270" s="81">
        <f t="shared" si="26"/>
        <v>0.26245241342797421</v>
      </c>
      <c r="V270" s="30"/>
      <c r="W270" s="23"/>
      <c r="Z270" s="23"/>
      <c r="AA270" s="23"/>
    </row>
    <row r="271" spans="1:27">
      <c r="A271" t="s">
        <v>881</v>
      </c>
      <c r="B271" t="s">
        <v>882</v>
      </c>
      <c r="C271">
        <v>2.4</v>
      </c>
      <c r="D271">
        <v>5</v>
      </c>
      <c r="F271" s="19">
        <f t="shared" si="27"/>
        <v>416.66666666666669</v>
      </c>
      <c r="G271" s="19">
        <f t="shared" si="23"/>
        <v>6.6761436441827634E-4</v>
      </c>
      <c r="H271" s="19">
        <f t="shared" si="24"/>
        <v>1.9074696126236465E-4</v>
      </c>
      <c r="N271" s="5">
        <v>9.7369999999999998E-2</v>
      </c>
      <c r="P271" s="5">
        <v>0.10051300000000001</v>
      </c>
      <c r="T271" s="19">
        <f t="shared" si="25"/>
        <v>1.3925875255212381E-11</v>
      </c>
      <c r="U271" s="81">
        <f t="shared" si="26"/>
        <v>65.667119504082237</v>
      </c>
      <c r="V271" s="30"/>
      <c r="W271" s="23"/>
      <c r="Z271" s="23"/>
      <c r="AA271" s="23"/>
    </row>
    <row r="272" spans="1:27">
      <c r="A272" t="s">
        <v>883</v>
      </c>
      <c r="B272" t="s">
        <v>884</v>
      </c>
      <c r="C272">
        <v>644</v>
      </c>
      <c r="D272">
        <v>5</v>
      </c>
      <c r="F272" s="19">
        <f t="shared" si="27"/>
        <v>1.5527950310559004</v>
      </c>
      <c r="G272" s="19">
        <f t="shared" si="23"/>
        <v>2.4880038425525822E-6</v>
      </c>
      <c r="H272" s="19">
        <f t="shared" si="24"/>
        <v>7.108582407293091E-7</v>
      </c>
      <c r="P272" s="5">
        <v>0.14016000000000001</v>
      </c>
      <c r="T272" s="19">
        <f t="shared" si="25"/>
        <v>5.1897671758555452E-14</v>
      </c>
      <c r="U272" s="81">
        <f t="shared" si="26"/>
        <v>0.27051520805845441</v>
      </c>
      <c r="V272" s="30"/>
      <c r="W272" s="23"/>
      <c r="Z272" s="23"/>
      <c r="AA272" s="23"/>
    </row>
    <row r="273" spans="1:27">
      <c r="A273" t="s">
        <v>885</v>
      </c>
      <c r="B273" t="s">
        <v>886</v>
      </c>
      <c r="C273">
        <v>22</v>
      </c>
      <c r="D273">
        <v>5</v>
      </c>
      <c r="F273" s="19">
        <f t="shared" si="27"/>
        <v>45.454545454545453</v>
      </c>
      <c r="G273" s="19">
        <f t="shared" si="23"/>
        <v>7.2830657936539227E-5</v>
      </c>
      <c r="H273" s="19">
        <f t="shared" si="24"/>
        <v>2.0808759410439777E-5</v>
      </c>
      <c r="K273" s="5">
        <v>0.31759999999999999</v>
      </c>
      <c r="T273" s="19">
        <f t="shared" si="25"/>
        <v>1.5191863914777143E-12</v>
      </c>
      <c r="U273" s="81">
        <f t="shared" si="26"/>
        <v>9.3254787494885001</v>
      </c>
      <c r="V273" s="30"/>
      <c r="W273" s="23"/>
      <c r="Z273" s="23"/>
      <c r="AA273" s="23"/>
    </row>
    <row r="274" spans="1:27">
      <c r="A274" t="s">
        <v>887</v>
      </c>
      <c r="B274" t="s">
        <v>888</v>
      </c>
      <c r="C274">
        <v>1.6</v>
      </c>
      <c r="D274">
        <v>5</v>
      </c>
      <c r="F274" s="19">
        <f t="shared" si="27"/>
        <v>625</v>
      </c>
      <c r="G274" s="19">
        <f t="shared" si="23"/>
        <v>1.0014215466274145E-3</v>
      </c>
      <c r="H274" s="19">
        <f t="shared" si="24"/>
        <v>2.8612044189354693E-4</v>
      </c>
      <c r="N274" s="5">
        <v>0.10749</v>
      </c>
      <c r="P274" s="5">
        <v>0.33289999999999997</v>
      </c>
      <c r="T274" s="19">
        <f t="shared" si="25"/>
        <v>2.0888812882818572E-11</v>
      </c>
      <c r="U274" s="81">
        <f t="shared" si="26"/>
        <v>98.307113705359995</v>
      </c>
      <c r="V274" s="30"/>
      <c r="W274" s="23"/>
      <c r="Z274" s="23"/>
      <c r="AA274" s="23"/>
    </row>
    <row r="275" spans="1:27">
      <c r="A275" t="s">
        <v>889</v>
      </c>
      <c r="B275" t="s">
        <v>890</v>
      </c>
      <c r="C275">
        <v>433</v>
      </c>
      <c r="D275">
        <v>5</v>
      </c>
      <c r="F275" s="19">
        <f t="shared" si="27"/>
        <v>2.3094688221709005</v>
      </c>
      <c r="G275" s="19">
        <f t="shared" si="23"/>
        <v>3.7004029436578824E-6</v>
      </c>
      <c r="H275" s="19">
        <f t="shared" si="24"/>
        <v>1.0572579839022521E-6</v>
      </c>
      <c r="T275" s="19">
        <f t="shared" si="25"/>
        <v>7.7187299336050149E-14</v>
      </c>
      <c r="U275" s="81">
        <f t="shared" si="26"/>
        <v>0.36064477133867129</v>
      </c>
      <c r="V275" s="30"/>
      <c r="W275" s="23"/>
      <c r="Z275" s="23"/>
      <c r="AA275" s="23"/>
    </row>
    <row r="276" spans="1:27">
      <c r="A276" t="s">
        <v>891</v>
      </c>
      <c r="B276" t="s">
        <v>892</v>
      </c>
      <c r="C276">
        <v>1030</v>
      </c>
      <c r="D276">
        <v>5</v>
      </c>
      <c r="F276" s="19">
        <f t="shared" si="27"/>
        <v>0.970873786407767</v>
      </c>
      <c r="G276" s="19">
        <f t="shared" si="23"/>
        <v>1.555606286023168E-6</v>
      </c>
      <c r="H276" s="19">
        <f t="shared" si="24"/>
        <v>4.4445893886376228E-7</v>
      </c>
      <c r="K276" s="5">
        <v>0.20419999999999999</v>
      </c>
      <c r="T276" s="19">
        <f t="shared" si="25"/>
        <v>3.2448641371368655E-14</v>
      </c>
      <c r="U276" s="81">
        <f t="shared" si="26"/>
        <v>1.5836687596455215</v>
      </c>
      <c r="V276" s="30"/>
      <c r="W276" s="23"/>
      <c r="Z276" s="23"/>
      <c r="AA276" s="23"/>
    </row>
    <row r="277" spans="1:27">
      <c r="A277" t="s">
        <v>893</v>
      </c>
      <c r="B277" t="s">
        <v>894</v>
      </c>
      <c r="C277">
        <v>16</v>
      </c>
      <c r="D277">
        <v>5</v>
      </c>
      <c r="F277" s="19">
        <f t="shared" si="27"/>
        <v>62.5</v>
      </c>
      <c r="G277" s="19">
        <f t="shared" si="23"/>
        <v>1.0014215466274144E-4</v>
      </c>
      <c r="H277" s="19">
        <f t="shared" si="24"/>
        <v>2.8612044189354693E-5</v>
      </c>
      <c r="R277" s="5">
        <v>0.80969999999999998</v>
      </c>
      <c r="T277" s="19">
        <f t="shared" si="25"/>
        <v>2.0888812882818572E-12</v>
      </c>
      <c r="U277" s="81">
        <f t="shared" si="26"/>
        <v>3524.0828657910188</v>
      </c>
      <c r="V277" s="30"/>
      <c r="W277" s="23"/>
      <c r="Z277" s="23"/>
      <c r="AA277" s="23"/>
    </row>
    <row r="278" spans="1:27">
      <c r="A278" t="s">
        <v>895</v>
      </c>
      <c r="B278" t="s">
        <v>896</v>
      </c>
      <c r="C278">
        <v>444</v>
      </c>
      <c r="D278">
        <v>5</v>
      </c>
      <c r="F278" s="19">
        <f t="shared" si="27"/>
        <v>2.2522522522522523</v>
      </c>
      <c r="G278" s="19">
        <f t="shared" si="23"/>
        <v>3.6087262941528451E-6</v>
      </c>
      <c r="H278" s="19">
        <f t="shared" si="24"/>
        <v>1.0310646554722414E-6</v>
      </c>
      <c r="P278" s="5">
        <v>0.12659999999999999</v>
      </c>
      <c r="T278" s="19">
        <f t="shared" si="25"/>
        <v>7.527500137952639E-14</v>
      </c>
      <c r="U278" s="81">
        <f t="shared" si="26"/>
        <v>0.37702987835505564</v>
      </c>
      <c r="V278" s="30"/>
      <c r="W278" s="23"/>
      <c r="Z278" s="23"/>
      <c r="AA278" s="23"/>
    </row>
    <row r="279" spans="1:27">
      <c r="A279" t="s">
        <v>897</v>
      </c>
      <c r="B279" t="s">
        <v>898</v>
      </c>
      <c r="C279">
        <v>920</v>
      </c>
      <c r="D279">
        <v>5</v>
      </c>
      <c r="F279" s="19">
        <f t="shared" si="27"/>
        <v>1.0869565217391304</v>
      </c>
      <c r="G279" s="19">
        <f t="shared" si="23"/>
        <v>1.7416026897868075E-6</v>
      </c>
      <c r="H279" s="19">
        <f t="shared" si="24"/>
        <v>4.9760076851051643E-7</v>
      </c>
      <c r="P279" s="5">
        <v>0.12413686088913028</v>
      </c>
      <c r="T279" s="19">
        <f t="shared" si="25"/>
        <v>3.6328370230988821E-14</v>
      </c>
      <c r="U279" s="81">
        <f t="shared" si="26"/>
        <v>0.19456561781874418</v>
      </c>
      <c r="V279" s="30"/>
      <c r="W279" s="23"/>
      <c r="Z279" s="23"/>
      <c r="AA279" s="23"/>
    </row>
    <row r="280" spans="1:27">
      <c r="A280" t="s">
        <v>899</v>
      </c>
      <c r="B280" t="s">
        <v>900</v>
      </c>
      <c r="C280">
        <v>195</v>
      </c>
      <c r="D280">
        <v>5</v>
      </c>
      <c r="F280" s="19">
        <f t="shared" si="27"/>
        <v>5.1282051282051286</v>
      </c>
      <c r="G280" s="19">
        <f t="shared" si="23"/>
        <v>8.2167921774557085E-6</v>
      </c>
      <c r="H280" s="19">
        <f t="shared" si="24"/>
        <v>2.347654907844488E-6</v>
      </c>
      <c r="P280" s="5">
        <v>0.35370000000000001</v>
      </c>
      <c r="T280" s="19">
        <f t="shared" si="25"/>
        <v>1.7139538775646009E-13</v>
      </c>
      <c r="U280" s="81">
        <f t="shared" si="26"/>
        <v>0.87155633840843438</v>
      </c>
      <c r="V280" s="30"/>
      <c r="W280" s="23"/>
      <c r="Z280" s="23"/>
      <c r="AA280" s="23"/>
    </row>
    <row r="281" spans="1:27">
      <c r="A281" s="9" t="s">
        <v>901</v>
      </c>
      <c r="B281" t="s">
        <v>902</v>
      </c>
      <c r="C281">
        <v>66</v>
      </c>
      <c r="D281">
        <v>5</v>
      </c>
      <c r="F281" s="19">
        <f t="shared" si="27"/>
        <v>15.151515151515152</v>
      </c>
      <c r="G281" s="19">
        <f t="shared" si="23"/>
        <v>2.4276885978846412E-5</v>
      </c>
      <c r="H281" s="19">
        <f t="shared" si="24"/>
        <v>6.9362531368132594E-6</v>
      </c>
      <c r="P281" s="5">
        <v>0.27079999999999999</v>
      </c>
      <c r="T281" s="19">
        <f t="shared" si="25"/>
        <v>5.0639546382590484E-13</v>
      </c>
      <c r="U281" s="81">
        <f t="shared" si="26"/>
        <v>2.4202082725703744</v>
      </c>
      <c r="V281" s="30"/>
      <c r="W281" s="23"/>
      <c r="Z281" s="23"/>
      <c r="AA281" s="23"/>
    </row>
    <row r="282" spans="1:27">
      <c r="A282" s="9" t="s">
        <v>903</v>
      </c>
      <c r="B282" t="s">
        <v>904</v>
      </c>
      <c r="C282">
        <v>8.5</v>
      </c>
      <c r="D282">
        <v>5</v>
      </c>
      <c r="F282" s="19">
        <f t="shared" si="27"/>
        <v>117.64705882352941</v>
      </c>
      <c r="G282" s="19">
        <f t="shared" si="23"/>
        <v>1.8850287936516037E-4</v>
      </c>
      <c r="H282" s="19">
        <f t="shared" si="24"/>
        <v>5.3857965532902955E-5</v>
      </c>
      <c r="P282" s="5">
        <v>0.14660000000000001</v>
      </c>
      <c r="T282" s="19">
        <f t="shared" si="25"/>
        <v>3.9320118367658487E-12</v>
      </c>
      <c r="U282" s="81">
        <f t="shared" si="26"/>
        <v>18.400988939958197</v>
      </c>
      <c r="V282" s="30"/>
      <c r="W282" s="23"/>
      <c r="Z282" s="23"/>
      <c r="AA282" s="23"/>
    </row>
    <row r="283" spans="1:27">
      <c r="A283" s="9" t="s">
        <v>905</v>
      </c>
      <c r="B283" t="s">
        <v>906</v>
      </c>
      <c r="C283">
        <v>40</v>
      </c>
      <c r="D283">
        <v>5</v>
      </c>
      <c r="F283" s="19">
        <f t="shared" si="27"/>
        <v>25</v>
      </c>
      <c r="G283" s="19">
        <f t="shared" si="23"/>
        <v>4.0056861865096575E-5</v>
      </c>
      <c r="H283" s="19">
        <f t="shared" si="24"/>
        <v>1.1444817675741878E-5</v>
      </c>
      <c r="P283" s="5">
        <v>0.3896</v>
      </c>
      <c r="T283" s="19">
        <f t="shared" si="25"/>
        <v>8.355525153127429E-13</v>
      </c>
      <c r="U283" s="81">
        <f t="shared" si="26"/>
        <v>3.9818996497411172</v>
      </c>
      <c r="V283" s="30"/>
      <c r="W283" s="23"/>
      <c r="Z283" s="23"/>
      <c r="AA283" s="23"/>
    </row>
    <row r="284" spans="1:27">
      <c r="A284" s="9" t="s">
        <v>907</v>
      </c>
      <c r="B284" t="s">
        <v>908</v>
      </c>
      <c r="C284">
        <v>560</v>
      </c>
      <c r="D284">
        <v>5</v>
      </c>
      <c r="E284" t="s">
        <v>909</v>
      </c>
      <c r="F284" s="19">
        <f t="shared" si="27"/>
        <v>1.7857142857142856</v>
      </c>
      <c r="G284" s="19">
        <f t="shared" si="23"/>
        <v>2.8612044189354695E-6</v>
      </c>
      <c r="H284" s="19">
        <f t="shared" si="24"/>
        <v>8.1748697683870554E-7</v>
      </c>
      <c r="P284" s="5">
        <v>0.53239999999999998</v>
      </c>
      <c r="T284" s="19">
        <f t="shared" si="25"/>
        <v>5.9682322522338773E-14</v>
      </c>
      <c r="U284" s="81">
        <f t="shared" si="26"/>
        <v>0.38533568926722267</v>
      </c>
      <c r="V284" s="30"/>
      <c r="W284" s="23"/>
      <c r="Z284" s="23"/>
      <c r="AA284" s="23"/>
    </row>
    <row r="285" spans="1:27">
      <c r="A285" s="9" t="s">
        <v>910</v>
      </c>
      <c r="B285" t="s">
        <v>911</v>
      </c>
      <c r="C285">
        <v>934</v>
      </c>
      <c r="D285">
        <v>5</v>
      </c>
      <c r="F285" s="19">
        <f t="shared" si="27"/>
        <v>1.0706638115631693</v>
      </c>
      <c r="G285" s="19">
        <f t="shared" si="23"/>
        <v>1.7154972961497464E-6</v>
      </c>
      <c r="H285" s="19">
        <f t="shared" si="24"/>
        <v>4.9014208461421319E-7</v>
      </c>
      <c r="T285" s="19">
        <f t="shared" si="25"/>
        <v>3.5783833632237385E-14</v>
      </c>
      <c r="U285" s="81">
        <f t="shared" si="26"/>
        <v>0.16719398928227483</v>
      </c>
      <c r="V285" s="30"/>
      <c r="W285" s="23"/>
      <c r="Z285" s="23"/>
      <c r="AA285" s="23"/>
    </row>
    <row r="286" spans="1:27">
      <c r="A286" s="9" t="s">
        <v>912</v>
      </c>
      <c r="B286" t="s">
        <v>913</v>
      </c>
      <c r="C286">
        <v>99</v>
      </c>
      <c r="D286">
        <v>5</v>
      </c>
      <c r="F286" s="19">
        <f t="shared" si="27"/>
        <v>10.101010101010102</v>
      </c>
      <c r="G286" s="19">
        <f t="shared" si="23"/>
        <v>1.6184590652564276E-5</v>
      </c>
      <c r="H286" s="19">
        <f t="shared" si="24"/>
        <v>4.6241687578755066E-6</v>
      </c>
      <c r="T286" s="19">
        <f t="shared" si="25"/>
        <v>3.3759697588393656E-13</v>
      </c>
      <c r="U286" s="81">
        <f t="shared" si="26"/>
        <v>1.5773655150469161</v>
      </c>
      <c r="V286" s="30"/>
      <c r="W286" s="23"/>
      <c r="Z286" s="23"/>
      <c r="AA286" s="23"/>
    </row>
    <row r="287" spans="1:27">
      <c r="A287" s="9" t="s">
        <v>914</v>
      </c>
      <c r="B287" t="s">
        <v>915</v>
      </c>
      <c r="C287">
        <v>363</v>
      </c>
      <c r="D287">
        <v>5</v>
      </c>
      <c r="F287" s="19">
        <f t="shared" si="27"/>
        <v>2.7548209366391188</v>
      </c>
      <c r="G287" s="19">
        <f t="shared" si="23"/>
        <v>4.413979268881166E-6</v>
      </c>
      <c r="H287" s="19">
        <f t="shared" si="24"/>
        <v>1.2611369339660473E-6</v>
      </c>
      <c r="T287" s="19">
        <f t="shared" si="25"/>
        <v>9.2071902513800876E-14</v>
      </c>
      <c r="U287" s="81">
        <f t="shared" si="26"/>
        <v>0.43019059501279527</v>
      </c>
      <c r="V287" s="30"/>
      <c r="W287" s="23"/>
      <c r="Z287" s="23"/>
      <c r="AA287" s="23"/>
    </row>
    <row r="288" spans="1:27">
      <c r="A288" s="9" t="s">
        <v>916</v>
      </c>
      <c r="B288" t="s">
        <v>917</v>
      </c>
      <c r="C288">
        <v>3800</v>
      </c>
      <c r="D288">
        <v>5</v>
      </c>
      <c r="F288" s="19">
        <f t="shared" si="27"/>
        <v>0.26315789473684209</v>
      </c>
      <c r="G288" s="19">
        <f t="shared" si="23"/>
        <v>4.2165117752733238E-7</v>
      </c>
      <c r="H288" s="19">
        <f t="shared" si="24"/>
        <v>1.2047176500780924E-7</v>
      </c>
      <c r="T288" s="19">
        <f t="shared" si="25"/>
        <v>8.7952896348709781E-15</v>
      </c>
      <c r="U288" s="81">
        <f t="shared" si="26"/>
        <v>4.1094522628853866E-2</v>
      </c>
      <c r="V288" s="30"/>
      <c r="W288" s="23"/>
      <c r="Z288" s="23"/>
      <c r="AA288" s="23"/>
    </row>
    <row r="289" spans="1:31">
      <c r="A289" s="9" t="s">
        <v>918</v>
      </c>
      <c r="B289" t="s">
        <v>919</v>
      </c>
      <c r="C289">
        <v>61</v>
      </c>
      <c r="D289">
        <v>5</v>
      </c>
      <c r="F289" s="19">
        <f t="shared" si="27"/>
        <v>16.393442622950822</v>
      </c>
      <c r="G289" s="19">
        <f t="shared" si="23"/>
        <v>2.6266794665637102E-5</v>
      </c>
      <c r="H289" s="19">
        <f t="shared" si="24"/>
        <v>7.5047984758963144E-6</v>
      </c>
      <c r="P289" s="5">
        <v>0.10178</v>
      </c>
      <c r="T289" s="19">
        <f t="shared" si="25"/>
        <v>5.4790328872966749E-13</v>
      </c>
      <c r="U289" s="81">
        <f t="shared" si="26"/>
        <v>2.5803426555679456</v>
      </c>
      <c r="V289" s="30"/>
      <c r="W289" s="23"/>
      <c r="Z289" s="23"/>
      <c r="AA289" s="23"/>
    </row>
    <row r="290" spans="1:31">
      <c r="A290" s="9" t="s">
        <v>920</v>
      </c>
      <c r="B290" t="s">
        <v>921</v>
      </c>
      <c r="C290">
        <v>57</v>
      </c>
      <c r="D290">
        <v>5</v>
      </c>
      <c r="F290" s="19">
        <f t="shared" si="27"/>
        <v>17.543859649122805</v>
      </c>
      <c r="G290" s="19">
        <f t="shared" si="23"/>
        <v>2.8110078501822152E-5</v>
      </c>
      <c r="H290" s="19">
        <f t="shared" si="24"/>
        <v>8.0314510005206155E-6</v>
      </c>
      <c r="N290" s="5">
        <v>9.894E-2</v>
      </c>
      <c r="P290" s="5">
        <v>0.10213999999999999</v>
      </c>
      <c r="T290" s="19">
        <f t="shared" si="25"/>
        <v>5.8635264232473179E-13</v>
      </c>
      <c r="U290" s="81">
        <f t="shared" si="26"/>
        <v>3.350115322839621</v>
      </c>
      <c r="V290" s="30"/>
      <c r="W290" s="23"/>
      <c r="Z290" s="23"/>
      <c r="AA290" s="23"/>
    </row>
    <row r="291" spans="1:31">
      <c r="A291" s="9" t="s">
        <v>922</v>
      </c>
      <c r="B291" t="s">
        <v>923</v>
      </c>
      <c r="C291">
        <v>450</v>
      </c>
      <c r="D291">
        <v>5</v>
      </c>
      <c r="E291" t="s">
        <v>924</v>
      </c>
      <c r="F291" s="19">
        <f t="shared" si="27"/>
        <v>2.2222222222222223</v>
      </c>
      <c r="G291" s="19">
        <f t="shared" si="23"/>
        <v>3.5606099435641405E-6</v>
      </c>
      <c r="H291" s="19">
        <f t="shared" si="24"/>
        <v>1.0173171267326114E-6</v>
      </c>
      <c r="N291" s="5">
        <v>0.12039999999999999</v>
      </c>
      <c r="T291" s="19">
        <f t="shared" si="25"/>
        <v>7.4271334694466032E-14</v>
      </c>
      <c r="U291" s="81">
        <f t="shared" si="26"/>
        <v>1.0650547644553598</v>
      </c>
      <c r="V291" s="30"/>
      <c r="W291" s="23"/>
      <c r="Z291" s="23"/>
      <c r="AA291" s="23"/>
    </row>
    <row r="292" spans="1:31">
      <c r="A292" s="9" t="s">
        <v>925</v>
      </c>
      <c r="B292" t="s">
        <v>926</v>
      </c>
      <c r="C292">
        <v>1900</v>
      </c>
      <c r="D292">
        <v>5</v>
      </c>
      <c r="F292" s="19">
        <f t="shared" si="27"/>
        <v>0.52631578947368418</v>
      </c>
      <c r="G292" s="19">
        <f t="shared" si="23"/>
        <v>8.4330235505466476E-7</v>
      </c>
      <c r="H292" s="19">
        <f t="shared" si="24"/>
        <v>2.4094353001561847E-7</v>
      </c>
      <c r="T292" s="19">
        <f t="shared" si="25"/>
        <v>1.7590579269741956E-14</v>
      </c>
      <c r="U292" s="81">
        <f t="shared" si="26"/>
        <v>8.2189045257707732E-2</v>
      </c>
      <c r="V292" s="30"/>
      <c r="W292" s="23"/>
      <c r="Z292" s="23"/>
      <c r="AA292" s="23"/>
    </row>
    <row r="293" spans="1:31">
      <c r="A293" s="9" t="s">
        <v>927</v>
      </c>
      <c r="B293" t="s">
        <v>928</v>
      </c>
      <c r="C293">
        <v>250</v>
      </c>
      <c r="D293">
        <v>5</v>
      </c>
      <c r="F293" s="19">
        <f t="shared" si="27"/>
        <v>4</v>
      </c>
      <c r="G293" s="19">
        <f t="shared" si="23"/>
        <v>6.4090978984154518E-6</v>
      </c>
      <c r="H293" s="19">
        <f t="shared" si="24"/>
        <v>1.8311708281187004E-6</v>
      </c>
      <c r="P293" s="5">
        <v>0.1691</v>
      </c>
      <c r="T293" s="19">
        <f t="shared" si="25"/>
        <v>1.3368840245003887E-13</v>
      </c>
      <c r="U293" s="81">
        <f t="shared" si="26"/>
        <v>0.65845674395857867</v>
      </c>
      <c r="V293" s="30"/>
      <c r="W293" s="23"/>
      <c r="Z293" s="23"/>
      <c r="AA293" s="23"/>
    </row>
    <row r="294" spans="1:31">
      <c r="A294" s="9" t="s">
        <v>929</v>
      </c>
      <c r="B294" t="s">
        <v>930</v>
      </c>
      <c r="C294">
        <v>650</v>
      </c>
      <c r="D294">
        <v>5</v>
      </c>
      <c r="F294" s="19">
        <f t="shared" si="27"/>
        <v>1.5384615384615385</v>
      </c>
      <c r="G294" s="19">
        <f t="shared" si="23"/>
        <v>2.4650376532367125E-6</v>
      </c>
      <c r="H294" s="19">
        <f t="shared" si="24"/>
        <v>7.0429647235334635E-7</v>
      </c>
      <c r="T294" s="19">
        <f t="shared" si="25"/>
        <v>5.1418616326938025E-14</v>
      </c>
      <c r="U294" s="81">
        <f t="shared" si="26"/>
        <v>0.24024490152253028</v>
      </c>
      <c r="V294" s="30"/>
      <c r="W294" s="23"/>
      <c r="Z294" s="23"/>
      <c r="AA294" s="23"/>
    </row>
    <row r="295" spans="1:31">
      <c r="A295" s="9" t="s">
        <v>931</v>
      </c>
      <c r="B295" t="s">
        <v>932</v>
      </c>
      <c r="C295">
        <v>715</v>
      </c>
      <c r="D295">
        <v>5</v>
      </c>
      <c r="F295" s="19">
        <f t="shared" si="27"/>
        <v>1.3986013986013985</v>
      </c>
      <c r="G295" s="19">
        <f t="shared" si="23"/>
        <v>2.2409433211242838E-6</v>
      </c>
      <c r="H295" s="19">
        <f t="shared" si="24"/>
        <v>6.4026952032122391E-7</v>
      </c>
      <c r="K295" s="5">
        <v>0.164856</v>
      </c>
      <c r="T295" s="19">
        <f t="shared" si="25"/>
        <v>4.6744196660852749E-14</v>
      </c>
      <c r="U295" s="81">
        <f t="shared" si="26"/>
        <v>1.3745422476710452</v>
      </c>
      <c r="V295" s="30"/>
      <c r="W295" s="23"/>
      <c r="Z295" s="23"/>
      <c r="AA295" s="23"/>
    </row>
    <row r="296" spans="1:31">
      <c r="A296" t="s">
        <v>933</v>
      </c>
      <c r="B296" t="s">
        <v>934</v>
      </c>
      <c r="C296">
        <v>1790</v>
      </c>
      <c r="D296">
        <v>5</v>
      </c>
      <c r="F296" s="19">
        <f t="shared" si="27"/>
        <v>0.55865921787709494</v>
      </c>
      <c r="G296" s="19">
        <f t="shared" si="23"/>
        <v>8.9512540480662741E-7</v>
      </c>
      <c r="H296" s="19">
        <f t="shared" si="24"/>
        <v>2.5575011565903636E-7</v>
      </c>
      <c r="T296" s="19">
        <f t="shared" si="25"/>
        <v>1.8671564587994253E-14</v>
      </c>
      <c r="U296" s="81">
        <f t="shared" si="26"/>
        <v>8.7239768709298698E-2</v>
      </c>
      <c r="V296" s="30"/>
      <c r="W296" s="23"/>
      <c r="Z296" s="23"/>
      <c r="AA296" s="23"/>
    </row>
    <row r="297" spans="1:31">
      <c r="A297" s="9" t="s">
        <v>935</v>
      </c>
      <c r="B297" t="s">
        <v>936</v>
      </c>
      <c r="C297">
        <v>64</v>
      </c>
      <c r="D297">
        <v>5</v>
      </c>
      <c r="F297" s="19">
        <f t="shared" si="27"/>
        <v>15.625</v>
      </c>
      <c r="G297" s="19">
        <f t="shared" si="23"/>
        <v>2.503553866568536E-5</v>
      </c>
      <c r="H297" s="19">
        <f t="shared" si="24"/>
        <v>7.1530110473386733E-6</v>
      </c>
      <c r="N297" s="5">
        <v>0.1079</v>
      </c>
      <c r="P297" s="5">
        <v>0.22276000000000001</v>
      </c>
      <c r="T297" s="19">
        <f t="shared" si="25"/>
        <v>5.2222032207046429E-13</v>
      </c>
      <c r="U297" s="81">
        <f t="shared" si="26"/>
        <v>3.1280268765080455</v>
      </c>
      <c r="V297" s="30"/>
      <c r="W297" s="23"/>
      <c r="Z297" s="23"/>
      <c r="AA297" s="23"/>
    </row>
    <row r="298" spans="1:31">
      <c r="A298" s="9" t="s">
        <v>937</v>
      </c>
      <c r="B298" t="s">
        <v>938</v>
      </c>
      <c r="C298">
        <v>1.6</v>
      </c>
      <c r="D298">
        <v>5</v>
      </c>
      <c r="F298" s="19">
        <f t="shared" si="27"/>
        <v>625</v>
      </c>
      <c r="G298" s="19">
        <f t="shared" si="23"/>
        <v>1.0014215466274145E-3</v>
      </c>
      <c r="H298" s="19">
        <f t="shared" si="24"/>
        <v>2.8612044189354693E-4</v>
      </c>
      <c r="T298" s="19">
        <f t="shared" si="25"/>
        <v>2.0888812882818572E-11</v>
      </c>
      <c r="U298" s="81">
        <f t="shared" si="26"/>
        <v>97.599491243527936</v>
      </c>
      <c r="V298" s="30"/>
      <c r="W298" s="23"/>
      <c r="Z298" s="23"/>
      <c r="AA298" s="23"/>
    </row>
    <row r="299" spans="1:31">
      <c r="A299" s="9" t="s">
        <v>939</v>
      </c>
      <c r="B299" t="s">
        <v>940</v>
      </c>
      <c r="C299">
        <v>245</v>
      </c>
      <c r="D299">
        <v>5</v>
      </c>
      <c r="F299" s="19">
        <f t="shared" si="27"/>
        <v>4.0816326530612246</v>
      </c>
      <c r="G299" s="19">
        <f t="shared" si="23"/>
        <v>6.5398958147096452E-6</v>
      </c>
      <c r="H299" s="19">
        <f t="shared" si="24"/>
        <v>1.8685416613456128E-6</v>
      </c>
      <c r="T299" s="19">
        <f t="shared" si="25"/>
        <v>1.364167371939172E-13</v>
      </c>
      <c r="U299" s="81">
        <f t="shared" si="26"/>
        <v>0.63738443261079458</v>
      </c>
      <c r="V299" s="30"/>
      <c r="W299" s="23"/>
      <c r="Z299" s="23"/>
      <c r="AA299" s="23"/>
    </row>
    <row r="300" spans="1:31">
      <c r="A300" s="9" t="s">
        <v>941</v>
      </c>
      <c r="B300" s="9" t="s">
        <v>942</v>
      </c>
      <c r="C300">
        <v>290</v>
      </c>
      <c r="D300">
        <v>5</v>
      </c>
      <c r="F300" s="19">
        <f t="shared" si="27"/>
        <v>3.4482758620689653</v>
      </c>
      <c r="G300" s="19">
        <f t="shared" si="23"/>
        <v>5.5250843951857341E-6</v>
      </c>
      <c r="H300" s="19">
        <f t="shared" si="24"/>
        <v>1.5785955414816384E-6</v>
      </c>
      <c r="T300" s="19">
        <f t="shared" si="25"/>
        <v>1.1524862280175763E-13</v>
      </c>
      <c r="U300" s="81">
        <f t="shared" si="26"/>
        <v>0.53847995168842988</v>
      </c>
      <c r="V300" s="30"/>
      <c r="W300" s="23"/>
      <c r="Z300" s="23"/>
      <c r="AA300" s="23"/>
    </row>
    <row r="301" spans="1:31">
      <c r="A301" s="9" t="s">
        <v>943</v>
      </c>
      <c r="B301" t="s">
        <v>491</v>
      </c>
      <c r="C301">
        <v>86</v>
      </c>
      <c r="D301">
        <v>5</v>
      </c>
      <c r="F301" s="19">
        <f t="shared" si="27"/>
        <v>11.627906976744185</v>
      </c>
      <c r="G301" s="19">
        <f t="shared" si="23"/>
        <v>1.8631098541905384E-5</v>
      </c>
      <c r="H301" s="19">
        <f t="shared" si="24"/>
        <v>5.3231710119729657E-6</v>
      </c>
      <c r="T301" s="19">
        <f t="shared" si="25"/>
        <v>3.8862907688964781E-13</v>
      </c>
      <c r="U301" s="81">
        <f t="shared" si="26"/>
        <v>1.8158044882516822</v>
      </c>
      <c r="V301" s="30"/>
      <c r="W301" s="23"/>
      <c r="Z301" s="23"/>
      <c r="AA301" s="23"/>
    </row>
    <row r="302" spans="1:31">
      <c r="A302" s="9" t="s">
        <v>944</v>
      </c>
      <c r="B302" t="s">
        <v>945</v>
      </c>
      <c r="C302">
        <v>40.5</v>
      </c>
      <c r="D302">
        <v>5</v>
      </c>
      <c r="F302" s="19">
        <f t="shared" si="27"/>
        <v>24.691358024691358</v>
      </c>
      <c r="G302" s="19">
        <f t="shared" si="23"/>
        <v>3.9562332706268221E-5</v>
      </c>
      <c r="H302" s="19">
        <f t="shared" si="24"/>
        <v>1.1303523630362349E-5</v>
      </c>
      <c r="N302" s="5">
        <v>0.2402</v>
      </c>
      <c r="S302" s="5">
        <v>0.75992999999999999</v>
      </c>
      <c r="T302" s="19">
        <f t="shared" si="25"/>
        <v>8.2523705216073373E-13</v>
      </c>
      <c r="U302" s="81">
        <f t="shared" si="26"/>
        <v>42.99518375223284</v>
      </c>
      <c r="V302" s="30"/>
      <c r="W302" s="23"/>
      <c r="Z302" s="23"/>
      <c r="AA302" s="23"/>
    </row>
    <row r="303" spans="1:31">
      <c r="A303" s="9" t="s">
        <v>946</v>
      </c>
      <c r="B303" t="s">
        <v>947</v>
      </c>
      <c r="C303">
        <v>320</v>
      </c>
      <c r="D303">
        <v>5</v>
      </c>
      <c r="E303" t="s">
        <v>909</v>
      </c>
      <c r="F303" s="19">
        <f t="shared" si="27"/>
        <v>3.125</v>
      </c>
      <c r="G303" s="19">
        <f t="shared" si="23"/>
        <v>5.0071077331370718E-6</v>
      </c>
      <c r="H303" s="19">
        <f t="shared" si="24"/>
        <v>1.4306022094677347E-6</v>
      </c>
      <c r="P303" s="5">
        <v>0.41857</v>
      </c>
      <c r="S303" s="5">
        <v>0.21379999999999999</v>
      </c>
      <c r="T303" s="19">
        <f t="shared" si="25"/>
        <v>1.0444406441409286E-13</v>
      </c>
      <c r="U303" s="81">
        <f t="shared" si="26"/>
        <v>11.180237972572037</v>
      </c>
      <c r="V303" s="30"/>
      <c r="W303" s="23"/>
      <c r="Z303" s="23"/>
      <c r="AA303" s="23"/>
      <c r="AC303" s="9"/>
      <c r="AD303" s="9" t="s">
        <v>948</v>
      </c>
      <c r="AE303" s="9" t="s">
        <v>948</v>
      </c>
    </row>
    <row r="304" spans="1:31">
      <c r="E304" s="9" t="s">
        <v>949</v>
      </c>
      <c r="F304" s="19">
        <f>AVERAGE(F2:F303)</f>
        <v>106.26785420916532</v>
      </c>
    </row>
  </sheetData>
  <sheetProtection algorithmName="SHA-512" hashValue="BvVoBrHC8BUI4OH2ZXMr+8Xpvq3sZYvrXcdPFw34rjC5lTtZe5cDZojNTbca+Qz+lfQPESWM2MIu0+R3xWLjbA==" saltValue="SAlXBhfzjdI4LsAV10MrQQ==" spinCount="100000" sheet="1" objects="1" scenarios="1"/>
  <autoFilter ref="A1:V304" xr:uid="{00000000-0009-0000-0000-00000B000000}"/>
  <phoneticPr fontId="0"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Y514"/>
  <sheetViews>
    <sheetView zoomScale="114" workbookViewId="0">
      <pane xSplit="1" ySplit="1" topLeftCell="O2" activePane="bottomRight" state="frozen"/>
      <selection pane="topRight" activeCell="L190" sqref="L190"/>
      <selection pane="bottomLeft" activeCell="L190" sqref="L190"/>
      <selection pane="bottomRight" activeCell="W8" sqref="W7:W8"/>
    </sheetView>
  </sheetViews>
  <sheetFormatPr baseColWidth="10" defaultColWidth="8.83203125" defaultRowHeight="13"/>
  <cols>
    <col min="1" max="1" width="53.5" customWidth="1"/>
    <col min="2" max="2" width="7.5" customWidth="1"/>
    <col min="4" max="4" width="10.5" bestFit="1" customWidth="1"/>
    <col min="6" max="6" width="10.5" bestFit="1" customWidth="1"/>
    <col min="7" max="7" width="9.5" customWidth="1"/>
    <col min="9" max="9" width="9.5" customWidth="1"/>
    <col min="10" max="10" width="12.5" customWidth="1"/>
    <col min="15" max="18" width="9.83203125" customWidth="1"/>
    <col min="19" max="19" width="10.5" bestFit="1" customWidth="1"/>
    <col min="20" max="20" width="11.6640625" style="33" customWidth="1"/>
    <col min="22" max="22" width="13.33203125" style="26" customWidth="1"/>
    <col min="24" max="24" width="11.5" bestFit="1" customWidth="1"/>
  </cols>
  <sheetData>
    <row r="1" spans="1:25" s="2" customFormat="1" ht="56">
      <c r="A1" s="2" t="s">
        <v>1487</v>
      </c>
      <c r="B1" s="2" t="s">
        <v>158</v>
      </c>
      <c r="C1" s="2" t="s">
        <v>951</v>
      </c>
      <c r="D1" s="2" t="s">
        <v>315</v>
      </c>
      <c r="E1" s="2" t="s">
        <v>952</v>
      </c>
      <c r="F1" s="2" t="s">
        <v>315</v>
      </c>
      <c r="G1" s="4" t="s">
        <v>953</v>
      </c>
      <c r="H1" s="4" t="s">
        <v>954</v>
      </c>
      <c r="I1" s="4" t="s">
        <v>955</v>
      </c>
      <c r="J1" s="4" t="s">
        <v>956</v>
      </c>
      <c r="K1" s="4" t="s">
        <v>957</v>
      </c>
      <c r="L1" s="4" t="s">
        <v>958</v>
      </c>
      <c r="M1" s="4" t="s">
        <v>959</v>
      </c>
      <c r="N1" s="4" t="s">
        <v>960</v>
      </c>
      <c r="O1" s="4" t="s">
        <v>961</v>
      </c>
      <c r="P1" s="4" t="s">
        <v>962</v>
      </c>
      <c r="Q1" s="4" t="s">
        <v>963</v>
      </c>
      <c r="R1" s="4" t="s">
        <v>964</v>
      </c>
      <c r="S1" s="4" t="s">
        <v>965</v>
      </c>
      <c r="T1" s="82" t="s">
        <v>1769</v>
      </c>
      <c r="V1" s="64"/>
    </row>
    <row r="2" spans="1:25">
      <c r="A2" s="2" t="s">
        <v>966</v>
      </c>
      <c r="B2" s="2"/>
      <c r="T2" s="52"/>
      <c r="X2" s="9"/>
    </row>
    <row r="3" spans="1:25">
      <c r="A3" s="9" t="s">
        <v>967</v>
      </c>
      <c r="B3" s="9" t="s">
        <v>11</v>
      </c>
      <c r="C3">
        <v>6230</v>
      </c>
      <c r="D3">
        <v>1.17</v>
      </c>
      <c r="E3">
        <v>1</v>
      </c>
      <c r="F3">
        <v>1</v>
      </c>
      <c r="G3" s="1">
        <f t="shared" ref="G3:G66" si="0">E3*0.000179</f>
        <v>1.7899999999999999E-4</v>
      </c>
      <c r="H3" s="19">
        <f t="shared" ref="H3:H16" si="1">CO2_YLL_charfact*C3</f>
        <v>-9.418616950182257E-4</v>
      </c>
      <c r="I3" s="1">
        <f t="shared" ref="I3:I16" si="2">E3*0.00000133</f>
        <v>1.33E-6</v>
      </c>
      <c r="J3" s="1">
        <f t="shared" ref="J3:J16" si="3">E3*0.000266</f>
        <v>2.6600000000000001E-4</v>
      </c>
      <c r="K3" s="19">
        <f t="shared" ref="K3:K16" si="4">CO2_severewasting_charfact*C3</f>
        <v>4.1596415552855405E-2</v>
      </c>
      <c r="L3" s="19">
        <f t="shared" ref="L3:L16" si="5">CO2_workingcapacity_charfact*C3</f>
        <v>26.027471445929528</v>
      </c>
      <c r="M3" s="19">
        <f t="shared" ref="M3:M16" si="6">CO2_diarrhea_charfact*C3</f>
        <v>8.9135176184690162E-4</v>
      </c>
      <c r="N3" s="19">
        <f t="shared" ref="N3:N66" si="7">CO2_crop_charfact</f>
        <v>1.8728799615228837E-2</v>
      </c>
      <c r="O3" s="19">
        <v>-4.6399999999999997</v>
      </c>
      <c r="P3" s="19">
        <f t="shared" ref="P3:P16" si="8">CO2_meat_charfact*C3</f>
        <v>4.9247184842041314</v>
      </c>
      <c r="Q3" s="19">
        <f t="shared" ref="Q3:Q16" si="9">CO2_fish_charfact*C3</f>
        <v>0.30305959902794655</v>
      </c>
      <c r="R3" s="19">
        <f t="shared" ref="R3:R16" si="10">CO2_drinkingwater_charfact*C3</f>
        <v>935.91934993924679</v>
      </c>
      <c r="S3" s="19">
        <f t="shared" ref="S3:S16" si="11">CO2_NEX_charfact*C3</f>
        <v>7.9231267719724587E-13</v>
      </c>
      <c r="T3" s="83">
        <f t="shared" ref="T3:T16" si="12">(G3+H3)*YLLvalue+I3*skincancervalue+J3*Lowvisionvalue+K3*severe_wasting_value+L3*working_capacity+M3*diarrhea_value+N3*cropvalue+O3*woodvalue+P3*meatvalue+Q3*fishvalue+R3*drinkingwatervalue+S3*speciesvalue</f>
        <v>1637.0539144447225</v>
      </c>
      <c r="X3" s="9"/>
    </row>
    <row r="4" spans="1:25">
      <c r="A4" s="9" t="s">
        <v>968</v>
      </c>
      <c r="B4" s="9" t="s">
        <v>11</v>
      </c>
      <c r="C4">
        <v>12500</v>
      </c>
      <c r="D4">
        <v>1.2</v>
      </c>
      <c r="E4">
        <v>0.82</v>
      </c>
      <c r="F4">
        <v>1.2</v>
      </c>
      <c r="G4" s="1">
        <f t="shared" si="0"/>
        <v>1.4677999999999997E-4</v>
      </c>
      <c r="H4" s="19">
        <f t="shared" si="1"/>
        <v>-1.8897706561360869E-3</v>
      </c>
      <c r="I4" s="1">
        <f t="shared" si="2"/>
        <v>1.0906E-6</v>
      </c>
      <c r="J4" s="1">
        <f t="shared" si="3"/>
        <v>2.1812000000000001E-4</v>
      </c>
      <c r="K4" s="19">
        <f t="shared" si="4"/>
        <v>8.3459902794653706E-2</v>
      </c>
      <c r="L4" s="19">
        <f t="shared" si="5"/>
        <v>52.222053462940465</v>
      </c>
      <c r="M4" s="19">
        <f t="shared" si="6"/>
        <v>1.7884264884568651E-3</v>
      </c>
      <c r="N4" s="19">
        <f t="shared" si="7"/>
        <v>1.8728799615228837E-2</v>
      </c>
      <c r="O4" s="19">
        <v>-3.64</v>
      </c>
      <c r="P4" s="19">
        <f t="shared" si="8"/>
        <v>9.8810563487241794</v>
      </c>
      <c r="Q4" s="19">
        <f t="shared" si="9"/>
        <v>0.6080650060753342</v>
      </c>
      <c r="R4" s="19">
        <f t="shared" si="10"/>
        <v>1877.8478128797085</v>
      </c>
      <c r="S4" s="19">
        <f t="shared" si="11"/>
        <v>1.5897124341838803E-12</v>
      </c>
      <c r="T4" s="83">
        <f t="shared" si="12"/>
        <v>3263.929648838548</v>
      </c>
      <c r="X4" s="9"/>
    </row>
    <row r="5" spans="1:25">
      <c r="A5" s="9" t="s">
        <v>969</v>
      </c>
      <c r="B5" s="9" t="s">
        <v>11</v>
      </c>
      <c r="C5" s="9">
        <v>16200</v>
      </c>
      <c r="D5">
        <v>1.2</v>
      </c>
      <c r="E5">
        <v>1</v>
      </c>
      <c r="F5">
        <v>1.2</v>
      </c>
      <c r="G5" s="1">
        <f t="shared" si="0"/>
        <v>1.7899999999999999E-4</v>
      </c>
      <c r="H5" s="19">
        <f t="shared" si="1"/>
        <v>-2.4491427703523688E-3</v>
      </c>
      <c r="I5" s="1">
        <f t="shared" si="2"/>
        <v>1.33E-6</v>
      </c>
      <c r="J5" s="1">
        <f t="shared" si="3"/>
        <v>2.6600000000000001E-4</v>
      </c>
      <c r="K5" s="19">
        <f t="shared" si="4"/>
        <v>0.10816403402187121</v>
      </c>
      <c r="L5" s="19">
        <f t="shared" si="5"/>
        <v>67.67978128797084</v>
      </c>
      <c r="M5" s="19">
        <f t="shared" si="6"/>
        <v>2.317800729040097E-3</v>
      </c>
      <c r="N5" s="19">
        <f t="shared" si="7"/>
        <v>1.8728799615228837E-2</v>
      </c>
      <c r="O5" s="19">
        <v>-2.64</v>
      </c>
      <c r="P5" s="19">
        <f t="shared" si="8"/>
        <v>12.805849027946536</v>
      </c>
      <c r="Q5" s="19">
        <f t="shared" si="9"/>
        <v>0.78805224787363304</v>
      </c>
      <c r="R5" s="19">
        <f t="shared" si="10"/>
        <v>2433.6907654921024</v>
      </c>
      <c r="S5" s="19">
        <f t="shared" si="11"/>
        <v>2.0602673147023087E-12</v>
      </c>
      <c r="T5" s="83">
        <f t="shared" si="12"/>
        <v>4229.3660315683683</v>
      </c>
      <c r="X5" s="9"/>
    </row>
    <row r="6" spans="1:25">
      <c r="A6" s="9" t="s">
        <v>970</v>
      </c>
      <c r="B6" s="9" t="s">
        <v>11</v>
      </c>
      <c r="C6">
        <v>4620</v>
      </c>
      <c r="D6">
        <v>1.2</v>
      </c>
      <c r="E6">
        <v>1</v>
      </c>
      <c r="F6">
        <v>1.2</v>
      </c>
      <c r="G6" s="1">
        <f t="shared" si="0"/>
        <v>1.7899999999999999E-4</v>
      </c>
      <c r="H6" s="19">
        <f t="shared" si="1"/>
        <v>-6.9845923450789771E-4</v>
      </c>
      <c r="I6" s="1">
        <f t="shared" si="2"/>
        <v>1.33E-6</v>
      </c>
      <c r="J6" s="1">
        <f t="shared" si="3"/>
        <v>2.6600000000000001E-4</v>
      </c>
      <c r="K6" s="19">
        <f t="shared" si="4"/>
        <v>3.084678007290401E-2</v>
      </c>
      <c r="L6" s="19">
        <f t="shared" si="5"/>
        <v>19.301270959902794</v>
      </c>
      <c r="M6" s="19">
        <f t="shared" si="6"/>
        <v>6.6100243013365737E-4</v>
      </c>
      <c r="N6" s="19">
        <f t="shared" si="7"/>
        <v>1.8728799615228837E-2</v>
      </c>
      <c r="O6" s="19">
        <v>-0.64</v>
      </c>
      <c r="P6" s="19">
        <f t="shared" si="8"/>
        <v>3.6520384264884567</v>
      </c>
      <c r="Q6" s="19">
        <f t="shared" si="9"/>
        <v>0.2247408262454435</v>
      </c>
      <c r="R6" s="19">
        <f t="shared" si="10"/>
        <v>694.05255164034031</v>
      </c>
      <c r="S6" s="19">
        <f t="shared" si="11"/>
        <v>5.8755771567436211E-13</v>
      </c>
      <c r="T6" s="83">
        <f t="shared" si="12"/>
        <v>1219.4300921208437</v>
      </c>
      <c r="X6" s="9"/>
    </row>
    <row r="7" spans="1:25">
      <c r="A7" s="9" t="s">
        <v>971</v>
      </c>
      <c r="B7" s="9" t="s">
        <v>11</v>
      </c>
      <c r="C7">
        <v>3550</v>
      </c>
      <c r="D7">
        <v>1.2</v>
      </c>
      <c r="E7">
        <v>1</v>
      </c>
      <c r="F7">
        <v>1.2</v>
      </c>
      <c r="G7" s="1">
        <f t="shared" si="0"/>
        <v>1.7899999999999999E-4</v>
      </c>
      <c r="H7" s="19">
        <f t="shared" si="1"/>
        <v>-5.3669486634264866E-4</v>
      </c>
      <c r="I7" s="1">
        <f t="shared" si="2"/>
        <v>1.33E-6</v>
      </c>
      <c r="J7" s="1">
        <f t="shared" si="3"/>
        <v>2.6600000000000001E-4</v>
      </c>
      <c r="K7" s="19">
        <f>CO2_severewasting_charfact*C7</f>
        <v>2.3702612393681651E-2</v>
      </c>
      <c r="L7" s="19">
        <f>CO2_workingcapacity_charfact*C7</f>
        <v>14.831063183475091</v>
      </c>
      <c r="M7" s="19">
        <f>CO2_diarrhea_charfact*C7</f>
        <v>5.0791312272174967E-4</v>
      </c>
      <c r="N7" s="19">
        <f t="shared" si="7"/>
        <v>1.8728799615228837E-2</v>
      </c>
      <c r="O7" s="19">
        <v>0.36</v>
      </c>
      <c r="P7" s="19">
        <f t="shared" si="8"/>
        <v>2.8062200030376672</v>
      </c>
      <c r="Q7" s="19">
        <f t="shared" si="9"/>
        <v>0.1726904617253949</v>
      </c>
      <c r="R7" s="19">
        <f t="shared" si="10"/>
        <v>533.30877885783718</v>
      </c>
      <c r="S7" s="19">
        <f t="shared" si="11"/>
        <v>4.5147833130822198E-13</v>
      </c>
      <c r="T7" s="83">
        <f t="shared" si="12"/>
        <v>941.49742759503613</v>
      </c>
      <c r="X7" s="9"/>
    </row>
    <row r="8" spans="1:25">
      <c r="A8" s="9" t="s">
        <v>972</v>
      </c>
      <c r="B8" s="9" t="s">
        <v>11</v>
      </c>
      <c r="C8">
        <v>6520</v>
      </c>
      <c r="D8">
        <v>1.2</v>
      </c>
      <c r="E8">
        <v>0.85</v>
      </c>
      <c r="F8">
        <v>1.2</v>
      </c>
      <c r="G8" s="1">
        <f t="shared" si="0"/>
        <v>1.5214999999999998E-4</v>
      </c>
      <c r="H8" s="19">
        <f t="shared" si="1"/>
        <v>-9.8570437424058297E-4</v>
      </c>
      <c r="I8" s="1">
        <f t="shared" si="2"/>
        <v>1.1305E-6</v>
      </c>
      <c r="J8" s="1">
        <f t="shared" si="3"/>
        <v>2.2609999999999999E-4</v>
      </c>
      <c r="K8" s="19">
        <f t="shared" si="4"/>
        <v>4.3532685297691373E-2</v>
      </c>
      <c r="L8" s="19">
        <f t="shared" si="5"/>
        <v>27.239023086269746</v>
      </c>
      <c r="M8" s="19">
        <f t="shared" si="6"/>
        <v>9.3284325637910082E-4</v>
      </c>
      <c r="N8" s="19">
        <f t="shared" si="7"/>
        <v>1.8728799615228837E-2</v>
      </c>
      <c r="O8" s="19">
        <v>0.36</v>
      </c>
      <c r="P8" s="19">
        <f t="shared" si="8"/>
        <v>5.1539589914945321</v>
      </c>
      <c r="Q8" s="19">
        <f t="shared" si="9"/>
        <v>0.31716670716889428</v>
      </c>
      <c r="R8" s="19">
        <f t="shared" si="10"/>
        <v>979.48541919805598</v>
      </c>
      <c r="S8" s="19">
        <f t="shared" si="11"/>
        <v>8.291940056703119E-13</v>
      </c>
      <c r="T8" s="83">
        <f t="shared" si="12"/>
        <v>1710.8142232294272</v>
      </c>
    </row>
    <row r="9" spans="1:25">
      <c r="A9" s="9" t="s">
        <v>973</v>
      </c>
      <c r="B9" s="9" t="s">
        <v>11</v>
      </c>
      <c r="C9">
        <v>3930</v>
      </c>
      <c r="D9">
        <v>1.2</v>
      </c>
      <c r="E9">
        <v>1</v>
      </c>
      <c r="F9">
        <v>1.2</v>
      </c>
      <c r="G9" s="1">
        <f t="shared" si="0"/>
        <v>1.7899999999999999E-4</v>
      </c>
      <c r="H9" s="19">
        <f t="shared" si="1"/>
        <v>-5.9414389428918567E-4</v>
      </c>
      <c r="I9" s="1">
        <f t="shared" si="2"/>
        <v>1.33E-6</v>
      </c>
      <c r="J9" s="1">
        <f t="shared" si="3"/>
        <v>2.6600000000000001E-4</v>
      </c>
      <c r="K9" s="19">
        <f>CO2_severewasting_charfact*C9</f>
        <v>2.6239793438639126E-2</v>
      </c>
      <c r="L9" s="19">
        <f>CO2_workingcapacity_charfact*C9</f>
        <v>16.418613608748483</v>
      </c>
      <c r="M9" s="19">
        <f>CO2_diarrhea_charfact*C9</f>
        <v>5.6228128797083834E-4</v>
      </c>
      <c r="N9" s="19">
        <f t="shared" si="7"/>
        <v>1.8728799615228837E-2</v>
      </c>
      <c r="O9" s="19">
        <v>1.36</v>
      </c>
      <c r="P9" s="19">
        <f t="shared" si="8"/>
        <v>3.106604116038882</v>
      </c>
      <c r="Q9" s="19">
        <f t="shared" si="9"/>
        <v>0.19117563791008504</v>
      </c>
      <c r="R9" s="19">
        <f t="shared" si="10"/>
        <v>590.39535236938036</v>
      </c>
      <c r="S9" s="19">
        <f t="shared" si="11"/>
        <v>4.998055893074119E-13</v>
      </c>
      <c r="T9" s="83">
        <f t="shared" si="12"/>
        <v>1040.5141682677529</v>
      </c>
    </row>
    <row r="10" spans="1:25">
      <c r="A10" s="9" t="s">
        <v>974</v>
      </c>
      <c r="B10" s="9" t="s">
        <v>11</v>
      </c>
      <c r="C10">
        <v>9430</v>
      </c>
      <c r="D10">
        <v>1.2</v>
      </c>
      <c r="E10">
        <v>0.57999999999999996</v>
      </c>
      <c r="F10">
        <v>1.5</v>
      </c>
      <c r="G10" s="1">
        <f t="shared" si="0"/>
        <v>1.0381999999999999E-4</v>
      </c>
      <c r="H10" s="19">
        <f t="shared" si="1"/>
        <v>-1.425642982989064E-3</v>
      </c>
      <c r="I10" s="1">
        <f t="shared" si="2"/>
        <v>7.7139999999999993E-7</v>
      </c>
      <c r="J10" s="1">
        <f t="shared" si="3"/>
        <v>1.5427999999999999E-4</v>
      </c>
      <c r="K10" s="19">
        <f t="shared" si="4"/>
        <v>6.2962150668286754E-2</v>
      </c>
      <c r="L10" s="19">
        <f t="shared" si="5"/>
        <v>39.396317132442285</v>
      </c>
      <c r="M10" s="19">
        <f t="shared" si="6"/>
        <v>1.3491889428918591E-3</v>
      </c>
      <c r="N10" s="19">
        <f t="shared" si="7"/>
        <v>1.8728799615228837E-2</v>
      </c>
      <c r="O10" s="19">
        <v>1.36</v>
      </c>
      <c r="P10" s="19">
        <f t="shared" si="8"/>
        <v>7.4542689094775207</v>
      </c>
      <c r="Q10" s="19">
        <f t="shared" si="9"/>
        <v>0.45872424058323208</v>
      </c>
      <c r="R10" s="19">
        <f t="shared" si="10"/>
        <v>1416.6483900364522</v>
      </c>
      <c r="S10" s="19">
        <f t="shared" si="11"/>
        <v>1.1992790603483192E-12</v>
      </c>
      <c r="T10" s="83">
        <f t="shared" si="12"/>
        <v>2462.5394546378102</v>
      </c>
      <c r="Y10" s="1"/>
    </row>
    <row r="11" spans="1:25">
      <c r="A11" s="9" t="s">
        <v>975</v>
      </c>
      <c r="B11" s="9" t="s">
        <v>11</v>
      </c>
      <c r="C11">
        <v>7220</v>
      </c>
      <c r="D11">
        <v>1.2</v>
      </c>
      <c r="E11">
        <v>1</v>
      </c>
      <c r="F11">
        <v>1.2</v>
      </c>
      <c r="G11" s="1">
        <f t="shared" si="0"/>
        <v>1.7899999999999999E-4</v>
      </c>
      <c r="H11" s="19">
        <f>CO2_YLL_charfact*C11</f>
        <v>-1.0915315309842038E-3</v>
      </c>
      <c r="I11" s="1">
        <f t="shared" si="2"/>
        <v>1.33E-6</v>
      </c>
      <c r="J11" s="1">
        <f t="shared" si="3"/>
        <v>2.6600000000000001E-4</v>
      </c>
      <c r="K11" s="19">
        <f>CO2_severewasting_charfact*C11</f>
        <v>4.8206439854191978E-2</v>
      </c>
      <c r="L11" s="19">
        <f>CO2_workingcapacity_charfact*C11</f>
        <v>30.163458080194413</v>
      </c>
      <c r="M11" s="19">
        <f>CO2_diarrhea_charfact*C11</f>
        <v>1.0329951397326854E-3</v>
      </c>
      <c r="N11" s="19">
        <f t="shared" si="7"/>
        <v>1.8728799615228837E-2</v>
      </c>
      <c r="O11" s="19">
        <v>2.36</v>
      </c>
      <c r="P11" s="19">
        <f>CO2_meat_charfact*C11</f>
        <v>5.7072981470230859</v>
      </c>
      <c r="Q11" s="19">
        <f>CO2_fish_charfact*C11</f>
        <v>0.35121834750911302</v>
      </c>
      <c r="R11" s="19">
        <f>CO2_drinkingwater_charfact*C11</f>
        <v>1084.6448967193196</v>
      </c>
      <c r="S11" s="19">
        <f>CO2_NEX_charfact*C11</f>
        <v>9.1821790198460915E-13</v>
      </c>
      <c r="T11" s="83">
        <f>(G11+H11)*YLLvalue+I11*skincancervalue+J11*Lowvisionvalue+K11*severe_wasting_value+L11*working_capacity+M11*diarrhea_value+N11*cropvalue+O11*woodvalue+P11*meatvalue+Q11*fishvalue+R11*drinkingwatervalue+S11*speciesvalue</f>
        <v>1896.0293704078526</v>
      </c>
      <c r="Y11" s="1"/>
    </row>
    <row r="12" spans="1:25">
      <c r="A12" s="9" t="s">
        <v>976</v>
      </c>
      <c r="B12" s="9" t="s">
        <v>11</v>
      </c>
      <c r="C12">
        <v>9600</v>
      </c>
      <c r="D12">
        <v>1.2</v>
      </c>
      <c r="E12">
        <v>0.44</v>
      </c>
      <c r="F12">
        <v>1.2</v>
      </c>
      <c r="G12" s="1">
        <f t="shared" si="0"/>
        <v>7.8759999999999998E-5</v>
      </c>
      <c r="H12" s="19">
        <f t="shared" si="1"/>
        <v>-1.4513438639125148E-3</v>
      </c>
      <c r="I12" s="1">
        <f t="shared" si="2"/>
        <v>5.8520000000000003E-7</v>
      </c>
      <c r="J12" s="1">
        <f t="shared" si="3"/>
        <v>1.1704E-4</v>
      </c>
      <c r="K12" s="19">
        <f t="shared" si="4"/>
        <v>6.4097205346294053E-2</v>
      </c>
      <c r="L12" s="19">
        <f t="shared" si="5"/>
        <v>40.106537059538276</v>
      </c>
      <c r="M12" s="19">
        <f t="shared" si="6"/>
        <v>1.3735115431348724E-3</v>
      </c>
      <c r="N12" s="19">
        <f t="shared" si="7"/>
        <v>1.8728799615228837E-2</v>
      </c>
      <c r="O12" s="19">
        <v>2.36</v>
      </c>
      <c r="P12" s="19">
        <f t="shared" si="8"/>
        <v>7.5886512758201699</v>
      </c>
      <c r="Q12" s="19">
        <f t="shared" si="9"/>
        <v>0.46699392466585665</v>
      </c>
      <c r="R12" s="19">
        <f t="shared" si="10"/>
        <v>1442.1871202916161</v>
      </c>
      <c r="S12" s="19">
        <f t="shared" si="11"/>
        <v>1.22089914945322E-12</v>
      </c>
      <c r="T12" s="83">
        <f t="shared" si="12"/>
        <v>2504.3692553954997</v>
      </c>
    </row>
    <row r="13" spans="1:25">
      <c r="A13" s="9" t="s">
        <v>977</v>
      </c>
      <c r="B13" s="9" t="s">
        <v>11</v>
      </c>
      <c r="C13">
        <v>4230</v>
      </c>
      <c r="D13">
        <v>1.2</v>
      </c>
      <c r="E13">
        <v>1</v>
      </c>
      <c r="F13">
        <v>1.2</v>
      </c>
      <c r="G13" s="1">
        <f t="shared" si="0"/>
        <v>1.7899999999999999E-4</v>
      </c>
      <c r="H13" s="19">
        <f t="shared" si="1"/>
        <v>-6.3949839003645177E-4</v>
      </c>
      <c r="I13" s="1">
        <f t="shared" si="2"/>
        <v>1.33E-6</v>
      </c>
      <c r="J13" s="1">
        <f t="shared" si="3"/>
        <v>2.6600000000000001E-4</v>
      </c>
      <c r="K13" s="19">
        <f t="shared" si="4"/>
        <v>2.8242831105710815E-2</v>
      </c>
      <c r="L13" s="19">
        <f t="shared" si="5"/>
        <v>17.671942891859054</v>
      </c>
      <c r="M13" s="19">
        <f t="shared" si="6"/>
        <v>6.0520352369380318E-4</v>
      </c>
      <c r="N13" s="19">
        <f t="shared" si="7"/>
        <v>1.8728799615228837E-2</v>
      </c>
      <c r="O13" s="19">
        <v>3.36</v>
      </c>
      <c r="P13" s="19">
        <f t="shared" si="8"/>
        <v>3.3437494684082623</v>
      </c>
      <c r="Q13" s="19">
        <f t="shared" si="9"/>
        <v>0.20576919805589308</v>
      </c>
      <c r="R13" s="19">
        <f t="shared" si="10"/>
        <v>635.46369987849334</v>
      </c>
      <c r="S13" s="19">
        <f t="shared" si="11"/>
        <v>5.3795868772782506E-13</v>
      </c>
      <c r="T13" s="83">
        <f>(G13+H13)*YLLvalue+I13*skincancervalue+J13*Lowvisionvalue+K13*severe_wasting_value+L13*working_capacity+M13*diarrhea_value+N13*cropvalue+O13*woodvalue+P13*meatvalue+Q13*fishvalue+R13*drinkingwatervalue+S13*speciesvalue</f>
        <v>1118.9637003777923</v>
      </c>
    </row>
    <row r="14" spans="1:25">
      <c r="A14" s="9" t="s">
        <v>978</v>
      </c>
      <c r="B14" s="9" t="s">
        <v>11</v>
      </c>
      <c r="C14">
        <v>5660</v>
      </c>
      <c r="D14">
        <v>1.2</v>
      </c>
      <c r="E14">
        <v>1</v>
      </c>
      <c r="F14">
        <v>1.2</v>
      </c>
      <c r="G14" s="1">
        <f t="shared" si="0"/>
        <v>1.7899999999999999E-4</v>
      </c>
      <c r="H14" s="19">
        <f t="shared" si="1"/>
        <v>-8.5568815309842018E-4</v>
      </c>
      <c r="I14" s="1">
        <f t="shared" si="2"/>
        <v>1.33E-6</v>
      </c>
      <c r="J14" s="1">
        <f t="shared" si="3"/>
        <v>2.6600000000000001E-4</v>
      </c>
      <c r="K14" s="19">
        <f t="shared" si="4"/>
        <v>3.7790643985419196E-2</v>
      </c>
      <c r="L14" s="19">
        <f t="shared" si="5"/>
        <v>23.646145808019444</v>
      </c>
      <c r="M14" s="19">
        <f t="shared" si="6"/>
        <v>8.097995139732685E-4</v>
      </c>
      <c r="N14" s="19">
        <f t="shared" si="7"/>
        <v>1.8728799615228837E-2</v>
      </c>
      <c r="O14" s="19">
        <v>4.3600000000000003</v>
      </c>
      <c r="P14" s="19">
        <f t="shared" si="8"/>
        <v>4.4741423147023083</v>
      </c>
      <c r="Q14" s="19">
        <f t="shared" si="9"/>
        <v>0.27533183475091133</v>
      </c>
      <c r="R14" s="19">
        <f t="shared" si="10"/>
        <v>850.28948967193207</v>
      </c>
      <c r="S14" s="19">
        <f t="shared" si="11"/>
        <v>7.1982179019846094E-13</v>
      </c>
      <c r="T14" s="83">
        <f t="shared" si="12"/>
        <v>1490.9438034356474</v>
      </c>
      <c r="X14" s="9"/>
    </row>
    <row r="15" spans="1:25">
      <c r="A15" s="9" t="s">
        <v>979</v>
      </c>
      <c r="B15" s="9" t="s">
        <v>11</v>
      </c>
      <c r="C15">
        <v>0.126</v>
      </c>
      <c r="D15">
        <v>1.2</v>
      </c>
      <c r="E15">
        <v>1</v>
      </c>
      <c r="F15">
        <v>1.2</v>
      </c>
      <c r="G15" s="1">
        <f t="shared" si="0"/>
        <v>1.7899999999999999E-4</v>
      </c>
      <c r="H15" s="19">
        <f t="shared" si="1"/>
        <v>-1.9048888213851756E-8</v>
      </c>
      <c r="I15" s="1">
        <f t="shared" si="2"/>
        <v>1.33E-6</v>
      </c>
      <c r="J15" s="1">
        <f t="shared" si="3"/>
        <v>2.6600000000000001E-4</v>
      </c>
      <c r="K15" s="19">
        <f t="shared" si="4"/>
        <v>8.4127582017010937E-7</v>
      </c>
      <c r="L15" s="19">
        <f>CO2_workingcapacity_charfact*C15</f>
        <v>5.2639829890643993E-4</v>
      </c>
      <c r="M15" s="19">
        <f t="shared" si="6"/>
        <v>1.8027339003645202E-8</v>
      </c>
      <c r="N15" s="19">
        <f t="shared" si="7"/>
        <v>1.8728799615228837E-2</v>
      </c>
      <c r="O15" s="19">
        <v>5.36</v>
      </c>
      <c r="P15" s="19">
        <f t="shared" si="8"/>
        <v>9.9601047995139734E-5</v>
      </c>
      <c r="Q15" s="19">
        <f t="shared" si="9"/>
        <v>6.1292952612393685E-6</v>
      </c>
      <c r="R15" s="19">
        <f t="shared" si="10"/>
        <v>1.8928705953827462E-2</v>
      </c>
      <c r="S15" s="19">
        <f t="shared" si="11"/>
        <v>1.6024301336573514E-17</v>
      </c>
      <c r="T15" s="83">
        <f t="shared" si="12"/>
        <v>19.804053229721539</v>
      </c>
    </row>
    <row r="16" spans="1:25">
      <c r="A16" s="9" t="s">
        <v>980</v>
      </c>
      <c r="B16" s="9" t="s">
        <v>11</v>
      </c>
      <c r="C16">
        <v>2.1000000000000001E-2</v>
      </c>
      <c r="D16">
        <v>1.2</v>
      </c>
      <c r="E16">
        <v>1</v>
      </c>
      <c r="F16">
        <v>1.2</v>
      </c>
      <c r="G16" s="1">
        <f t="shared" si="0"/>
        <v>1.7899999999999999E-4</v>
      </c>
      <c r="H16" s="19">
        <f t="shared" si="1"/>
        <v>-3.1748147023086263E-9</v>
      </c>
      <c r="I16" s="1">
        <f t="shared" si="2"/>
        <v>1.33E-6</v>
      </c>
      <c r="J16" s="1">
        <f t="shared" si="3"/>
        <v>2.6600000000000001E-4</v>
      </c>
      <c r="K16" s="19">
        <f t="shared" si="4"/>
        <v>1.4021263669501824E-7</v>
      </c>
      <c r="L16" s="19">
        <f t="shared" si="5"/>
        <v>8.7733049817739989E-5</v>
      </c>
      <c r="M16" s="19">
        <f t="shared" si="6"/>
        <v>3.0045565006075335E-9</v>
      </c>
      <c r="N16" s="19">
        <f t="shared" si="7"/>
        <v>1.8728799615228837E-2</v>
      </c>
      <c r="O16" s="19">
        <v>6.36</v>
      </c>
      <c r="P16" s="19">
        <f t="shared" si="8"/>
        <v>1.6600174665856621E-5</v>
      </c>
      <c r="Q16" s="19">
        <f t="shared" si="9"/>
        <v>1.0215492102065614E-6</v>
      </c>
      <c r="R16" s="19">
        <f t="shared" si="10"/>
        <v>3.1547843256379106E-3</v>
      </c>
      <c r="S16" s="19">
        <f t="shared" si="11"/>
        <v>2.6707168894289189E-18</v>
      </c>
      <c r="T16" s="83">
        <f t="shared" si="12"/>
        <v>20.006756893483022</v>
      </c>
    </row>
    <row r="17" spans="1:20">
      <c r="A17" s="2" t="s">
        <v>981</v>
      </c>
      <c r="B17" s="2"/>
      <c r="G17" s="1"/>
      <c r="H17" s="18"/>
      <c r="I17" s="1"/>
      <c r="J17" s="1"/>
      <c r="K17" s="18"/>
      <c r="L17" s="18"/>
      <c r="M17" s="18"/>
      <c r="N17" s="18"/>
      <c r="O17" s="18"/>
      <c r="P17" s="18"/>
      <c r="Q17" s="18"/>
      <c r="R17" s="18"/>
      <c r="S17" s="18"/>
      <c r="T17" s="84"/>
    </row>
    <row r="18" spans="1:20">
      <c r="A18" s="9" t="s">
        <v>982</v>
      </c>
      <c r="B18" s="9" t="s">
        <v>11</v>
      </c>
      <c r="C18">
        <v>14500</v>
      </c>
      <c r="D18">
        <v>1.2</v>
      </c>
      <c r="E18">
        <v>0</v>
      </c>
      <c r="F18">
        <v>1</v>
      </c>
      <c r="G18" s="1">
        <f t="shared" si="0"/>
        <v>0</v>
      </c>
      <c r="H18" s="19">
        <f t="shared" ref="H18:H67" si="13">CO2_YLL_charfact*C18</f>
        <v>-2.1921339611178608E-3</v>
      </c>
      <c r="I18" s="1">
        <f t="shared" ref="I18:I67" si="14">E18*0.00000133</f>
        <v>0</v>
      </c>
      <c r="J18" s="1">
        <f t="shared" ref="J18:J67" si="15">E18*0.000266</f>
        <v>0</v>
      </c>
      <c r="K18" s="19">
        <f t="shared" ref="K18:K67" si="16">CO2_severewasting_charfact*C18</f>
        <v>9.6813487241798293E-2</v>
      </c>
      <c r="L18" s="19">
        <f t="shared" ref="L18:L67" si="17">CO2_workingcapacity_charfact*C18</f>
        <v>60.57758201701094</v>
      </c>
      <c r="M18" s="19">
        <f t="shared" ref="M18:M67" si="18">CO2_diarrhea_charfact*C18</f>
        <v>2.0745747266099636E-3</v>
      </c>
      <c r="N18" s="19">
        <f t="shared" si="7"/>
        <v>1.8728799615228837E-2</v>
      </c>
      <c r="O18" s="19">
        <v>8.36</v>
      </c>
      <c r="P18" s="19">
        <f t="shared" ref="P18:P67" si="19">CO2_meat_charfact*C18</f>
        <v>11.462025364520048</v>
      </c>
      <c r="Q18" s="19">
        <f t="shared" ref="Q18:Q67" si="20">CO2_fish_charfact*C18</f>
        <v>0.70535540704738764</v>
      </c>
      <c r="R18" s="19">
        <f t="shared" ref="R18:R67" si="21">CO2_drinkingwater_charfact*C18</f>
        <v>2178.3034629404619</v>
      </c>
      <c r="S18" s="19">
        <f t="shared" ref="S18:S67" si="22">CO2_NEX_charfact*C18</f>
        <v>1.8440664236533009E-12</v>
      </c>
      <c r="T18" s="83">
        <f t="shared" ref="T18:T67" si="23">(G18+H18)*YLLvalue+I18*skincancervalue+J18*Lowvisionvalue+K18*severe_wasting_value+L18*working_capacity+M18*diarrhea_value+N18*cropvalue+O18*woodvalue+P18*meatvalue+Q18*fishvalue+R18*drinkingwatervalue+S18*speciesvalue</f>
        <v>3771.4248679114767</v>
      </c>
    </row>
    <row r="19" spans="1:20">
      <c r="A19" s="9" t="s">
        <v>983</v>
      </c>
      <c r="B19" s="9" t="s">
        <v>11</v>
      </c>
      <c r="C19">
        <v>771</v>
      </c>
      <c r="D19">
        <v>1.2</v>
      </c>
      <c r="E19">
        <v>0</v>
      </c>
      <c r="F19">
        <v>1</v>
      </c>
      <c r="G19" s="1">
        <f t="shared" si="0"/>
        <v>0</v>
      </c>
      <c r="H19" s="19">
        <f t="shared" si="13"/>
        <v>-1.1656105407047384E-4</v>
      </c>
      <c r="I19" s="1">
        <f t="shared" si="14"/>
        <v>0</v>
      </c>
      <c r="J19" s="1">
        <f t="shared" si="15"/>
        <v>0</v>
      </c>
      <c r="K19" s="19">
        <f t="shared" si="16"/>
        <v>5.1478068043742404E-3</v>
      </c>
      <c r="L19" s="19">
        <f t="shared" si="17"/>
        <v>3.2210562575941677</v>
      </c>
      <c r="M19" s="19">
        <f t="shared" si="18"/>
        <v>1.1031014580801945E-4</v>
      </c>
      <c r="N19" s="19">
        <f t="shared" si="7"/>
        <v>1.8728799615228837E-2</v>
      </c>
      <c r="O19" s="19">
        <v>9.36</v>
      </c>
      <c r="P19" s="19">
        <f t="shared" si="19"/>
        <v>0.60946355558930743</v>
      </c>
      <c r="Q19" s="19">
        <f t="shared" si="20"/>
        <v>3.750544957472661E-2</v>
      </c>
      <c r="R19" s="19">
        <f t="shared" si="21"/>
        <v>115.82565309842042</v>
      </c>
      <c r="S19" s="19">
        <f t="shared" si="22"/>
        <v>9.8053462940461737E-14</v>
      </c>
      <c r="T19" s="83">
        <f t="shared" si="23"/>
        <v>202.59391344903682</v>
      </c>
    </row>
    <row r="20" spans="1:20">
      <c r="A20" s="9" t="s">
        <v>984</v>
      </c>
      <c r="B20" s="9" t="s">
        <v>11</v>
      </c>
      <c r="C20">
        <v>135</v>
      </c>
      <c r="D20">
        <v>1.2</v>
      </c>
      <c r="E20">
        <v>0</v>
      </c>
      <c r="F20">
        <v>1</v>
      </c>
      <c r="G20" s="1">
        <f t="shared" si="0"/>
        <v>0</v>
      </c>
      <c r="H20" s="19">
        <f t="shared" si="13"/>
        <v>-2.0409523086269738E-5</v>
      </c>
      <c r="I20" s="1">
        <f t="shared" si="14"/>
        <v>0</v>
      </c>
      <c r="J20" s="1">
        <f t="shared" si="15"/>
        <v>0</v>
      </c>
      <c r="K20" s="19">
        <f t="shared" si="16"/>
        <v>9.0136695018226004E-4</v>
      </c>
      <c r="L20" s="19">
        <f t="shared" si="17"/>
        <v>0.56399817739975699</v>
      </c>
      <c r="M20" s="19">
        <f t="shared" si="18"/>
        <v>1.9315006075334142E-5</v>
      </c>
      <c r="N20" s="19">
        <f t="shared" si="7"/>
        <v>1.8728799615228837E-2</v>
      </c>
      <c r="O20" s="19">
        <v>10.36</v>
      </c>
      <c r="P20" s="19">
        <f t="shared" si="19"/>
        <v>0.10671540856622114</v>
      </c>
      <c r="Q20" s="19">
        <f t="shared" si="20"/>
        <v>6.5671020656136092E-3</v>
      </c>
      <c r="R20" s="19">
        <f t="shared" si="21"/>
        <v>20.28075637910085</v>
      </c>
      <c r="S20" s="19">
        <f t="shared" si="22"/>
        <v>1.7168894289185908E-14</v>
      </c>
      <c r="T20" s="83">
        <f t="shared" si="23"/>
        <v>37.486105375753091</v>
      </c>
    </row>
    <row r="21" spans="1:20">
      <c r="A21" s="9" t="s">
        <v>985</v>
      </c>
      <c r="B21" s="9" t="s">
        <v>11</v>
      </c>
      <c r="C21">
        <v>3740</v>
      </c>
      <c r="D21">
        <v>1.2</v>
      </c>
      <c r="E21">
        <v>0</v>
      </c>
      <c r="F21">
        <v>1</v>
      </c>
      <c r="G21" s="1">
        <f t="shared" si="0"/>
        <v>0</v>
      </c>
      <c r="H21" s="19">
        <f t="shared" si="13"/>
        <v>-5.6541938031591716E-4</v>
      </c>
      <c r="I21" s="1">
        <f t="shared" si="14"/>
        <v>0</v>
      </c>
      <c r="J21" s="1">
        <f t="shared" si="15"/>
        <v>0</v>
      </c>
      <c r="K21" s="19">
        <f t="shared" si="16"/>
        <v>2.4971202916160389E-2</v>
      </c>
      <c r="L21" s="19">
        <f t="shared" si="17"/>
        <v>15.624838396111787</v>
      </c>
      <c r="M21" s="19">
        <f t="shared" si="18"/>
        <v>5.3509720534629401E-4</v>
      </c>
      <c r="N21" s="19">
        <f t="shared" si="7"/>
        <v>1.8728799615228837E-2</v>
      </c>
      <c r="O21" s="19">
        <v>11.36</v>
      </c>
      <c r="P21" s="19">
        <f t="shared" si="19"/>
        <v>2.9564120595382746</v>
      </c>
      <c r="Q21" s="19">
        <f t="shared" si="20"/>
        <v>0.18193304981773997</v>
      </c>
      <c r="R21" s="19">
        <f t="shared" si="21"/>
        <v>561.85206561360883</v>
      </c>
      <c r="S21" s="19">
        <f t="shared" si="22"/>
        <v>4.7564196030781699E-13</v>
      </c>
      <c r="T21" s="83">
        <f t="shared" si="23"/>
        <v>974.89031623139454</v>
      </c>
    </row>
    <row r="22" spans="1:20">
      <c r="A22" s="9" t="s">
        <v>986</v>
      </c>
      <c r="B22" s="9" t="s">
        <v>11</v>
      </c>
      <c r="C22">
        <v>1260</v>
      </c>
      <c r="D22">
        <v>1.2</v>
      </c>
      <c r="E22">
        <v>0</v>
      </c>
      <c r="F22">
        <v>1</v>
      </c>
      <c r="G22" s="1">
        <f t="shared" si="0"/>
        <v>0</v>
      </c>
      <c r="H22" s="19">
        <f t="shared" si="13"/>
        <v>-1.9048888213851756E-4</v>
      </c>
      <c r="I22" s="1">
        <f t="shared" si="14"/>
        <v>0</v>
      </c>
      <c r="J22" s="1">
        <f t="shared" si="15"/>
        <v>0</v>
      </c>
      <c r="K22" s="19">
        <f t="shared" si="16"/>
        <v>8.4127582017010944E-3</v>
      </c>
      <c r="L22" s="19">
        <f t="shared" si="17"/>
        <v>5.2639829890643988</v>
      </c>
      <c r="M22" s="19">
        <f t="shared" si="18"/>
        <v>1.80273390036452E-4</v>
      </c>
      <c r="N22" s="19">
        <f t="shared" si="7"/>
        <v>1.8728799615228837E-2</v>
      </c>
      <c r="O22" s="19">
        <v>12.36</v>
      </c>
      <c r="P22" s="19">
        <f t="shared" si="19"/>
        <v>0.99601047995139735</v>
      </c>
      <c r="Q22" s="19">
        <f t="shared" si="20"/>
        <v>6.1292952612393682E-2</v>
      </c>
      <c r="R22" s="19">
        <f t="shared" si="21"/>
        <v>189.28705953827463</v>
      </c>
      <c r="S22" s="19">
        <f t="shared" si="22"/>
        <v>1.6024301336573511E-13</v>
      </c>
      <c r="T22" s="83">
        <f t="shared" si="23"/>
        <v>330.4068507884013</v>
      </c>
    </row>
    <row r="23" spans="1:20">
      <c r="A23" s="9" t="s">
        <v>987</v>
      </c>
      <c r="B23" s="9" t="s">
        <v>11</v>
      </c>
      <c r="C23">
        <v>1530</v>
      </c>
      <c r="D23">
        <v>1.2</v>
      </c>
      <c r="E23">
        <v>0</v>
      </c>
      <c r="F23">
        <v>1</v>
      </c>
      <c r="G23" s="1">
        <f t="shared" si="0"/>
        <v>0</v>
      </c>
      <c r="H23" s="19">
        <f t="shared" si="13"/>
        <v>-2.3130792831105703E-4</v>
      </c>
      <c r="I23" s="1">
        <f t="shared" si="14"/>
        <v>0</v>
      </c>
      <c r="J23" s="1">
        <f t="shared" si="15"/>
        <v>0</v>
      </c>
      <c r="K23" s="19">
        <f t="shared" si="16"/>
        <v>1.0215492102065614E-2</v>
      </c>
      <c r="L23" s="19">
        <f t="shared" si="17"/>
        <v>6.3919793438639134</v>
      </c>
      <c r="M23" s="19">
        <f t="shared" si="18"/>
        <v>2.1890340218712028E-4</v>
      </c>
      <c r="N23" s="19">
        <f t="shared" si="7"/>
        <v>1.8728799615228837E-2</v>
      </c>
      <c r="O23" s="19">
        <v>13.36</v>
      </c>
      <c r="P23" s="19">
        <f t="shared" si="19"/>
        <v>1.2094412970838395</v>
      </c>
      <c r="Q23" s="19">
        <f t="shared" si="20"/>
        <v>7.4427156743620895E-2</v>
      </c>
      <c r="R23" s="19">
        <f t="shared" si="21"/>
        <v>229.84857229647633</v>
      </c>
      <c r="S23" s="19">
        <f t="shared" si="22"/>
        <v>1.9458080194410693E-13</v>
      </c>
      <c r="T23" s="83">
        <f t="shared" si="23"/>
        <v>400.82742968743679</v>
      </c>
    </row>
    <row r="24" spans="1:20">
      <c r="A24" s="9" t="s">
        <v>988</v>
      </c>
      <c r="B24" s="9" t="s">
        <v>11</v>
      </c>
      <c r="C24">
        <v>364</v>
      </c>
      <c r="D24">
        <v>1.2</v>
      </c>
      <c r="E24">
        <v>0</v>
      </c>
      <c r="F24">
        <v>1</v>
      </c>
      <c r="G24" s="1">
        <f t="shared" si="0"/>
        <v>0</v>
      </c>
      <c r="H24" s="19">
        <f t="shared" si="13"/>
        <v>-5.5030121506682848E-5</v>
      </c>
      <c r="I24" s="1">
        <f t="shared" si="14"/>
        <v>0</v>
      </c>
      <c r="J24" s="1">
        <f t="shared" si="15"/>
        <v>0</v>
      </c>
      <c r="K24" s="19">
        <f t="shared" si="16"/>
        <v>2.430352369380316E-3</v>
      </c>
      <c r="L24" s="19">
        <f t="shared" si="17"/>
        <v>1.5207061968408264</v>
      </c>
      <c r="M24" s="19">
        <f t="shared" si="18"/>
        <v>5.2078979343863911E-5</v>
      </c>
      <c r="N24" s="19">
        <f t="shared" si="7"/>
        <v>1.8728799615228837E-2</v>
      </c>
      <c r="O24" s="19">
        <v>14.36</v>
      </c>
      <c r="P24" s="19">
        <f t="shared" si="19"/>
        <v>0.28773636087484811</v>
      </c>
      <c r="Q24" s="19">
        <f t="shared" si="20"/>
        <v>1.7706852976913729E-2</v>
      </c>
      <c r="R24" s="19">
        <f t="shared" si="21"/>
        <v>54.682928311057111</v>
      </c>
      <c r="S24" s="19">
        <f t="shared" si="22"/>
        <v>4.6292426083434589E-14</v>
      </c>
      <c r="T24" s="83">
        <f t="shared" si="23"/>
        <v>97.938114886416585</v>
      </c>
    </row>
    <row r="25" spans="1:20">
      <c r="A25" s="9" t="s">
        <v>989</v>
      </c>
      <c r="B25" s="9" t="s">
        <v>11</v>
      </c>
      <c r="C25">
        <v>5810</v>
      </c>
      <c r="D25">
        <v>1.2</v>
      </c>
      <c r="E25">
        <v>0</v>
      </c>
      <c r="F25">
        <v>1</v>
      </c>
      <c r="G25" s="1">
        <f t="shared" si="0"/>
        <v>0</v>
      </c>
      <c r="H25" s="19">
        <f t="shared" si="13"/>
        <v>-8.7836540097205318E-4</v>
      </c>
      <c r="I25" s="1">
        <f t="shared" si="14"/>
        <v>0</v>
      </c>
      <c r="J25" s="1">
        <f t="shared" si="15"/>
        <v>0</v>
      </c>
      <c r="K25" s="19">
        <f t="shared" si="16"/>
        <v>3.8792162818955041E-2</v>
      </c>
      <c r="L25" s="19">
        <f t="shared" si="17"/>
        <v>24.272810449574727</v>
      </c>
      <c r="M25" s="19">
        <f t="shared" si="18"/>
        <v>8.3126063183475087E-4</v>
      </c>
      <c r="N25" s="19">
        <f t="shared" si="7"/>
        <v>1.8728799615228837E-2</v>
      </c>
      <c r="O25" s="19">
        <v>15.36</v>
      </c>
      <c r="P25" s="19">
        <f t="shared" si="19"/>
        <v>4.5927149908869991</v>
      </c>
      <c r="Q25" s="19">
        <f t="shared" si="20"/>
        <v>0.28262861482381529</v>
      </c>
      <c r="R25" s="19">
        <f t="shared" si="21"/>
        <v>872.82366342648857</v>
      </c>
      <c r="S25" s="19">
        <f t="shared" si="22"/>
        <v>7.3889833940866753E-13</v>
      </c>
      <c r="T25" s="83">
        <f t="shared" si="23"/>
        <v>1513.9380877906669</v>
      </c>
    </row>
    <row r="26" spans="1:20">
      <c r="A26" s="9" t="s">
        <v>990</v>
      </c>
      <c r="B26" s="9" t="s">
        <v>11</v>
      </c>
      <c r="C26">
        <v>21.5</v>
      </c>
      <c r="D26">
        <v>1.2</v>
      </c>
      <c r="E26">
        <v>0</v>
      </c>
      <c r="F26">
        <v>1</v>
      </c>
      <c r="G26" s="1">
        <f t="shared" si="0"/>
        <v>0</v>
      </c>
      <c r="H26" s="19">
        <f t="shared" si="13"/>
        <v>-3.2504055285540696E-6</v>
      </c>
      <c r="I26" s="1">
        <f t="shared" si="14"/>
        <v>0</v>
      </c>
      <c r="J26" s="1">
        <f t="shared" si="15"/>
        <v>0</v>
      </c>
      <c r="K26" s="19">
        <f t="shared" si="16"/>
        <v>1.4355103280680437E-4</v>
      </c>
      <c r="L26" s="19">
        <f t="shared" si="17"/>
        <v>8.9821931956257595E-2</v>
      </c>
      <c r="M26" s="19">
        <f t="shared" si="18"/>
        <v>3.0760935601458078E-6</v>
      </c>
      <c r="N26" s="19">
        <f t="shared" si="7"/>
        <v>1.8728799615228837E-2</v>
      </c>
      <c r="O26" s="19">
        <v>16.36</v>
      </c>
      <c r="P26" s="19">
        <f t="shared" si="19"/>
        <v>1.6995416919805589E-2</v>
      </c>
      <c r="Q26" s="19">
        <f t="shared" si="20"/>
        <v>1.0458718104495747E-3</v>
      </c>
      <c r="R26" s="19">
        <f t="shared" si="21"/>
        <v>3.2298982381530985</v>
      </c>
      <c r="S26" s="19">
        <f t="shared" si="22"/>
        <v>2.7343053867962738E-15</v>
      </c>
      <c r="T26" s="83">
        <f t="shared" si="23"/>
        <v>9.3600657274548151</v>
      </c>
    </row>
    <row r="27" spans="1:20">
      <c r="A27" s="9" t="s">
        <v>991</v>
      </c>
      <c r="B27" s="9" t="s">
        <v>11</v>
      </c>
      <c r="C27">
        <v>164</v>
      </c>
      <c r="D27">
        <v>1.2</v>
      </c>
      <c r="E27">
        <v>0</v>
      </c>
      <c r="F27">
        <v>1</v>
      </c>
      <c r="G27" s="1">
        <f t="shared" si="0"/>
        <v>0</v>
      </c>
      <c r="H27" s="19">
        <f t="shared" si="13"/>
        <v>-2.4793791008505459E-5</v>
      </c>
      <c r="I27" s="1">
        <f t="shared" si="14"/>
        <v>0</v>
      </c>
      <c r="J27" s="1">
        <f t="shared" si="15"/>
        <v>0</v>
      </c>
      <c r="K27" s="19">
        <f t="shared" si="16"/>
        <v>1.0949939246658567E-3</v>
      </c>
      <c r="L27" s="19">
        <f t="shared" si="17"/>
        <v>0.68515334143377893</v>
      </c>
      <c r="M27" s="19">
        <f t="shared" si="18"/>
        <v>2.346415552855407E-5</v>
      </c>
      <c r="N27" s="19">
        <f t="shared" si="7"/>
        <v>1.8728799615228837E-2</v>
      </c>
      <c r="O27" s="19">
        <v>17.36</v>
      </c>
      <c r="P27" s="19">
        <f t="shared" si="19"/>
        <v>0.12963945929526124</v>
      </c>
      <c r="Q27" s="19">
        <f t="shared" si="20"/>
        <v>7.9778128797083833E-3</v>
      </c>
      <c r="R27" s="19">
        <f t="shared" si="21"/>
        <v>24.637363304981776</v>
      </c>
      <c r="S27" s="19">
        <f t="shared" si="22"/>
        <v>2.0857027136492508E-14</v>
      </c>
      <c r="T27" s="83">
        <f t="shared" si="23"/>
        <v>46.635093479723579</v>
      </c>
    </row>
    <row r="28" spans="1:20">
      <c r="A28" s="9" t="s">
        <v>992</v>
      </c>
      <c r="B28" s="9" t="s">
        <v>11</v>
      </c>
      <c r="C28">
        <v>4.84</v>
      </c>
      <c r="D28">
        <v>1.2</v>
      </c>
      <c r="E28">
        <v>0</v>
      </c>
      <c r="F28">
        <v>1</v>
      </c>
      <c r="G28" s="1">
        <f t="shared" si="0"/>
        <v>0</v>
      </c>
      <c r="H28" s="19">
        <f t="shared" si="13"/>
        <v>-7.3171919805589284E-7</v>
      </c>
      <c r="I28" s="1">
        <f t="shared" si="14"/>
        <v>0</v>
      </c>
      <c r="J28" s="1">
        <f t="shared" si="15"/>
        <v>0</v>
      </c>
      <c r="K28" s="19">
        <f t="shared" si="16"/>
        <v>3.2315674362089917E-5</v>
      </c>
      <c r="L28" s="19">
        <f t="shared" si="17"/>
        <v>2.0220379100850547E-2</v>
      </c>
      <c r="M28" s="19">
        <f t="shared" si="18"/>
        <v>6.9247873633049816E-7</v>
      </c>
      <c r="N28" s="19">
        <f t="shared" si="7"/>
        <v>1.8728799615228837E-2</v>
      </c>
      <c r="O28" s="19">
        <v>18.36</v>
      </c>
      <c r="P28" s="19">
        <f t="shared" si="19"/>
        <v>3.8259450182260022E-3</v>
      </c>
      <c r="Q28" s="19">
        <f t="shared" si="20"/>
        <v>2.3544277035236936E-4</v>
      </c>
      <c r="R28" s="19">
        <f t="shared" si="21"/>
        <v>0.72710267314702315</v>
      </c>
      <c r="S28" s="19">
        <f t="shared" si="22"/>
        <v>6.1553665451599839E-16</v>
      </c>
      <c r="T28" s="83">
        <f t="shared" si="23"/>
        <v>5.4890470442772896</v>
      </c>
    </row>
    <row r="29" spans="1:20">
      <c r="A29" s="9" t="s">
        <v>993</v>
      </c>
      <c r="B29" s="9" t="s">
        <v>11</v>
      </c>
      <c r="C29">
        <v>2980</v>
      </c>
      <c r="D29">
        <v>1.2</v>
      </c>
      <c r="E29">
        <v>0</v>
      </c>
      <c r="F29">
        <v>1</v>
      </c>
      <c r="G29" s="1">
        <f t="shared" si="0"/>
        <v>0</v>
      </c>
      <c r="H29" s="19">
        <f t="shared" si="13"/>
        <v>-4.5052132442284314E-4</v>
      </c>
      <c r="I29" s="1">
        <f t="shared" si="14"/>
        <v>0</v>
      </c>
      <c r="J29" s="1">
        <f t="shared" si="15"/>
        <v>0</v>
      </c>
      <c r="K29" s="19">
        <f t="shared" si="16"/>
        <v>1.9896840826245443E-2</v>
      </c>
      <c r="L29" s="19">
        <f t="shared" si="17"/>
        <v>12.449737545565007</v>
      </c>
      <c r="M29" s="19">
        <f t="shared" si="18"/>
        <v>4.2636087484811667E-4</v>
      </c>
      <c r="N29" s="19">
        <f t="shared" si="7"/>
        <v>1.8728799615228837E-2</v>
      </c>
      <c r="O29" s="19">
        <v>19.36</v>
      </c>
      <c r="P29" s="19">
        <f t="shared" si="19"/>
        <v>2.3556438335358445</v>
      </c>
      <c r="Q29" s="19">
        <f t="shared" si="20"/>
        <v>0.14496269744835966</v>
      </c>
      <c r="R29" s="19">
        <f t="shared" si="21"/>
        <v>447.67891859052253</v>
      </c>
      <c r="S29" s="19">
        <f t="shared" si="22"/>
        <v>3.7898744430943705E-13</v>
      </c>
      <c r="T29" s="83">
        <f t="shared" si="23"/>
        <v>779.15683488596096</v>
      </c>
    </row>
    <row r="30" spans="1:20">
      <c r="A30" s="9" t="s">
        <v>994</v>
      </c>
      <c r="B30" s="9" t="s">
        <v>11</v>
      </c>
      <c r="C30">
        <v>3600</v>
      </c>
      <c r="D30">
        <v>1.2</v>
      </c>
      <c r="E30">
        <v>0</v>
      </c>
      <c r="F30">
        <v>1</v>
      </c>
      <c r="G30" s="1">
        <f t="shared" si="0"/>
        <v>0</v>
      </c>
      <c r="H30" s="19">
        <f t="shared" si="13"/>
        <v>-5.4425394896719299E-4</v>
      </c>
      <c r="I30" s="1">
        <f t="shared" si="14"/>
        <v>0</v>
      </c>
      <c r="J30" s="1">
        <f t="shared" si="15"/>
        <v>0</v>
      </c>
      <c r="K30" s="19">
        <f t="shared" si="16"/>
        <v>2.4036452004860268E-2</v>
      </c>
      <c r="L30" s="19">
        <f t="shared" si="17"/>
        <v>15.039951397326854</v>
      </c>
      <c r="M30" s="19">
        <f t="shared" si="18"/>
        <v>5.1506682867557716E-4</v>
      </c>
      <c r="N30" s="19">
        <f t="shared" si="7"/>
        <v>1.8728799615228837E-2</v>
      </c>
      <c r="O30" s="19">
        <v>20.36</v>
      </c>
      <c r="P30" s="19">
        <f t="shared" si="19"/>
        <v>2.8457442284325638</v>
      </c>
      <c r="Q30" s="19">
        <f t="shared" si="20"/>
        <v>0.17512272174969623</v>
      </c>
      <c r="R30" s="19">
        <f t="shared" si="21"/>
        <v>540.82017010935601</v>
      </c>
      <c r="S30" s="19">
        <f t="shared" si="22"/>
        <v>4.5783718104495754E-13</v>
      </c>
      <c r="T30" s="83">
        <f t="shared" si="23"/>
        <v>940.56520124670931</v>
      </c>
    </row>
    <row r="31" spans="1:20">
      <c r="A31" s="9" t="s">
        <v>995</v>
      </c>
      <c r="B31" s="9" t="s">
        <v>11</v>
      </c>
      <c r="C31">
        <v>1350</v>
      </c>
      <c r="D31">
        <v>1.2</v>
      </c>
      <c r="E31">
        <v>0</v>
      </c>
      <c r="F31">
        <v>1</v>
      </c>
      <c r="G31" s="1">
        <f t="shared" si="0"/>
        <v>0</v>
      </c>
      <c r="H31" s="19">
        <f t="shared" si="13"/>
        <v>-2.040952308626974E-4</v>
      </c>
      <c r="I31" s="1">
        <f t="shared" si="14"/>
        <v>0</v>
      </c>
      <c r="J31" s="1">
        <f t="shared" si="15"/>
        <v>0</v>
      </c>
      <c r="K31" s="19">
        <f t="shared" si="16"/>
        <v>9.013669501822601E-3</v>
      </c>
      <c r="L31" s="19">
        <f t="shared" si="17"/>
        <v>5.6399817739975706</v>
      </c>
      <c r="M31" s="19">
        <f t="shared" si="18"/>
        <v>1.9315006075334144E-4</v>
      </c>
      <c r="N31" s="19">
        <f t="shared" si="7"/>
        <v>1.8728799615228837E-2</v>
      </c>
      <c r="O31" s="19">
        <v>21.36</v>
      </c>
      <c r="P31" s="19">
        <f t="shared" si="19"/>
        <v>1.0671540856622115</v>
      </c>
      <c r="Q31" s="19">
        <f t="shared" si="20"/>
        <v>6.5671020656136087E-2</v>
      </c>
      <c r="R31" s="19">
        <f t="shared" si="21"/>
        <v>202.80756379100853</v>
      </c>
      <c r="S31" s="19">
        <f t="shared" si="22"/>
        <v>1.7168894289185905E-13</v>
      </c>
      <c r="T31" s="83">
        <f t="shared" si="23"/>
        <v>355.87371042141302</v>
      </c>
    </row>
    <row r="32" spans="1:20">
      <c r="A32" s="9" t="s">
        <v>996</v>
      </c>
      <c r="B32" s="9" t="s">
        <v>11</v>
      </c>
      <c r="C32">
        <v>1500</v>
      </c>
      <c r="D32">
        <v>1.2</v>
      </c>
      <c r="E32">
        <v>0</v>
      </c>
      <c r="F32">
        <v>1</v>
      </c>
      <c r="G32" s="1">
        <f t="shared" si="0"/>
        <v>0</v>
      </c>
      <c r="H32" s="19">
        <f t="shared" si="13"/>
        <v>-2.2677247873633042E-4</v>
      </c>
      <c r="I32" s="1">
        <f t="shared" si="14"/>
        <v>0</v>
      </c>
      <c r="J32" s="1">
        <f t="shared" si="15"/>
        <v>0</v>
      </c>
      <c r="K32" s="19">
        <f t="shared" si="16"/>
        <v>1.0015188335358445E-2</v>
      </c>
      <c r="L32" s="19">
        <f t="shared" si="17"/>
        <v>6.2666464155528558</v>
      </c>
      <c r="M32" s="19">
        <f t="shared" si="18"/>
        <v>2.146111786148238E-4</v>
      </c>
      <c r="N32" s="19">
        <f t="shared" si="7"/>
        <v>1.8728799615228837E-2</v>
      </c>
      <c r="O32" s="19">
        <v>22.36</v>
      </c>
      <c r="P32" s="19">
        <f t="shared" si="19"/>
        <v>1.1857267618469016</v>
      </c>
      <c r="Q32" s="19">
        <f t="shared" si="20"/>
        <v>7.2967800729040105E-2</v>
      </c>
      <c r="R32" s="19">
        <f t="shared" si="21"/>
        <v>225.34173754556502</v>
      </c>
      <c r="S32" s="19">
        <f t="shared" si="22"/>
        <v>1.9076549210206563E-13</v>
      </c>
      <c r="T32" s="83">
        <f t="shared" si="23"/>
        <v>395.09847647643284</v>
      </c>
    </row>
    <row r="33" spans="1:20">
      <c r="A33" s="9" t="s">
        <v>997</v>
      </c>
      <c r="B33" s="9" t="s">
        <v>11</v>
      </c>
      <c r="C33">
        <v>8690</v>
      </c>
      <c r="D33">
        <v>1.2</v>
      </c>
      <c r="E33">
        <v>0</v>
      </c>
      <c r="F33">
        <v>1</v>
      </c>
      <c r="G33" s="1">
        <f t="shared" si="0"/>
        <v>0</v>
      </c>
      <c r="H33" s="19">
        <f t="shared" si="13"/>
        <v>-1.3137685601458077E-3</v>
      </c>
      <c r="I33" s="1">
        <f t="shared" si="14"/>
        <v>0</v>
      </c>
      <c r="J33" s="1">
        <f t="shared" si="15"/>
        <v>0</v>
      </c>
      <c r="K33" s="19">
        <f t="shared" si="16"/>
        <v>5.802132442284326E-2</v>
      </c>
      <c r="L33" s="19">
        <f t="shared" si="17"/>
        <v>36.304771567436212</v>
      </c>
      <c r="M33" s="19">
        <f t="shared" si="18"/>
        <v>1.2433140947752126E-3</v>
      </c>
      <c r="N33" s="19">
        <f t="shared" si="7"/>
        <v>1.8728799615228837E-2</v>
      </c>
      <c r="O33" s="19">
        <v>23.36</v>
      </c>
      <c r="P33" s="19">
        <f t="shared" si="19"/>
        <v>6.8693103736330494</v>
      </c>
      <c r="Q33" s="19">
        <f t="shared" si="20"/>
        <v>0.42272679222357229</v>
      </c>
      <c r="R33" s="19">
        <f t="shared" si="21"/>
        <v>1305.4797995139734</v>
      </c>
      <c r="S33" s="19">
        <f t="shared" si="22"/>
        <v>1.1051680842446335E-12</v>
      </c>
      <c r="T33" s="83">
        <f t="shared" si="23"/>
        <v>2264.4775960470456</v>
      </c>
    </row>
    <row r="34" spans="1:20">
      <c r="A34" s="9" t="s">
        <v>998</v>
      </c>
      <c r="B34" s="9" t="s">
        <v>11</v>
      </c>
      <c r="C34">
        <v>787</v>
      </c>
      <c r="D34">
        <v>1.2</v>
      </c>
      <c r="E34">
        <v>0</v>
      </c>
      <c r="F34">
        <v>1</v>
      </c>
      <c r="G34" s="1">
        <f t="shared" si="0"/>
        <v>0</v>
      </c>
      <c r="H34" s="19">
        <f t="shared" si="13"/>
        <v>-1.1897996051032803E-4</v>
      </c>
      <c r="I34" s="1">
        <f t="shared" si="14"/>
        <v>0</v>
      </c>
      <c r="J34" s="1">
        <f t="shared" si="15"/>
        <v>0</v>
      </c>
      <c r="K34" s="19">
        <f t="shared" si="16"/>
        <v>5.2546354799513978E-3</v>
      </c>
      <c r="L34" s="19">
        <f t="shared" si="17"/>
        <v>3.2879004860267318</v>
      </c>
      <c r="M34" s="19">
        <f t="shared" si="18"/>
        <v>1.1259933171324423E-4</v>
      </c>
      <c r="N34" s="19">
        <f t="shared" si="7"/>
        <v>1.8728799615228837E-2</v>
      </c>
      <c r="O34" s="19">
        <v>24.36</v>
      </c>
      <c r="P34" s="19">
        <f t="shared" si="19"/>
        <v>0.62211130771567436</v>
      </c>
      <c r="Q34" s="19">
        <f t="shared" si="20"/>
        <v>3.8283772782503035E-2</v>
      </c>
      <c r="R34" s="19">
        <f t="shared" si="21"/>
        <v>118.22929829890644</v>
      </c>
      <c r="S34" s="19">
        <f t="shared" si="22"/>
        <v>1.000882948562171E-13</v>
      </c>
      <c r="T34" s="83">
        <f t="shared" si="23"/>
        <v>210.20335516157232</v>
      </c>
    </row>
    <row r="35" spans="1:20">
      <c r="A35" s="9" t="s">
        <v>999</v>
      </c>
      <c r="B35" s="9" t="s">
        <v>11</v>
      </c>
      <c r="C35">
        <v>5450</v>
      </c>
      <c r="D35">
        <v>1.2</v>
      </c>
      <c r="E35">
        <v>0</v>
      </c>
      <c r="F35">
        <v>1</v>
      </c>
      <c r="G35" s="1">
        <f t="shared" si="0"/>
        <v>0</v>
      </c>
      <c r="H35" s="19">
        <f t="shared" si="13"/>
        <v>-8.2394000607533392E-4</v>
      </c>
      <c r="I35" s="1">
        <f t="shared" si="14"/>
        <v>0</v>
      </c>
      <c r="J35" s="1">
        <f t="shared" si="15"/>
        <v>0</v>
      </c>
      <c r="K35" s="19">
        <f t="shared" si="16"/>
        <v>3.6388517618469014E-2</v>
      </c>
      <c r="L35" s="19">
        <f t="shared" si="17"/>
        <v>22.768815309842044</v>
      </c>
      <c r="M35" s="19">
        <f t="shared" si="18"/>
        <v>7.7975394896719324E-4</v>
      </c>
      <c r="N35" s="19">
        <f t="shared" si="7"/>
        <v>1.8728799615228837E-2</v>
      </c>
      <c r="O35" s="19">
        <v>25.36</v>
      </c>
      <c r="P35" s="19">
        <f t="shared" si="19"/>
        <v>4.3081405680437426</v>
      </c>
      <c r="Q35" s="19">
        <f t="shared" si="20"/>
        <v>0.2651163426488457</v>
      </c>
      <c r="R35" s="19">
        <f t="shared" si="21"/>
        <v>818.74164641555296</v>
      </c>
      <c r="S35" s="19">
        <f t="shared" si="22"/>
        <v>6.9311462130417177E-13</v>
      </c>
      <c r="T35" s="83">
        <f t="shared" si="23"/>
        <v>1422.6506492586195</v>
      </c>
    </row>
    <row r="36" spans="1:20">
      <c r="A36" s="9" t="s">
        <v>1000</v>
      </c>
      <c r="B36" s="9" t="s">
        <v>11</v>
      </c>
      <c r="C36">
        <v>255</v>
      </c>
      <c r="D36">
        <v>1.2</v>
      </c>
      <c r="E36">
        <v>0</v>
      </c>
      <c r="F36">
        <v>1</v>
      </c>
      <c r="G36" s="1">
        <f t="shared" si="0"/>
        <v>0</v>
      </c>
      <c r="H36" s="19">
        <f t="shared" si="13"/>
        <v>-3.8551321385176173E-5</v>
      </c>
      <c r="I36" s="1">
        <f t="shared" si="14"/>
        <v>0</v>
      </c>
      <c r="J36" s="1">
        <f t="shared" si="15"/>
        <v>0</v>
      </c>
      <c r="K36" s="19">
        <f t="shared" si="16"/>
        <v>1.7025820170109356E-3</v>
      </c>
      <c r="L36" s="19">
        <f t="shared" si="17"/>
        <v>1.0653298906439854</v>
      </c>
      <c r="M36" s="19">
        <f t="shared" si="18"/>
        <v>3.6483900364520051E-5</v>
      </c>
      <c r="N36" s="19">
        <f t="shared" si="7"/>
        <v>1.8728799615228837E-2</v>
      </c>
      <c r="O36" s="19">
        <v>26.36</v>
      </c>
      <c r="P36" s="19">
        <f t="shared" si="19"/>
        <v>0.20157354951397327</v>
      </c>
      <c r="Q36" s="19">
        <f t="shared" si="20"/>
        <v>1.2404526123936816E-2</v>
      </c>
      <c r="R36" s="19">
        <f t="shared" si="21"/>
        <v>38.308095382746053</v>
      </c>
      <c r="S36" s="19">
        <f t="shared" si="22"/>
        <v>3.2430133657351155E-14</v>
      </c>
      <c r="T36" s="83">
        <f t="shared" si="23"/>
        <v>72.361918219768881</v>
      </c>
    </row>
    <row r="37" spans="1:20">
      <c r="A37" s="9" t="s">
        <v>1001</v>
      </c>
      <c r="B37" s="9" t="s">
        <v>11</v>
      </c>
      <c r="C37">
        <v>325</v>
      </c>
      <c r="D37">
        <v>1.2</v>
      </c>
      <c r="E37">
        <v>0</v>
      </c>
      <c r="F37">
        <v>1</v>
      </c>
      <c r="G37" s="1">
        <f t="shared" si="0"/>
        <v>0</v>
      </c>
      <c r="H37" s="19">
        <f t="shared" si="13"/>
        <v>-4.913403705953826E-5</v>
      </c>
      <c r="I37" s="1">
        <f t="shared" si="14"/>
        <v>0</v>
      </c>
      <c r="J37" s="1">
        <f t="shared" si="15"/>
        <v>0</v>
      </c>
      <c r="K37" s="19">
        <f t="shared" si="16"/>
        <v>2.1699574726609964E-3</v>
      </c>
      <c r="L37" s="19">
        <f t="shared" si="17"/>
        <v>1.3577733900364521</v>
      </c>
      <c r="M37" s="19">
        <f t="shared" si="18"/>
        <v>4.6499088699878493E-5</v>
      </c>
      <c r="N37" s="19">
        <f t="shared" si="7"/>
        <v>1.8728799615228837E-2</v>
      </c>
      <c r="O37" s="19">
        <v>27.36</v>
      </c>
      <c r="P37" s="19">
        <f t="shared" si="19"/>
        <v>0.25690746506682866</v>
      </c>
      <c r="Q37" s="19">
        <f t="shared" si="20"/>
        <v>1.5809690157958689E-2</v>
      </c>
      <c r="R37" s="19">
        <f t="shared" si="21"/>
        <v>48.824043134872419</v>
      </c>
      <c r="S37" s="19">
        <f t="shared" si="22"/>
        <v>4.1332523288780886E-14</v>
      </c>
      <c r="T37" s="83">
        <f t="shared" si="23"/>
        <v>90.789475712111425</v>
      </c>
    </row>
    <row r="38" spans="1:20">
      <c r="A38" s="9" t="s">
        <v>1002</v>
      </c>
      <c r="B38" s="9" t="s">
        <v>11</v>
      </c>
      <c r="C38">
        <v>962</v>
      </c>
      <c r="D38">
        <v>1.2</v>
      </c>
      <c r="E38">
        <v>0</v>
      </c>
      <c r="F38">
        <v>1</v>
      </c>
      <c r="G38" s="1">
        <f t="shared" si="0"/>
        <v>0</v>
      </c>
      <c r="H38" s="19">
        <f t="shared" si="13"/>
        <v>-1.4543674969623324E-4</v>
      </c>
      <c r="I38" s="1">
        <f t="shared" si="14"/>
        <v>0</v>
      </c>
      <c r="J38" s="1">
        <f t="shared" si="15"/>
        <v>0</v>
      </c>
      <c r="K38" s="19">
        <f t="shared" si="16"/>
        <v>6.4230741190765489E-3</v>
      </c>
      <c r="L38" s="19">
        <f t="shared" si="17"/>
        <v>4.019009234507898</v>
      </c>
      <c r="M38" s="19">
        <f t="shared" si="18"/>
        <v>1.3763730255164034E-4</v>
      </c>
      <c r="N38" s="19">
        <f t="shared" si="7"/>
        <v>1.8728799615228837E-2</v>
      </c>
      <c r="O38" s="19">
        <v>28.36</v>
      </c>
      <c r="P38" s="19">
        <f t="shared" si="19"/>
        <v>0.76044609659781282</v>
      </c>
      <c r="Q38" s="19">
        <f t="shared" si="20"/>
        <v>4.6796682867557719E-2</v>
      </c>
      <c r="R38" s="19">
        <f t="shared" si="21"/>
        <v>144.51916767922236</v>
      </c>
      <c r="S38" s="19">
        <f t="shared" si="22"/>
        <v>1.2234426893479141E-13</v>
      </c>
      <c r="T38" s="83">
        <f t="shared" si="23"/>
        <v>256.61724889242868</v>
      </c>
    </row>
    <row r="39" spans="1:20">
      <c r="A39" s="9" t="s">
        <v>1003</v>
      </c>
      <c r="B39" s="9" t="s">
        <v>11</v>
      </c>
      <c r="C39">
        <v>74.8</v>
      </c>
      <c r="D39">
        <v>1.2</v>
      </c>
      <c r="E39">
        <v>0</v>
      </c>
      <c r="F39">
        <v>1</v>
      </c>
      <c r="G39" s="1">
        <f t="shared" si="0"/>
        <v>0</v>
      </c>
      <c r="H39" s="19">
        <f t="shared" si="13"/>
        <v>-1.1308387606318343E-5</v>
      </c>
      <c r="I39" s="1">
        <f t="shared" si="14"/>
        <v>0</v>
      </c>
      <c r="J39" s="1">
        <f t="shared" si="15"/>
        <v>0</v>
      </c>
      <c r="K39" s="19">
        <f t="shared" si="16"/>
        <v>4.9942405832320775E-4</v>
      </c>
      <c r="L39" s="19">
        <f t="shared" si="17"/>
        <v>0.31249676792223574</v>
      </c>
      <c r="M39" s="19">
        <f t="shared" si="18"/>
        <v>1.070194410692588E-5</v>
      </c>
      <c r="N39" s="19">
        <f t="shared" si="7"/>
        <v>1.8728799615228837E-2</v>
      </c>
      <c r="O39" s="19">
        <v>29.36</v>
      </c>
      <c r="P39" s="19">
        <f t="shared" si="19"/>
        <v>5.9128241190765492E-2</v>
      </c>
      <c r="Q39" s="19">
        <f t="shared" si="20"/>
        <v>3.6386609963547996E-3</v>
      </c>
      <c r="R39" s="19">
        <f t="shared" si="21"/>
        <v>11.237041312272176</v>
      </c>
      <c r="S39" s="19">
        <f t="shared" si="22"/>
        <v>9.5128392061563387E-15</v>
      </c>
      <c r="T39" s="83">
        <f t="shared" si="23"/>
        <v>26.206205932338495</v>
      </c>
    </row>
    <row r="40" spans="1:20">
      <c r="A40" s="9" t="s">
        <v>1004</v>
      </c>
      <c r="B40" s="9" t="s">
        <v>11</v>
      </c>
      <c r="C40">
        <v>599</v>
      </c>
      <c r="D40">
        <v>1.2</v>
      </c>
      <c r="E40">
        <v>0</v>
      </c>
      <c r="F40">
        <v>1</v>
      </c>
      <c r="G40" s="1">
        <f t="shared" si="0"/>
        <v>0</v>
      </c>
      <c r="H40" s="19">
        <f t="shared" si="13"/>
        <v>-9.0557809842041281E-5</v>
      </c>
      <c r="I40" s="1">
        <f t="shared" si="14"/>
        <v>0</v>
      </c>
      <c r="J40" s="1">
        <f t="shared" si="15"/>
        <v>0</v>
      </c>
      <c r="K40" s="19">
        <f t="shared" si="16"/>
        <v>3.9993985419198054E-3</v>
      </c>
      <c r="L40" s="19">
        <f t="shared" si="17"/>
        <v>2.5024808019441069</v>
      </c>
      <c r="M40" s="19">
        <f t="shared" si="18"/>
        <v>8.5701397326852976E-5</v>
      </c>
      <c r="N40" s="19">
        <f t="shared" si="7"/>
        <v>1.8728799615228837E-2</v>
      </c>
      <c r="O40" s="19">
        <v>30.36</v>
      </c>
      <c r="P40" s="19">
        <f t="shared" si="19"/>
        <v>0.47350022023086269</v>
      </c>
      <c r="Q40" s="19">
        <f t="shared" si="20"/>
        <v>2.9138475091130014E-2</v>
      </c>
      <c r="R40" s="19">
        <f t="shared" si="21"/>
        <v>89.986467193195637</v>
      </c>
      <c r="S40" s="19">
        <f t="shared" si="22"/>
        <v>7.6179019846091543E-14</v>
      </c>
      <c r="T40" s="83">
        <f t="shared" si="23"/>
        <v>162.70991503928084</v>
      </c>
    </row>
    <row r="41" spans="1:20">
      <c r="A41" s="9" t="s">
        <v>1005</v>
      </c>
      <c r="B41" s="9" t="s">
        <v>11</v>
      </c>
      <c r="C41">
        <v>2890</v>
      </c>
      <c r="D41">
        <v>1.2</v>
      </c>
      <c r="E41">
        <v>0</v>
      </c>
      <c r="F41">
        <v>1</v>
      </c>
      <c r="G41" s="1">
        <f t="shared" si="0"/>
        <v>0</v>
      </c>
      <c r="H41" s="19">
        <f t="shared" si="13"/>
        <v>-4.369149756986633E-4</v>
      </c>
      <c r="I41" s="1">
        <f t="shared" si="14"/>
        <v>0</v>
      </c>
      <c r="J41" s="1">
        <f t="shared" si="15"/>
        <v>0</v>
      </c>
      <c r="K41" s="19">
        <f t="shared" si="16"/>
        <v>1.9295929526123936E-2</v>
      </c>
      <c r="L41" s="19">
        <f t="shared" si="17"/>
        <v>12.073738760631835</v>
      </c>
      <c r="M41" s="19">
        <f t="shared" si="18"/>
        <v>4.1348420413122721E-4</v>
      </c>
      <c r="N41" s="19">
        <f t="shared" si="7"/>
        <v>1.8728799615228837E-2</v>
      </c>
      <c r="O41" s="19">
        <v>31.36</v>
      </c>
      <c r="P41" s="19">
        <f t="shared" si="19"/>
        <v>2.2845002278250304</v>
      </c>
      <c r="Q41" s="19">
        <f t="shared" si="20"/>
        <v>0.14058462940461725</v>
      </c>
      <c r="R41" s="19">
        <f t="shared" si="21"/>
        <v>434.1584143377886</v>
      </c>
      <c r="S41" s="19">
        <f t="shared" si="22"/>
        <v>3.6754151478331311E-13</v>
      </c>
      <c r="T41" s="83">
        <f t="shared" si="23"/>
        <v>758.51997525294917</v>
      </c>
    </row>
    <row r="42" spans="1:20">
      <c r="A42" s="9" t="s">
        <v>1006</v>
      </c>
      <c r="B42" s="9" t="s">
        <v>11</v>
      </c>
      <c r="C42">
        <v>914</v>
      </c>
      <c r="D42">
        <v>1.2</v>
      </c>
      <c r="E42">
        <v>0</v>
      </c>
      <c r="F42">
        <v>1</v>
      </c>
      <c r="G42" s="1">
        <f t="shared" si="0"/>
        <v>0</v>
      </c>
      <c r="H42" s="19">
        <f t="shared" si="13"/>
        <v>-1.3818003037667067E-4</v>
      </c>
      <c r="I42" s="1">
        <f t="shared" si="14"/>
        <v>0</v>
      </c>
      <c r="J42" s="1">
        <f t="shared" si="15"/>
        <v>0</v>
      </c>
      <c r="K42" s="19">
        <f t="shared" si="16"/>
        <v>6.1025880923450794E-3</v>
      </c>
      <c r="L42" s="19">
        <f t="shared" si="17"/>
        <v>3.8184765492102066</v>
      </c>
      <c r="M42" s="19">
        <f t="shared" si="18"/>
        <v>1.3076974483596597E-4</v>
      </c>
      <c r="N42" s="19">
        <f t="shared" si="7"/>
        <v>1.8728799615228837E-2</v>
      </c>
      <c r="O42" s="19">
        <v>32.36</v>
      </c>
      <c r="P42" s="19">
        <f t="shared" si="19"/>
        <v>0.72250284021871203</v>
      </c>
      <c r="Q42" s="19">
        <f t="shared" si="20"/>
        <v>4.4461713244228436E-2</v>
      </c>
      <c r="R42" s="19">
        <f t="shared" si="21"/>
        <v>137.3082320777643</v>
      </c>
      <c r="S42" s="19">
        <f t="shared" si="22"/>
        <v>1.1623977318752532E-13</v>
      </c>
      <c r="T42" s="83">
        <f t="shared" si="23"/>
        <v>245.05892375482236</v>
      </c>
    </row>
    <row r="43" spans="1:20">
      <c r="A43" s="9" t="s">
        <v>1007</v>
      </c>
      <c r="B43" s="9" t="s">
        <v>11</v>
      </c>
      <c r="C43">
        <v>1600</v>
      </c>
      <c r="D43">
        <v>1.2</v>
      </c>
      <c r="E43">
        <v>0</v>
      </c>
      <c r="F43">
        <v>1</v>
      </c>
      <c r="G43" s="1">
        <f t="shared" si="0"/>
        <v>0</v>
      </c>
      <c r="H43" s="19">
        <f t="shared" si="13"/>
        <v>-2.4189064398541911E-4</v>
      </c>
      <c r="I43" s="1">
        <f t="shared" si="14"/>
        <v>0</v>
      </c>
      <c r="J43" s="1">
        <f t="shared" si="15"/>
        <v>0</v>
      </c>
      <c r="K43" s="19">
        <f t="shared" si="16"/>
        <v>1.0682867557715674E-2</v>
      </c>
      <c r="L43" s="19">
        <f t="shared" si="17"/>
        <v>6.6844228432563799</v>
      </c>
      <c r="M43" s="19">
        <f t="shared" si="18"/>
        <v>2.2891859052247873E-4</v>
      </c>
      <c r="N43" s="19">
        <f t="shared" si="7"/>
        <v>1.8728799615228837E-2</v>
      </c>
      <c r="O43" s="19">
        <v>33.36</v>
      </c>
      <c r="P43" s="19">
        <f t="shared" si="19"/>
        <v>1.2647752126366949</v>
      </c>
      <c r="Q43" s="19">
        <f t="shared" si="20"/>
        <v>7.7832320777642766E-2</v>
      </c>
      <c r="R43" s="19">
        <f t="shared" si="21"/>
        <v>240.36452004860269</v>
      </c>
      <c r="S43" s="19">
        <f t="shared" si="22"/>
        <v>2.0348319157553668E-13</v>
      </c>
      <c r="T43" s="83">
        <f t="shared" si="23"/>
        <v>423.62498717977934</v>
      </c>
    </row>
    <row r="44" spans="1:20">
      <c r="A44" s="9" t="s">
        <v>1008</v>
      </c>
      <c r="B44" s="9" t="s">
        <v>11</v>
      </c>
      <c r="C44">
        <v>5.0000000000000001E-3</v>
      </c>
      <c r="D44">
        <v>1.2</v>
      </c>
      <c r="E44">
        <v>0</v>
      </c>
      <c r="F44">
        <v>1</v>
      </c>
      <c r="G44" s="1">
        <f t="shared" si="0"/>
        <v>0</v>
      </c>
      <c r="H44" s="19">
        <f t="shared" si="13"/>
        <v>-7.5590826245443475E-10</v>
      </c>
      <c r="I44" s="1">
        <f t="shared" si="14"/>
        <v>0</v>
      </c>
      <c r="J44" s="1">
        <f t="shared" si="15"/>
        <v>0</v>
      </c>
      <c r="K44" s="19">
        <f t="shared" si="16"/>
        <v>3.3383961117861485E-8</v>
      </c>
      <c r="L44" s="19">
        <f t="shared" si="17"/>
        <v>2.0888821385176188E-5</v>
      </c>
      <c r="M44" s="19">
        <f t="shared" si="18"/>
        <v>7.1537059538274603E-10</v>
      </c>
      <c r="N44" s="19">
        <f t="shared" si="7"/>
        <v>1.8728799615228837E-2</v>
      </c>
      <c r="O44" s="19">
        <v>34.36</v>
      </c>
      <c r="P44" s="19">
        <f t="shared" si="19"/>
        <v>3.9524225394896716E-6</v>
      </c>
      <c r="Q44" s="19">
        <f t="shared" si="20"/>
        <v>2.4322600243013364E-7</v>
      </c>
      <c r="R44" s="19">
        <f t="shared" si="21"/>
        <v>7.5113912515188338E-4</v>
      </c>
      <c r="S44" s="19">
        <f t="shared" si="22"/>
        <v>6.3588497367355207E-19</v>
      </c>
      <c r="T44" s="83">
        <f t="shared" si="23"/>
        <v>7.912115751770485</v>
      </c>
    </row>
    <row r="45" spans="1:20">
      <c r="A45" s="9" t="s">
        <v>1009</v>
      </c>
      <c r="B45" s="9" t="s">
        <v>11</v>
      </c>
      <c r="C45">
        <v>5.1999999999999998E-2</v>
      </c>
      <c r="D45">
        <v>1.2</v>
      </c>
      <c r="E45">
        <v>0</v>
      </c>
      <c r="F45">
        <v>1</v>
      </c>
      <c r="G45" s="1">
        <f t="shared" si="0"/>
        <v>0</v>
      </c>
      <c r="H45" s="19">
        <f t="shared" si="13"/>
        <v>-7.8614459295261209E-9</v>
      </c>
      <c r="I45" s="1">
        <f t="shared" si="14"/>
        <v>0</v>
      </c>
      <c r="J45" s="1">
        <f t="shared" si="15"/>
        <v>0</v>
      </c>
      <c r="K45" s="19">
        <f t="shared" si="16"/>
        <v>3.4719319562575943E-7</v>
      </c>
      <c r="L45" s="19">
        <f t="shared" si="17"/>
        <v>2.1724374240583233E-4</v>
      </c>
      <c r="M45" s="19">
        <f t="shared" si="18"/>
        <v>7.4398541919805582E-9</v>
      </c>
      <c r="N45" s="19">
        <f t="shared" si="7"/>
        <v>1.8728799615228837E-2</v>
      </c>
      <c r="O45" s="19">
        <v>35.36</v>
      </c>
      <c r="P45" s="19">
        <f t="shared" si="19"/>
        <v>4.1105194410692582E-5</v>
      </c>
      <c r="Q45" s="19">
        <f t="shared" si="20"/>
        <v>2.52955042527339E-6</v>
      </c>
      <c r="R45" s="19">
        <f t="shared" si="21"/>
        <v>7.8118469015795869E-3</v>
      </c>
      <c r="S45" s="19">
        <f t="shared" si="22"/>
        <v>6.6132037262049411E-18</v>
      </c>
      <c r="T45" s="83">
        <f t="shared" si="23"/>
        <v>8.1543341118010577</v>
      </c>
    </row>
    <row r="46" spans="1:20">
      <c r="A46" s="9" t="s">
        <v>1010</v>
      </c>
      <c r="B46" s="9" t="s">
        <v>11</v>
      </c>
      <c r="C46">
        <v>2.4E-2</v>
      </c>
      <c r="D46">
        <v>1.2</v>
      </c>
      <c r="E46">
        <v>0</v>
      </c>
      <c r="F46">
        <v>1</v>
      </c>
      <c r="G46" s="1">
        <f t="shared" si="0"/>
        <v>0</v>
      </c>
      <c r="H46" s="19">
        <f t="shared" si="13"/>
        <v>-3.628359659781287E-9</v>
      </c>
      <c r="I46" s="1">
        <f t="shared" si="14"/>
        <v>0</v>
      </c>
      <c r="J46" s="1">
        <f t="shared" si="15"/>
        <v>0</v>
      </c>
      <c r="K46" s="19">
        <f t="shared" si="16"/>
        <v>1.6024301336573512E-7</v>
      </c>
      <c r="L46" s="19">
        <f t="shared" si="17"/>
        <v>1.0026634264884569E-4</v>
      </c>
      <c r="M46" s="19">
        <f t="shared" si="18"/>
        <v>3.4337788578371812E-9</v>
      </c>
      <c r="N46" s="19">
        <f t="shared" si="7"/>
        <v>1.8728799615228837E-2</v>
      </c>
      <c r="O46" s="19">
        <v>36.36</v>
      </c>
      <c r="P46" s="19">
        <f t="shared" si="19"/>
        <v>1.8971628189550425E-5</v>
      </c>
      <c r="Q46" s="19">
        <f t="shared" si="20"/>
        <v>1.1674848116646417E-6</v>
      </c>
      <c r="R46" s="19">
        <f t="shared" si="21"/>
        <v>3.6054678007290406E-3</v>
      </c>
      <c r="S46" s="19">
        <f t="shared" si="22"/>
        <v>3.0522478736330502E-18</v>
      </c>
      <c r="T46" s="83">
        <f t="shared" si="23"/>
        <v>8.3770550888041218</v>
      </c>
    </row>
    <row r="47" spans="1:20">
      <c r="A47" s="9" t="s">
        <v>1011</v>
      </c>
      <c r="B47" s="9" t="s">
        <v>11</v>
      </c>
      <c r="C47">
        <v>0.34399999999999997</v>
      </c>
      <c r="D47">
        <v>1.2</v>
      </c>
      <c r="E47">
        <v>0</v>
      </c>
      <c r="F47">
        <v>1</v>
      </c>
      <c r="G47" s="1">
        <f t="shared" si="0"/>
        <v>0</v>
      </c>
      <c r="H47" s="19">
        <f t="shared" si="13"/>
        <v>-5.2006488456865106E-8</v>
      </c>
      <c r="I47" s="1">
        <f t="shared" si="14"/>
        <v>0</v>
      </c>
      <c r="J47" s="1">
        <f t="shared" si="15"/>
        <v>0</v>
      </c>
      <c r="K47" s="19">
        <f t="shared" si="16"/>
        <v>2.2968165249088697E-6</v>
      </c>
      <c r="L47" s="19">
        <f t="shared" si="17"/>
        <v>1.4371509113001214E-3</v>
      </c>
      <c r="M47" s="19">
        <f t="shared" si="18"/>
        <v>4.9217496962332921E-8</v>
      </c>
      <c r="N47" s="19">
        <f t="shared" si="7"/>
        <v>1.8728799615228837E-2</v>
      </c>
      <c r="O47" s="19">
        <v>37.36</v>
      </c>
      <c r="P47" s="19">
        <f t="shared" si="19"/>
        <v>2.7192667071688939E-4</v>
      </c>
      <c r="Q47" s="19">
        <f t="shared" si="20"/>
        <v>1.6733948967193194E-5</v>
      </c>
      <c r="R47" s="19">
        <f t="shared" si="21"/>
        <v>5.1678371810449576E-2</v>
      </c>
      <c r="S47" s="19">
        <f t="shared" si="22"/>
        <v>4.3748886188740383E-17</v>
      </c>
      <c r="T47" s="83">
        <f t="shared" si="23"/>
        <v>8.6902439230548314</v>
      </c>
    </row>
    <row r="48" spans="1:20">
      <c r="A48" s="9" t="s">
        <v>1012</v>
      </c>
      <c r="B48" s="9" t="s">
        <v>11</v>
      </c>
      <c r="C48">
        <v>0.11799999999999999</v>
      </c>
      <c r="D48">
        <v>1.2</v>
      </c>
      <c r="E48">
        <v>0</v>
      </c>
      <c r="F48">
        <v>1</v>
      </c>
      <c r="G48" s="1">
        <f t="shared" si="0"/>
        <v>0</v>
      </c>
      <c r="H48" s="19">
        <f t="shared" si="13"/>
        <v>-1.7839434993924658E-8</v>
      </c>
      <c r="I48" s="1">
        <f t="shared" si="14"/>
        <v>0</v>
      </c>
      <c r="J48" s="1">
        <f t="shared" si="15"/>
        <v>0</v>
      </c>
      <c r="K48" s="19">
        <f t="shared" si="16"/>
        <v>7.87861482381531E-7</v>
      </c>
      <c r="L48" s="19">
        <f t="shared" si="17"/>
        <v>4.9297618469015792E-4</v>
      </c>
      <c r="M48" s="19">
        <f t="shared" si="18"/>
        <v>1.6882746051032807E-8</v>
      </c>
      <c r="N48" s="19">
        <f t="shared" si="7"/>
        <v>1.8728799615228837E-2</v>
      </c>
      <c r="O48" s="19">
        <v>38.36</v>
      </c>
      <c r="P48" s="19">
        <f t="shared" si="19"/>
        <v>9.3277171931956256E-5</v>
      </c>
      <c r="Q48" s="19">
        <f t="shared" si="20"/>
        <v>5.7401336573511544E-6</v>
      </c>
      <c r="R48" s="19">
        <f t="shared" si="21"/>
        <v>1.7726883353584449E-2</v>
      </c>
      <c r="S48" s="19">
        <f t="shared" si="22"/>
        <v>1.5006885378695829E-17</v>
      </c>
      <c r="T48" s="83">
        <f t="shared" si="23"/>
        <v>8.8614918088652672</v>
      </c>
    </row>
    <row r="49" spans="1:20">
      <c r="A49" s="9" t="s">
        <v>1013</v>
      </c>
      <c r="B49" s="9" t="s">
        <v>11</v>
      </c>
      <c r="C49">
        <v>0.315</v>
      </c>
      <c r="D49">
        <v>1.2</v>
      </c>
      <c r="E49">
        <v>0</v>
      </c>
      <c r="F49">
        <v>1</v>
      </c>
      <c r="G49" s="1">
        <f t="shared" si="0"/>
        <v>0</v>
      </c>
      <c r="H49" s="19">
        <f t="shared" si="13"/>
        <v>-4.7622220534629387E-8</v>
      </c>
      <c r="I49" s="1">
        <f t="shared" si="14"/>
        <v>0</v>
      </c>
      <c r="J49" s="1">
        <f t="shared" si="15"/>
        <v>0</v>
      </c>
      <c r="K49" s="19">
        <f t="shared" si="16"/>
        <v>2.1031895504252733E-6</v>
      </c>
      <c r="L49" s="19">
        <f t="shared" si="17"/>
        <v>1.3159957472660998E-3</v>
      </c>
      <c r="M49" s="19">
        <f t="shared" si="18"/>
        <v>4.5068347509113003E-8</v>
      </c>
      <c r="N49" s="19">
        <f t="shared" si="7"/>
        <v>1.8728799615228837E-2</v>
      </c>
      <c r="O49" s="19">
        <v>39.36</v>
      </c>
      <c r="P49" s="19">
        <f t="shared" si="19"/>
        <v>2.4900261998784932E-4</v>
      </c>
      <c r="Q49" s="19">
        <f t="shared" si="20"/>
        <v>1.532323815309842E-5</v>
      </c>
      <c r="R49" s="19">
        <f t="shared" si="21"/>
        <v>4.7321764884568657E-2</v>
      </c>
      <c r="S49" s="19">
        <f t="shared" si="22"/>
        <v>4.006075334143378E-17</v>
      </c>
      <c r="T49" s="83">
        <f t="shared" si="23"/>
        <v>9.1427049349508582</v>
      </c>
    </row>
    <row r="50" spans="1:20">
      <c r="A50" s="9" t="s">
        <v>1014</v>
      </c>
      <c r="B50" s="9" t="s">
        <v>11</v>
      </c>
      <c r="C50">
        <v>1.37</v>
      </c>
      <c r="D50">
        <v>1.2</v>
      </c>
      <c r="E50">
        <v>0</v>
      </c>
      <c r="F50">
        <v>1</v>
      </c>
      <c r="G50" s="1">
        <f t="shared" si="0"/>
        <v>0</v>
      </c>
      <c r="H50" s="19">
        <f t="shared" si="13"/>
        <v>-2.0711886391251513E-7</v>
      </c>
      <c r="I50" s="1">
        <f t="shared" si="14"/>
        <v>0</v>
      </c>
      <c r="J50" s="1">
        <f t="shared" si="15"/>
        <v>0</v>
      </c>
      <c r="K50" s="19">
        <f t="shared" si="16"/>
        <v>9.1472053462940466E-6</v>
      </c>
      <c r="L50" s="19">
        <f t="shared" si="17"/>
        <v>5.7235370595382752E-3</v>
      </c>
      <c r="M50" s="19">
        <f t="shared" si="18"/>
        <v>1.9601154313487243E-7</v>
      </c>
      <c r="N50" s="19">
        <f t="shared" si="7"/>
        <v>1.8728799615228837E-2</v>
      </c>
      <c r="O50" s="19">
        <v>40.36</v>
      </c>
      <c r="P50" s="19">
        <f t="shared" si="19"/>
        <v>1.0829637758201702E-3</v>
      </c>
      <c r="Q50" s="19">
        <f t="shared" si="20"/>
        <v>6.6643924665856625E-5</v>
      </c>
      <c r="R50" s="19">
        <f t="shared" si="21"/>
        <v>0.20581212029161608</v>
      </c>
      <c r="S50" s="19">
        <f t="shared" si="22"/>
        <v>1.7423248278655327E-16</v>
      </c>
      <c r="T50" s="83">
        <f t="shared" si="23"/>
        <v>9.646968122871165</v>
      </c>
    </row>
    <row r="51" spans="1:20">
      <c r="A51" s="9" t="s">
        <v>1015</v>
      </c>
      <c r="B51" s="9" t="s">
        <v>11</v>
      </c>
      <c r="C51">
        <v>0.501</v>
      </c>
      <c r="D51">
        <v>1.2</v>
      </c>
      <c r="E51">
        <v>0</v>
      </c>
      <c r="F51">
        <v>1</v>
      </c>
      <c r="G51" s="1">
        <f t="shared" si="0"/>
        <v>0</v>
      </c>
      <c r="H51" s="19">
        <f t="shared" si="13"/>
        <v>-7.5742007897934363E-8</v>
      </c>
      <c r="I51" s="1">
        <f t="shared" si="14"/>
        <v>0</v>
      </c>
      <c r="J51" s="1">
        <f t="shared" si="15"/>
        <v>0</v>
      </c>
      <c r="K51" s="19">
        <f t="shared" si="16"/>
        <v>3.3450729040097205E-6</v>
      </c>
      <c r="L51" s="19">
        <f t="shared" si="17"/>
        <v>2.0930599027946537E-3</v>
      </c>
      <c r="M51" s="19">
        <f t="shared" si="18"/>
        <v>7.1680133657351152E-8</v>
      </c>
      <c r="N51" s="19">
        <f t="shared" si="7"/>
        <v>1.8728799615228837E-2</v>
      </c>
      <c r="O51" s="19">
        <v>41.36</v>
      </c>
      <c r="P51" s="19">
        <f t="shared" si="19"/>
        <v>3.9603273845686509E-4</v>
      </c>
      <c r="Q51" s="19">
        <f t="shared" si="20"/>
        <v>2.4371245443499391E-5</v>
      </c>
      <c r="R51" s="19">
        <f t="shared" si="21"/>
        <v>7.5264140340218721E-2</v>
      </c>
      <c r="S51" s="19">
        <f t="shared" si="22"/>
        <v>6.3715674362089914E-17</v>
      </c>
      <c r="T51" s="83">
        <f t="shared" si="23"/>
        <v>9.6510584448590837</v>
      </c>
    </row>
    <row r="52" spans="1:20">
      <c r="A52" s="9" t="s">
        <v>1016</v>
      </c>
      <c r="B52" s="9" t="s">
        <v>11</v>
      </c>
      <c r="C52">
        <v>17.899999999999999</v>
      </c>
      <c r="D52">
        <v>1.2</v>
      </c>
      <c r="E52">
        <v>0</v>
      </c>
      <c r="F52">
        <v>1</v>
      </c>
      <c r="G52" s="1">
        <f t="shared" si="0"/>
        <v>0</v>
      </c>
      <c r="H52" s="19">
        <f t="shared" si="13"/>
        <v>-2.7061515795868763E-6</v>
      </c>
      <c r="I52" s="1">
        <f t="shared" si="14"/>
        <v>0</v>
      </c>
      <c r="J52" s="1">
        <f t="shared" si="15"/>
        <v>0</v>
      </c>
      <c r="K52" s="19">
        <f t="shared" si="16"/>
        <v>1.195145808019441E-4</v>
      </c>
      <c r="L52" s="19">
        <f t="shared" si="17"/>
        <v>7.4781980558930747E-2</v>
      </c>
      <c r="M52" s="19">
        <f t="shared" si="18"/>
        <v>2.5610267314702306E-6</v>
      </c>
      <c r="N52" s="19">
        <f t="shared" si="7"/>
        <v>1.8728799615228837E-2</v>
      </c>
      <c r="O52" s="19">
        <v>42.36</v>
      </c>
      <c r="P52" s="19">
        <f t="shared" si="19"/>
        <v>1.4149672691373023E-2</v>
      </c>
      <c r="Q52" s="19">
        <f t="shared" si="20"/>
        <v>8.7074908869987848E-4</v>
      </c>
      <c r="R52" s="19">
        <f t="shared" si="21"/>
        <v>2.6890780680437425</v>
      </c>
      <c r="S52" s="19">
        <f t="shared" si="22"/>
        <v>2.2764682057513163E-15</v>
      </c>
      <c r="T52" s="83">
        <f t="shared" si="23"/>
        <v>14.404191342134343</v>
      </c>
    </row>
    <row r="53" spans="1:20">
      <c r="A53" s="9" t="s">
        <v>1017</v>
      </c>
      <c r="B53" s="9" t="s">
        <v>11</v>
      </c>
      <c r="C53" s="9">
        <v>2.08</v>
      </c>
      <c r="D53">
        <v>1.2</v>
      </c>
      <c r="E53">
        <v>0</v>
      </c>
      <c r="F53">
        <v>1</v>
      </c>
      <c r="G53" s="1">
        <f t="shared" si="0"/>
        <v>0</v>
      </c>
      <c r="H53" s="19">
        <f t="shared" si="13"/>
        <v>-3.1445783718104489E-7</v>
      </c>
      <c r="I53" s="1">
        <f t="shared" si="14"/>
        <v>0</v>
      </c>
      <c r="J53" s="1">
        <f t="shared" si="15"/>
        <v>0</v>
      </c>
      <c r="K53" s="19">
        <f t="shared" si="16"/>
        <v>1.3887727825030377E-5</v>
      </c>
      <c r="L53" s="19">
        <f t="shared" si="17"/>
        <v>8.6897496962332933E-3</v>
      </c>
      <c r="M53" s="19">
        <f t="shared" si="18"/>
        <v>2.9759416767922236E-7</v>
      </c>
      <c r="N53" s="19">
        <f t="shared" si="7"/>
        <v>1.8728799615228837E-2</v>
      </c>
      <c r="O53" s="19">
        <v>43.36</v>
      </c>
      <c r="P53" s="19">
        <f t="shared" si="19"/>
        <v>1.6442077764277036E-3</v>
      </c>
      <c r="Q53" s="19">
        <f t="shared" si="20"/>
        <v>1.0118201701093561E-4</v>
      </c>
      <c r="R53" s="19">
        <f t="shared" si="21"/>
        <v>0.3124738760631835</v>
      </c>
      <c r="S53" s="19">
        <f t="shared" si="22"/>
        <v>2.6452814904819767E-16</v>
      </c>
      <c r="T53" s="83">
        <f t="shared" si="23"/>
        <v>10.521543348864924</v>
      </c>
    </row>
    <row r="54" spans="1:20">
      <c r="A54" s="9" t="s">
        <v>1018</v>
      </c>
      <c r="B54" s="9" t="s">
        <v>11</v>
      </c>
      <c r="C54">
        <v>0.26100000000000001</v>
      </c>
      <c r="D54">
        <v>1.2</v>
      </c>
      <c r="E54">
        <v>0</v>
      </c>
      <c r="F54">
        <v>1</v>
      </c>
      <c r="G54" s="1">
        <f t="shared" si="0"/>
        <v>0</v>
      </c>
      <c r="H54" s="19">
        <f t="shared" si="13"/>
        <v>-3.9458411300121498E-8</v>
      </c>
      <c r="I54" s="1">
        <f t="shared" si="14"/>
        <v>0</v>
      </c>
      <c r="J54" s="1">
        <f t="shared" si="15"/>
        <v>0</v>
      </c>
      <c r="K54" s="19">
        <f t="shared" si="16"/>
        <v>1.7426427703523695E-6</v>
      </c>
      <c r="L54" s="19">
        <f t="shared" si="17"/>
        <v>1.0903964763061969E-3</v>
      </c>
      <c r="M54" s="19">
        <f t="shared" si="18"/>
        <v>3.7342345078979342E-8</v>
      </c>
      <c r="N54" s="19">
        <f t="shared" si="7"/>
        <v>1.8728799615228837E-2</v>
      </c>
      <c r="O54" s="19">
        <v>44.36</v>
      </c>
      <c r="P54" s="19">
        <f t="shared" si="19"/>
        <v>2.0631645656136088E-4</v>
      </c>
      <c r="Q54" s="19">
        <f t="shared" si="20"/>
        <v>1.2696397326852978E-5</v>
      </c>
      <c r="R54" s="19">
        <f t="shared" si="21"/>
        <v>3.9209462332928317E-2</v>
      </c>
      <c r="S54" s="19">
        <f t="shared" si="22"/>
        <v>3.3193195625759421E-17</v>
      </c>
      <c r="T54" s="83">
        <f t="shared" si="23"/>
        <v>10.27866681917105</v>
      </c>
    </row>
    <row r="55" spans="1:20">
      <c r="A55" s="9" t="s">
        <v>1019</v>
      </c>
      <c r="B55" s="9" t="s">
        <v>11</v>
      </c>
      <c r="C55">
        <v>0.182</v>
      </c>
      <c r="D55">
        <v>1.2</v>
      </c>
      <c r="E55">
        <v>0</v>
      </c>
      <c r="F55">
        <v>1</v>
      </c>
      <c r="G55" s="1">
        <f t="shared" si="0"/>
        <v>0</v>
      </c>
      <c r="H55" s="19">
        <f t="shared" si="13"/>
        <v>-2.7515060753341423E-8</v>
      </c>
      <c r="I55" s="1">
        <f t="shared" si="14"/>
        <v>0</v>
      </c>
      <c r="J55" s="1">
        <f t="shared" si="15"/>
        <v>0</v>
      </c>
      <c r="K55" s="19">
        <f t="shared" si="16"/>
        <v>1.215176184690158E-6</v>
      </c>
      <c r="L55" s="19">
        <f t="shared" si="17"/>
        <v>7.6035309842041317E-4</v>
      </c>
      <c r="M55" s="19">
        <f t="shared" si="18"/>
        <v>2.6039489671931957E-8</v>
      </c>
      <c r="N55" s="19">
        <f t="shared" si="7"/>
        <v>1.8728799615228837E-2</v>
      </c>
      <c r="O55" s="19">
        <v>45.36</v>
      </c>
      <c r="P55" s="19">
        <f t="shared" si="19"/>
        <v>1.4386818043742405E-4</v>
      </c>
      <c r="Q55" s="19">
        <f t="shared" si="20"/>
        <v>8.8534264884568652E-6</v>
      </c>
      <c r="R55" s="19">
        <f t="shared" si="21"/>
        <v>2.7341464155528555E-2</v>
      </c>
      <c r="S55" s="19">
        <f t="shared" si="22"/>
        <v>2.3146213041717297E-17</v>
      </c>
      <c r="T55" s="83">
        <f t="shared" si="23"/>
        <v>10.488129575715407</v>
      </c>
    </row>
    <row r="56" spans="1:20">
      <c r="A56" s="9" t="s">
        <v>1020</v>
      </c>
      <c r="B56" s="9" t="s">
        <v>11</v>
      </c>
      <c r="C56">
        <v>0.20399999999999999</v>
      </c>
      <c r="D56">
        <v>1.2</v>
      </c>
      <c r="E56">
        <v>0</v>
      </c>
      <c r="F56">
        <v>1</v>
      </c>
      <c r="G56" s="1">
        <f t="shared" si="0"/>
        <v>0</v>
      </c>
      <c r="H56" s="19">
        <f t="shared" si="13"/>
        <v>-3.0841057108140934E-8</v>
      </c>
      <c r="I56" s="1">
        <f t="shared" si="14"/>
        <v>0</v>
      </c>
      <c r="J56" s="1">
        <f t="shared" si="15"/>
        <v>0</v>
      </c>
      <c r="K56" s="19">
        <f t="shared" si="16"/>
        <v>1.3620656136087483E-6</v>
      </c>
      <c r="L56" s="19">
        <f t="shared" si="17"/>
        <v>8.5226391251518833E-4</v>
      </c>
      <c r="M56" s="19">
        <f t="shared" si="18"/>
        <v>2.9187120291616037E-8</v>
      </c>
      <c r="N56" s="19">
        <f t="shared" si="7"/>
        <v>1.8728799615228837E-2</v>
      </c>
      <c r="O56" s="19">
        <v>46.36</v>
      </c>
      <c r="P56" s="19">
        <f t="shared" si="19"/>
        <v>1.612588396111786E-4</v>
      </c>
      <c r="Q56" s="19">
        <f t="shared" si="20"/>
        <v>9.923620899149452E-6</v>
      </c>
      <c r="R56" s="19">
        <f t="shared" si="21"/>
        <v>3.0646476306196841E-2</v>
      </c>
      <c r="S56" s="19">
        <f t="shared" si="22"/>
        <v>2.5944106925880924E-17</v>
      </c>
      <c r="T56" s="83">
        <f t="shared" si="23"/>
        <v>10.723848808070144</v>
      </c>
    </row>
    <row r="57" spans="1:20">
      <c r="A57" s="9" t="s">
        <v>1021</v>
      </c>
      <c r="B57" s="9" t="s">
        <v>11</v>
      </c>
      <c r="C57">
        <v>0.16200000000000001</v>
      </c>
      <c r="D57">
        <v>1.2</v>
      </c>
      <c r="E57">
        <v>0</v>
      </c>
      <c r="F57">
        <v>1</v>
      </c>
      <c r="G57" s="1">
        <f t="shared" si="0"/>
        <v>0</v>
      </c>
      <c r="H57" s="19">
        <f t="shared" si="13"/>
        <v>-2.4491427703523687E-8</v>
      </c>
      <c r="I57" s="1">
        <f t="shared" si="14"/>
        <v>0</v>
      </c>
      <c r="J57" s="1">
        <f t="shared" si="15"/>
        <v>0</v>
      </c>
      <c r="K57" s="19">
        <f t="shared" si="16"/>
        <v>1.0816403402187121E-6</v>
      </c>
      <c r="L57" s="19">
        <f t="shared" si="17"/>
        <v>6.7679781287970846E-4</v>
      </c>
      <c r="M57" s="19">
        <f t="shared" si="18"/>
        <v>2.3178007290400974E-8</v>
      </c>
      <c r="N57" s="19">
        <f t="shared" si="7"/>
        <v>1.8728799615228837E-2</v>
      </c>
      <c r="O57" s="19">
        <v>47.36</v>
      </c>
      <c r="P57" s="19">
        <f t="shared" si="19"/>
        <v>1.2805849027946537E-4</v>
      </c>
      <c r="Q57" s="19">
        <f t="shared" si="20"/>
        <v>7.8805224787363306E-6</v>
      </c>
      <c r="R57" s="19">
        <f t="shared" si="21"/>
        <v>2.4336907654921025E-2</v>
      </c>
      <c r="S57" s="19">
        <f t="shared" si="22"/>
        <v>2.060267314702309E-17</v>
      </c>
      <c r="T57" s="83">
        <f t="shared" si="23"/>
        <v>10.94293027357474</v>
      </c>
    </row>
    <row r="58" spans="1:20">
      <c r="A58" s="9" t="s">
        <v>1022</v>
      </c>
      <c r="B58" s="9" t="s">
        <v>11</v>
      </c>
      <c r="C58">
        <v>0.14099999999999999</v>
      </c>
      <c r="D58">
        <v>1.2</v>
      </c>
      <c r="E58">
        <v>0</v>
      </c>
      <c r="F58">
        <v>1</v>
      </c>
      <c r="G58" s="1">
        <f t="shared" si="0"/>
        <v>0</v>
      </c>
      <c r="H58" s="19">
        <f t="shared" si="13"/>
        <v>-2.1316613001215059E-8</v>
      </c>
      <c r="I58" s="1">
        <f t="shared" si="14"/>
        <v>0</v>
      </c>
      <c r="J58" s="1">
        <f t="shared" si="15"/>
        <v>0</v>
      </c>
      <c r="K58" s="19">
        <f t="shared" si="16"/>
        <v>9.414277035236937E-7</v>
      </c>
      <c r="L58" s="19">
        <f t="shared" si="17"/>
        <v>5.8906476306196836E-4</v>
      </c>
      <c r="M58" s="19">
        <f t="shared" si="18"/>
        <v>2.0173450789793438E-8</v>
      </c>
      <c r="N58" s="19">
        <f t="shared" si="7"/>
        <v>1.8728799615228837E-2</v>
      </c>
      <c r="O58" s="19">
        <v>48.36</v>
      </c>
      <c r="P58" s="19">
        <f t="shared" si="19"/>
        <v>1.1145831561360874E-4</v>
      </c>
      <c r="Q58" s="19">
        <f t="shared" si="20"/>
        <v>6.8589732685297682E-6</v>
      </c>
      <c r="R58" s="19">
        <f t="shared" si="21"/>
        <v>2.1182123329283112E-2</v>
      </c>
      <c r="S58" s="19">
        <f t="shared" si="22"/>
        <v>1.7931956257594168E-17</v>
      </c>
      <c r="T58" s="83">
        <f t="shared" si="23"/>
        <v>11.167471006327036</v>
      </c>
    </row>
    <row r="59" spans="1:20">
      <c r="A59" s="9" t="s">
        <v>1023</v>
      </c>
      <c r="B59" s="9" t="s">
        <v>11</v>
      </c>
      <c r="C59">
        <v>0.377</v>
      </c>
      <c r="D59">
        <v>1.2</v>
      </c>
      <c r="E59">
        <v>0</v>
      </c>
      <c r="F59">
        <v>1</v>
      </c>
      <c r="G59" s="1">
        <f t="shared" si="0"/>
        <v>0</v>
      </c>
      <c r="H59" s="19">
        <f t="shared" si="13"/>
        <v>-5.6995482989064381E-8</v>
      </c>
      <c r="I59" s="1">
        <f t="shared" si="14"/>
        <v>0</v>
      </c>
      <c r="J59" s="1">
        <f t="shared" si="15"/>
        <v>0</v>
      </c>
      <c r="K59" s="19">
        <f t="shared" si="16"/>
        <v>2.5171506682867558E-6</v>
      </c>
      <c r="L59" s="19">
        <f t="shared" si="17"/>
        <v>1.5750171324422845E-3</v>
      </c>
      <c r="M59" s="19">
        <f t="shared" si="18"/>
        <v>5.3938942891859055E-8</v>
      </c>
      <c r="N59" s="19">
        <f t="shared" si="7"/>
        <v>1.8728799615228837E-2</v>
      </c>
      <c r="O59" s="19">
        <v>49.36</v>
      </c>
      <c r="P59" s="19">
        <f t="shared" si="19"/>
        <v>2.9801265947752126E-4</v>
      </c>
      <c r="Q59" s="19">
        <f t="shared" si="20"/>
        <v>1.8339240583232079E-5</v>
      </c>
      <c r="R59" s="19">
        <f t="shared" si="21"/>
        <v>5.6635890036452009E-2</v>
      </c>
      <c r="S59" s="19">
        <f t="shared" si="22"/>
        <v>4.7945727014985827E-17</v>
      </c>
      <c r="T59" s="83">
        <f t="shared" si="23"/>
        <v>11.458822771586934</v>
      </c>
    </row>
    <row r="60" spans="1:20">
      <c r="A60" s="9" t="s">
        <v>1024</v>
      </c>
      <c r="B60" s="9" t="s">
        <v>11</v>
      </c>
      <c r="C60">
        <v>120</v>
      </c>
      <c r="D60">
        <v>1.2</v>
      </c>
      <c r="E60">
        <v>0</v>
      </c>
      <c r="F60">
        <v>1</v>
      </c>
      <c r="G60" s="1">
        <f t="shared" si="0"/>
        <v>0</v>
      </c>
      <c r="H60" s="19">
        <f t="shared" si="13"/>
        <v>-1.8141798298906435E-5</v>
      </c>
      <c r="I60" s="1">
        <f t="shared" si="14"/>
        <v>0</v>
      </c>
      <c r="J60" s="1">
        <f t="shared" si="15"/>
        <v>0</v>
      </c>
      <c r="K60" s="19">
        <f t="shared" si="16"/>
        <v>8.012150668286756E-4</v>
      </c>
      <c r="L60" s="19">
        <f t="shared" si="17"/>
        <v>0.50133171324422843</v>
      </c>
      <c r="M60" s="19">
        <f t="shared" si="18"/>
        <v>1.7168894289185906E-5</v>
      </c>
      <c r="N60" s="19">
        <f t="shared" si="7"/>
        <v>1.8728799615228837E-2</v>
      </c>
      <c r="O60" s="19">
        <v>50.36</v>
      </c>
      <c r="P60" s="19">
        <f t="shared" si="19"/>
        <v>9.485814094775212E-2</v>
      </c>
      <c r="Q60" s="19">
        <f t="shared" si="20"/>
        <v>5.8374240583232082E-3</v>
      </c>
      <c r="R60" s="19">
        <f t="shared" si="21"/>
        <v>18.027339003645203</v>
      </c>
      <c r="S60" s="19">
        <f t="shared" si="22"/>
        <v>1.526123936816525E-14</v>
      </c>
      <c r="T60" s="83">
        <f t="shared" si="23"/>
        <v>42.786628770251113</v>
      </c>
    </row>
    <row r="61" spans="1:20">
      <c r="A61" s="9" t="s">
        <v>1025</v>
      </c>
      <c r="B61" s="9" t="s">
        <v>11</v>
      </c>
      <c r="C61">
        <v>231</v>
      </c>
      <c r="D61">
        <v>1.2</v>
      </c>
      <c r="E61">
        <v>0</v>
      </c>
      <c r="F61">
        <v>1</v>
      </c>
      <c r="G61" s="1">
        <f t="shared" si="0"/>
        <v>0</v>
      </c>
      <c r="H61" s="19">
        <f t="shared" si="13"/>
        <v>-3.4922961725394887E-5</v>
      </c>
      <c r="I61" s="1">
        <f t="shared" si="14"/>
        <v>0</v>
      </c>
      <c r="J61" s="1">
        <f t="shared" si="15"/>
        <v>0</v>
      </c>
      <c r="K61" s="19">
        <f t="shared" si="16"/>
        <v>1.5423390036452005E-3</v>
      </c>
      <c r="L61" s="19">
        <f t="shared" si="17"/>
        <v>0.96506354799513983</v>
      </c>
      <c r="M61" s="19">
        <f t="shared" si="18"/>
        <v>3.3050121506682866E-5</v>
      </c>
      <c r="N61" s="19">
        <f t="shared" si="7"/>
        <v>1.8728799615228837E-2</v>
      </c>
      <c r="O61" s="19">
        <v>51.36</v>
      </c>
      <c r="P61" s="19">
        <f t="shared" si="19"/>
        <v>0.18260192132442285</v>
      </c>
      <c r="Q61" s="19">
        <f t="shared" si="20"/>
        <v>1.1237041312272175E-2</v>
      </c>
      <c r="R61" s="19">
        <f t="shared" si="21"/>
        <v>34.702627582017016</v>
      </c>
      <c r="S61" s="19">
        <f t="shared" si="22"/>
        <v>2.9377885783718106E-14</v>
      </c>
      <c r="T61" s="83">
        <f t="shared" si="23"/>
        <v>71.872755650965729</v>
      </c>
    </row>
    <row r="62" spans="1:20">
      <c r="A62" s="9" t="s">
        <v>1026</v>
      </c>
      <c r="B62" s="9" t="s">
        <v>11</v>
      </c>
      <c r="C62">
        <v>45.1</v>
      </c>
      <c r="D62">
        <v>1.2</v>
      </c>
      <c r="E62">
        <v>0</v>
      </c>
      <c r="F62">
        <v>1</v>
      </c>
      <c r="G62" s="1">
        <f t="shared" si="0"/>
        <v>0</v>
      </c>
      <c r="H62" s="19">
        <f t="shared" si="13"/>
        <v>-6.8182925273390013E-6</v>
      </c>
      <c r="I62" s="1">
        <f t="shared" si="14"/>
        <v>0</v>
      </c>
      <c r="J62" s="1">
        <f t="shared" si="15"/>
        <v>0</v>
      </c>
      <c r="K62" s="19">
        <f t="shared" si="16"/>
        <v>3.0112332928311058E-4</v>
      </c>
      <c r="L62" s="19">
        <f t="shared" si="17"/>
        <v>0.18841716889428919</v>
      </c>
      <c r="M62" s="19">
        <f t="shared" si="18"/>
        <v>6.4526427703523697E-6</v>
      </c>
      <c r="N62" s="19">
        <f t="shared" si="7"/>
        <v>1.8728799615228837E-2</v>
      </c>
      <c r="O62" s="19">
        <v>52.36</v>
      </c>
      <c r="P62" s="19">
        <f t="shared" si="19"/>
        <v>3.5650851306196843E-2</v>
      </c>
      <c r="Q62" s="19">
        <f t="shared" si="20"/>
        <v>2.1938985419198056E-3</v>
      </c>
      <c r="R62" s="19">
        <f t="shared" si="21"/>
        <v>6.7752749088699886</v>
      </c>
      <c r="S62" s="19">
        <f t="shared" si="22"/>
        <v>5.7356824625354397E-15</v>
      </c>
      <c r="T62" s="83">
        <f t="shared" si="23"/>
        <v>23.775242253444588</v>
      </c>
    </row>
    <row r="63" spans="1:20">
      <c r="A63" s="9" t="s">
        <v>1027</v>
      </c>
      <c r="B63" s="9" t="s">
        <v>11</v>
      </c>
      <c r="C63">
        <v>258</v>
      </c>
      <c r="D63">
        <v>1.2</v>
      </c>
      <c r="E63">
        <v>0</v>
      </c>
      <c r="F63">
        <v>1</v>
      </c>
      <c r="G63" s="1">
        <f t="shared" si="0"/>
        <v>0</v>
      </c>
      <c r="H63" s="19">
        <f t="shared" si="13"/>
        <v>-3.9004866342648832E-5</v>
      </c>
      <c r="I63" s="1">
        <f t="shared" si="14"/>
        <v>0</v>
      </c>
      <c r="J63" s="1">
        <f t="shared" si="15"/>
        <v>0</v>
      </c>
      <c r="K63" s="19">
        <f t="shared" si="16"/>
        <v>1.7226123936816525E-3</v>
      </c>
      <c r="L63" s="19">
        <f t="shared" si="17"/>
        <v>1.0778631834750911</v>
      </c>
      <c r="M63" s="19">
        <f t="shared" si="18"/>
        <v>3.6913122721749697E-5</v>
      </c>
      <c r="N63" s="19">
        <f t="shared" si="7"/>
        <v>1.8728799615228837E-2</v>
      </c>
      <c r="O63" s="19">
        <v>53.36</v>
      </c>
      <c r="P63" s="19">
        <f t="shared" si="19"/>
        <v>0.20394500303766708</v>
      </c>
      <c r="Q63" s="19">
        <f t="shared" si="20"/>
        <v>1.2550461725394898E-2</v>
      </c>
      <c r="R63" s="19">
        <f t="shared" si="21"/>
        <v>38.758778857837186</v>
      </c>
      <c r="S63" s="19">
        <f t="shared" si="22"/>
        <v>3.2811664641555291E-14</v>
      </c>
      <c r="T63" s="83">
        <f t="shared" si="23"/>
        <v>79.351813540869287</v>
      </c>
    </row>
    <row r="64" spans="1:20">
      <c r="A64" s="9" t="s">
        <v>1028</v>
      </c>
      <c r="B64" s="9" t="s">
        <v>11</v>
      </c>
      <c r="C64">
        <v>8.2200000000000006</v>
      </c>
      <c r="D64">
        <v>1.2</v>
      </c>
      <c r="E64">
        <v>0</v>
      </c>
      <c r="F64">
        <v>1</v>
      </c>
      <c r="G64" s="1">
        <f t="shared" si="0"/>
        <v>0</v>
      </c>
      <c r="H64" s="19">
        <f t="shared" si="13"/>
        <v>-1.2427131834750909E-6</v>
      </c>
      <c r="I64" s="1">
        <f t="shared" si="14"/>
        <v>0</v>
      </c>
      <c r="J64" s="1">
        <f t="shared" si="15"/>
        <v>0</v>
      </c>
      <c r="K64" s="19">
        <f t="shared" si="16"/>
        <v>5.4883232077764283E-5</v>
      </c>
      <c r="L64" s="19">
        <f t="shared" si="17"/>
        <v>3.4341222357229653E-2</v>
      </c>
      <c r="M64" s="19">
        <f t="shared" si="18"/>
        <v>1.1760692588092347E-6</v>
      </c>
      <c r="N64" s="19">
        <f t="shared" si="7"/>
        <v>1.8728799615228837E-2</v>
      </c>
      <c r="O64" s="19">
        <v>54.36</v>
      </c>
      <c r="P64" s="19">
        <f t="shared" si="19"/>
        <v>6.4977826549210208E-3</v>
      </c>
      <c r="Q64" s="19">
        <f t="shared" si="20"/>
        <v>3.9986354799513975E-4</v>
      </c>
      <c r="R64" s="19">
        <f t="shared" si="21"/>
        <v>1.2348727217496964</v>
      </c>
      <c r="S64" s="19">
        <f t="shared" si="22"/>
        <v>1.0453948967193197E-15</v>
      </c>
      <c r="T64" s="83">
        <f t="shared" si="23"/>
        <v>14.647729106050402</v>
      </c>
    </row>
    <row r="65" spans="1:24">
      <c r="A65" s="9" t="s">
        <v>1029</v>
      </c>
      <c r="B65" s="9" t="s">
        <v>11</v>
      </c>
      <c r="C65">
        <v>0.23499999999999999</v>
      </c>
      <c r="D65">
        <v>1.2</v>
      </c>
      <c r="E65">
        <v>0</v>
      </c>
      <c r="F65">
        <v>1</v>
      </c>
      <c r="G65" s="1">
        <f t="shared" si="0"/>
        <v>0</v>
      </c>
      <c r="H65" s="19">
        <f t="shared" si="13"/>
        <v>-3.5527688335358435E-8</v>
      </c>
      <c r="I65" s="1">
        <f t="shared" si="14"/>
        <v>0</v>
      </c>
      <c r="J65" s="1">
        <f t="shared" si="15"/>
        <v>0</v>
      </c>
      <c r="K65" s="19">
        <f t="shared" si="16"/>
        <v>1.5690461725394896E-6</v>
      </c>
      <c r="L65" s="19">
        <f t="shared" si="17"/>
        <v>9.8177460510328078E-4</v>
      </c>
      <c r="M65" s="19">
        <f t="shared" si="18"/>
        <v>3.362241798298906E-8</v>
      </c>
      <c r="N65" s="19">
        <f t="shared" si="7"/>
        <v>1.8728799615228837E-2</v>
      </c>
      <c r="O65" s="19">
        <v>55.36</v>
      </c>
      <c r="P65" s="19">
        <f t="shared" si="19"/>
        <v>1.8576385935601457E-4</v>
      </c>
      <c r="Q65" s="19">
        <f t="shared" si="20"/>
        <v>1.1431622114216282E-5</v>
      </c>
      <c r="R65" s="19">
        <f t="shared" si="21"/>
        <v>3.5303538882138517E-2</v>
      </c>
      <c r="S65" s="19">
        <f t="shared" si="22"/>
        <v>2.9886593762656947E-17</v>
      </c>
      <c r="T65" s="83">
        <f t="shared" si="23"/>
        <v>12.801907726388183</v>
      </c>
    </row>
    <row r="66" spans="1:24">
      <c r="A66" s="9" t="s">
        <v>1030</v>
      </c>
      <c r="B66" s="9" t="s">
        <v>11</v>
      </c>
      <c r="C66">
        <v>92.4</v>
      </c>
      <c r="D66">
        <v>1.2</v>
      </c>
      <c r="E66">
        <v>0</v>
      </c>
      <c r="F66">
        <v>1</v>
      </c>
      <c r="G66" s="1">
        <f t="shared" si="0"/>
        <v>0</v>
      </c>
      <c r="H66" s="19">
        <f t="shared" si="13"/>
        <v>-1.3969184690157956E-5</v>
      </c>
      <c r="I66" s="1">
        <f t="shared" si="14"/>
        <v>0</v>
      </c>
      <c r="J66" s="1">
        <f t="shared" si="15"/>
        <v>0</v>
      </c>
      <c r="K66" s="19">
        <f t="shared" si="16"/>
        <v>6.1693560145808027E-4</v>
      </c>
      <c r="L66" s="19">
        <f t="shared" si="17"/>
        <v>0.38602541919805594</v>
      </c>
      <c r="M66" s="19">
        <f t="shared" si="18"/>
        <v>1.3220048602673148E-5</v>
      </c>
      <c r="N66" s="19">
        <f t="shared" si="7"/>
        <v>1.8728799615228837E-2</v>
      </c>
      <c r="O66" s="19">
        <v>56.36</v>
      </c>
      <c r="P66" s="19">
        <f t="shared" si="19"/>
        <v>7.3040768529769137E-2</v>
      </c>
      <c r="Q66" s="19">
        <f t="shared" si="20"/>
        <v>4.4948165249088703E-3</v>
      </c>
      <c r="R66" s="19">
        <f t="shared" si="21"/>
        <v>13.881051032806806</v>
      </c>
      <c r="S66" s="19">
        <f t="shared" si="22"/>
        <v>1.1751154313487244E-14</v>
      </c>
      <c r="T66" s="83">
        <f t="shared" si="23"/>
        <v>36.991591816127489</v>
      </c>
    </row>
    <row r="67" spans="1:24">
      <c r="A67" s="9" t="s">
        <v>1031</v>
      </c>
      <c r="B67" s="9" t="s">
        <v>11</v>
      </c>
      <c r="C67">
        <v>25.6</v>
      </c>
      <c r="D67">
        <v>1.2</v>
      </c>
      <c r="E67">
        <v>0</v>
      </c>
      <c r="F67">
        <v>1</v>
      </c>
      <c r="G67" s="1">
        <f t="shared" ref="G67:G130" si="24">E67*0.000179</f>
        <v>0</v>
      </c>
      <c r="H67" s="19">
        <f t="shared" si="13"/>
        <v>-3.8702503037667061E-6</v>
      </c>
      <c r="I67" s="1">
        <f t="shared" si="14"/>
        <v>0</v>
      </c>
      <c r="J67" s="1">
        <f t="shared" si="15"/>
        <v>0</v>
      </c>
      <c r="K67" s="19">
        <f t="shared" si="16"/>
        <v>1.709258809234508E-4</v>
      </c>
      <c r="L67" s="19">
        <f t="shared" si="17"/>
        <v>0.10695076549210208</v>
      </c>
      <c r="M67" s="19">
        <f t="shared" si="18"/>
        <v>3.6626974483596601E-6</v>
      </c>
      <c r="N67" s="19">
        <f>CO2_crop_charfact</f>
        <v>1.8728799615228837E-2</v>
      </c>
      <c r="O67" s="19">
        <v>57.36</v>
      </c>
      <c r="P67" s="19">
        <f t="shared" si="19"/>
        <v>2.023640340218712E-2</v>
      </c>
      <c r="Q67" s="19">
        <f t="shared" si="20"/>
        <v>1.2453171324422845E-3</v>
      </c>
      <c r="R67" s="19">
        <f t="shared" si="21"/>
        <v>3.8458323207776433</v>
      </c>
      <c r="S67" s="19">
        <f t="shared" si="22"/>
        <v>3.255731065208587E-15</v>
      </c>
      <c r="T67" s="83">
        <f t="shared" si="23"/>
        <v>19.855922666292024</v>
      </c>
    </row>
    <row r="68" spans="1:24">
      <c r="A68" s="2" t="s">
        <v>1032</v>
      </c>
      <c r="B68" s="2"/>
      <c r="G68" s="1"/>
      <c r="H68" s="18"/>
      <c r="I68" s="1"/>
      <c r="J68" s="1"/>
      <c r="K68" s="18"/>
      <c r="L68" s="18"/>
      <c r="M68" s="18"/>
      <c r="N68" s="18"/>
      <c r="O68" s="18"/>
      <c r="P68" s="18"/>
      <c r="Q68" s="18"/>
      <c r="R68" s="18"/>
      <c r="S68" s="18"/>
      <c r="T68" s="85"/>
      <c r="X68" s="1"/>
    </row>
    <row r="69" spans="1:24">
      <c r="A69" s="9" t="s">
        <v>1033</v>
      </c>
      <c r="B69" s="9" t="s">
        <v>11</v>
      </c>
      <c r="C69">
        <v>160</v>
      </c>
      <c r="D69">
        <v>1.5</v>
      </c>
      <c r="E69">
        <v>0.04</v>
      </c>
      <c r="F69">
        <v>1.5</v>
      </c>
      <c r="G69" s="1">
        <f t="shared" si="24"/>
        <v>7.1599999999999992E-6</v>
      </c>
      <c r="H69" s="19">
        <f t="shared" ref="H69:H75" si="25">CO2_YLL_charfact*C69</f>
        <v>-2.4189064398541914E-5</v>
      </c>
      <c r="I69" s="1">
        <f t="shared" ref="I69:I77" si="26">E69*0.00000133</f>
        <v>5.32E-8</v>
      </c>
      <c r="J69" s="1">
        <f t="shared" ref="J69:J77" si="27">E69*0.000266</f>
        <v>1.0640000000000001E-5</v>
      </c>
      <c r="K69" s="19">
        <f t="shared" ref="K69:K75" si="28">CO2_severewasting_charfact*C69</f>
        <v>1.0682867557715674E-3</v>
      </c>
      <c r="L69" s="19">
        <f t="shared" ref="L69:L75" si="29">CO2_workingcapacity_charfact*C69</f>
        <v>0.6684422843256379</v>
      </c>
      <c r="M69" s="19">
        <f t="shared" ref="M69:M75" si="30">CO2_diarrhea_charfact*C69</f>
        <v>2.2891859052247873E-5</v>
      </c>
      <c r="N69" s="19">
        <f t="shared" ref="N69:N232" si="31">CO2_crop_charfact</f>
        <v>1.8728799615228837E-2</v>
      </c>
      <c r="O69" s="19">
        <v>9.36</v>
      </c>
      <c r="P69" s="19">
        <f t="shared" ref="P69:P75" si="32">CO2_meat_charfact*C69</f>
        <v>0.12647752126366951</v>
      </c>
      <c r="Q69" s="19">
        <f t="shared" ref="Q69:Q75" si="33">CO2_fish_charfact*C69</f>
        <v>7.783232077764277E-3</v>
      </c>
      <c r="R69" s="19">
        <f t="shared" ref="R69:R75" si="34">CO2_drinkingwater_charfact*C69</f>
        <v>24.036452004860269</v>
      </c>
      <c r="S69" s="19">
        <f t="shared" ref="S69:S75" si="35">CO2_NEX_charfact*C69</f>
        <v>2.0348319157553666E-14</v>
      </c>
      <c r="T69" s="83">
        <f t="shared" ref="T69:T75" si="36">(G69+H69)*YLLvalue+I69*skincancervalue+J69*Lowvisionvalue+K69*severe_wasting_value+L69*working_capacity+M69*diarrhea_value+N69*cropvalue+O69*woodvalue+P69*meatvalue+Q69*fishvalue+R69*drinkingwatervalue+S69*speciesvalue</f>
        <v>44.496452319589721</v>
      </c>
      <c r="X69" s="1"/>
    </row>
    <row r="70" spans="1:24">
      <c r="A70" s="9" t="s">
        <v>1034</v>
      </c>
      <c r="B70" s="9" t="s">
        <v>11</v>
      </c>
      <c r="C70">
        <v>1960</v>
      </c>
      <c r="D70">
        <v>1.3</v>
      </c>
      <c r="E70">
        <v>5.5E-2</v>
      </c>
      <c r="F70">
        <v>1.3</v>
      </c>
      <c r="G70" s="1">
        <f t="shared" si="24"/>
        <v>9.8449999999999998E-6</v>
      </c>
      <c r="H70" s="19">
        <f t="shared" si="25"/>
        <v>-2.9631603888213842E-4</v>
      </c>
      <c r="I70" s="1">
        <f t="shared" si="26"/>
        <v>7.3150000000000003E-8</v>
      </c>
      <c r="J70" s="1">
        <f t="shared" si="27"/>
        <v>1.4630000000000001E-5</v>
      </c>
      <c r="K70" s="19">
        <f t="shared" si="28"/>
        <v>1.3086512758201701E-2</v>
      </c>
      <c r="L70" s="19">
        <f t="shared" si="29"/>
        <v>8.1884179829890655</v>
      </c>
      <c r="M70" s="19">
        <f t="shared" si="30"/>
        <v>2.8042527339003647E-4</v>
      </c>
      <c r="N70" s="19">
        <f t="shared" si="31"/>
        <v>1.8728799615228837E-2</v>
      </c>
      <c r="O70" s="19">
        <v>10.36</v>
      </c>
      <c r="P70" s="19">
        <f t="shared" si="32"/>
        <v>1.5493496354799514</v>
      </c>
      <c r="Q70" s="19">
        <f t="shared" si="33"/>
        <v>9.5344592952612398E-2</v>
      </c>
      <c r="R70" s="19">
        <f t="shared" si="34"/>
        <v>294.44653705953829</v>
      </c>
      <c r="S70" s="19">
        <f t="shared" si="35"/>
        <v>2.4926690968003243E-13</v>
      </c>
      <c r="T70" s="83">
        <f t="shared" si="36"/>
        <v>512.94160220532672</v>
      </c>
    </row>
    <row r="71" spans="1:24">
      <c r="A71" s="9" t="s">
        <v>1035</v>
      </c>
      <c r="B71" s="9" t="s">
        <v>11</v>
      </c>
      <c r="C71">
        <v>79.400000000000006</v>
      </c>
      <c r="D71">
        <v>1.3</v>
      </c>
      <c r="E71" s="9">
        <v>1.4999999999999999E-2</v>
      </c>
      <c r="F71">
        <v>1.3</v>
      </c>
      <c r="G71" s="1">
        <f t="shared" si="24"/>
        <v>2.6849999999999997E-6</v>
      </c>
      <c r="H71" s="19">
        <f t="shared" si="25"/>
        <v>-1.2003823207776424E-5</v>
      </c>
      <c r="I71" s="1">
        <f t="shared" si="26"/>
        <v>1.995E-8</v>
      </c>
      <c r="J71" s="1">
        <f t="shared" si="27"/>
        <v>3.9899999999999999E-6</v>
      </c>
      <c r="K71" s="19">
        <f t="shared" si="28"/>
        <v>5.3013730255164039E-4</v>
      </c>
      <c r="L71" s="19">
        <f t="shared" si="29"/>
        <v>0.33171448359659789</v>
      </c>
      <c r="M71" s="19">
        <f t="shared" si="30"/>
        <v>1.1360085054678008E-5</v>
      </c>
      <c r="N71" s="19">
        <f t="shared" si="31"/>
        <v>1.8728799615228837E-2</v>
      </c>
      <c r="O71" s="19">
        <v>11.36</v>
      </c>
      <c r="P71" s="19">
        <f t="shared" si="32"/>
        <v>6.2764469927095987E-2</v>
      </c>
      <c r="Q71" s="19">
        <f t="shared" si="33"/>
        <v>3.8624289185905229E-3</v>
      </c>
      <c r="R71" s="19">
        <f t="shared" si="34"/>
        <v>11.928089307411909</v>
      </c>
      <c r="S71" s="19">
        <f t="shared" si="35"/>
        <v>1.0097853381936007E-14</v>
      </c>
      <c r="T71" s="83">
        <f t="shared" si="36"/>
        <v>23.540002650192442</v>
      </c>
    </row>
    <row r="72" spans="1:24">
      <c r="A72" t="s">
        <v>1036</v>
      </c>
      <c r="B72" s="9" t="s">
        <v>11</v>
      </c>
      <c r="C72">
        <v>58.3</v>
      </c>
      <c r="D72">
        <v>1.2</v>
      </c>
      <c r="E72" s="9">
        <v>0.03</v>
      </c>
      <c r="F72">
        <v>1.2</v>
      </c>
      <c r="G72" s="1">
        <f t="shared" si="24"/>
        <v>5.3699999999999994E-6</v>
      </c>
      <c r="H72" s="19">
        <f t="shared" si="25"/>
        <v>-8.8138903402187095E-6</v>
      </c>
      <c r="I72" s="1">
        <f t="shared" si="26"/>
        <v>3.99E-8</v>
      </c>
      <c r="J72" s="1">
        <f t="shared" si="27"/>
        <v>7.9799999999999998E-6</v>
      </c>
      <c r="K72" s="19">
        <f t="shared" si="28"/>
        <v>3.8925698663426489E-4</v>
      </c>
      <c r="L72" s="19">
        <f t="shared" si="29"/>
        <v>0.24356365735115432</v>
      </c>
      <c r="M72" s="19">
        <f t="shared" si="30"/>
        <v>8.3412211421628181E-6</v>
      </c>
      <c r="N72" s="19">
        <f t="shared" si="31"/>
        <v>1.8728799615228837E-2</v>
      </c>
      <c r="O72" s="19">
        <v>12.36</v>
      </c>
      <c r="P72" s="19">
        <f t="shared" si="32"/>
        <v>4.6085246810449572E-2</v>
      </c>
      <c r="Q72" s="19">
        <f t="shared" si="33"/>
        <v>2.8360151883353585E-3</v>
      </c>
      <c r="R72" s="19">
        <f t="shared" si="34"/>
        <v>8.7582821992709601</v>
      </c>
      <c r="S72" s="19">
        <f t="shared" si="35"/>
        <v>7.4144187930336164E-15</v>
      </c>
      <c r="T72" s="83">
        <f t="shared" si="36"/>
        <v>18.562696117286325</v>
      </c>
    </row>
    <row r="73" spans="1:24">
      <c r="A73" t="s">
        <v>1037</v>
      </c>
      <c r="B73" s="9" t="s">
        <v>11</v>
      </c>
      <c r="C73">
        <v>158</v>
      </c>
      <c r="D73">
        <v>1.1000000000000001</v>
      </c>
      <c r="E73" s="9">
        <v>6.6000000000000003E-2</v>
      </c>
      <c r="F73" s="9">
        <v>1.1000000000000001</v>
      </c>
      <c r="G73" s="1">
        <f t="shared" si="24"/>
        <v>1.1813999999999999E-5</v>
      </c>
      <c r="H73" s="19">
        <f>CO2_YLL_charfact*C73</f>
        <v>-2.3886701093560138E-5</v>
      </c>
      <c r="I73" s="1">
        <f t="shared" si="26"/>
        <v>8.7779999999999996E-8</v>
      </c>
      <c r="J73" s="1">
        <f t="shared" si="27"/>
        <v>1.7556000000000003E-5</v>
      </c>
      <c r="K73" s="19">
        <f>CO2_severewasting_charfact*C73</f>
        <v>1.0549331713244228E-3</v>
      </c>
      <c r="L73" s="19">
        <f>CO2_workingcapacity_charfact*C73</f>
        <v>0.6600867557715675</v>
      </c>
      <c r="M73" s="19">
        <f>CO2_diarrhea_charfact*C73</f>
        <v>2.2605710814094774E-5</v>
      </c>
      <c r="N73" s="19">
        <f t="shared" si="31"/>
        <v>1.8728799615228837E-2</v>
      </c>
      <c r="O73" s="19">
        <v>13.36</v>
      </c>
      <c r="P73" s="19">
        <f>CO2_meat_charfact*C73</f>
        <v>0.12489655224787363</v>
      </c>
      <c r="Q73" s="19">
        <f>CO2_fish_charfact*C73</f>
        <v>7.6859416767922238E-3</v>
      </c>
      <c r="R73" s="19">
        <f>CO2_drinkingwater_charfact*C73</f>
        <v>23.735996354799514</v>
      </c>
      <c r="S73" s="19">
        <f>CO2_NEX_charfact*C73</f>
        <v>2.0093965168084245E-14</v>
      </c>
      <c r="T73" s="83">
        <f>(G73+H73)*YLLvalue+I73*skincancervalue+J73*Lowvisionvalue+K73*severe_wasting_value+L73*working_capacity+M73*diarrhea_value+N73*cropvalue+O73*woodvalue+P73*meatvalue+Q73*fishvalue+R73*drinkingwatervalue+S73*speciesvalue</f>
        <v>45.378314629722794</v>
      </c>
    </row>
    <row r="74" spans="1:24">
      <c r="A74" t="s">
        <v>1038</v>
      </c>
      <c r="B74" s="9" t="s">
        <v>11</v>
      </c>
      <c r="C74">
        <v>105</v>
      </c>
      <c r="D74">
        <v>1.2</v>
      </c>
      <c r="E74">
        <v>0.03</v>
      </c>
      <c r="F74">
        <v>1.2</v>
      </c>
      <c r="G74" s="1">
        <f t="shared" si="24"/>
        <v>5.3699999999999994E-6</v>
      </c>
      <c r="H74" s="19">
        <f t="shared" si="25"/>
        <v>-1.587407351154313E-5</v>
      </c>
      <c r="I74" s="1">
        <f t="shared" si="26"/>
        <v>3.99E-8</v>
      </c>
      <c r="J74" s="1">
        <f t="shared" si="27"/>
        <v>7.9799999999999998E-6</v>
      </c>
      <c r="K74" s="19">
        <f t="shared" si="28"/>
        <v>7.0106318347509116E-4</v>
      </c>
      <c r="L74" s="19">
        <f t="shared" si="29"/>
        <v>0.43866524908869992</v>
      </c>
      <c r="M74" s="19">
        <f t="shared" si="30"/>
        <v>1.5022782503037667E-5</v>
      </c>
      <c r="N74" s="19">
        <f t="shared" si="31"/>
        <v>1.8728799615228837E-2</v>
      </c>
      <c r="O74" s="19">
        <v>13.36</v>
      </c>
      <c r="P74" s="19">
        <f t="shared" si="32"/>
        <v>8.3000873329283104E-2</v>
      </c>
      <c r="Q74" s="19">
        <f t="shared" si="33"/>
        <v>5.1077460510328071E-3</v>
      </c>
      <c r="R74" s="19">
        <f t="shared" si="34"/>
        <v>15.773921628189552</v>
      </c>
      <c r="S74" s="19">
        <f t="shared" si="35"/>
        <v>1.3353584447144594E-14</v>
      </c>
      <c r="T74" s="83">
        <f t="shared" si="36"/>
        <v>30.933066615749144</v>
      </c>
    </row>
    <row r="75" spans="1:24">
      <c r="A75" s="9" t="s">
        <v>1039</v>
      </c>
      <c r="B75" s="9" t="s">
        <v>11</v>
      </c>
      <c r="C75">
        <v>268</v>
      </c>
      <c r="D75">
        <v>1.2</v>
      </c>
      <c r="E75">
        <v>0.06</v>
      </c>
      <c r="F75">
        <v>1.2</v>
      </c>
      <c r="G75" s="1">
        <f t="shared" si="24"/>
        <v>1.0739999999999999E-5</v>
      </c>
      <c r="H75" s="19">
        <f t="shared" si="25"/>
        <v>-4.0516682867557703E-5</v>
      </c>
      <c r="I75" s="1">
        <f t="shared" si="26"/>
        <v>7.98E-8</v>
      </c>
      <c r="J75" s="1">
        <f t="shared" si="27"/>
        <v>1.596E-5</v>
      </c>
      <c r="K75" s="19">
        <f t="shared" si="28"/>
        <v>1.7893803159173755E-3</v>
      </c>
      <c r="L75" s="19">
        <f t="shared" si="29"/>
        <v>1.1196408262454436</v>
      </c>
      <c r="M75" s="19">
        <f t="shared" si="30"/>
        <v>3.834386391251519E-5</v>
      </c>
      <c r="N75" s="19">
        <f t="shared" si="31"/>
        <v>1.8728799615228837E-2</v>
      </c>
      <c r="O75" s="19">
        <v>14.36</v>
      </c>
      <c r="P75" s="19">
        <f t="shared" si="32"/>
        <v>0.21184984811664642</v>
      </c>
      <c r="Q75" s="19">
        <f t="shared" si="33"/>
        <v>1.3036913730255164E-2</v>
      </c>
      <c r="R75" s="19">
        <f t="shared" si="34"/>
        <v>40.261057108140953</v>
      </c>
      <c r="S75" s="19">
        <f t="shared" si="35"/>
        <v>3.4083434588902392E-14</v>
      </c>
      <c r="T75" s="83">
        <f t="shared" si="36"/>
        <v>74.093293513203946</v>
      </c>
    </row>
    <row r="76" spans="1:24">
      <c r="A76" s="9" t="s">
        <v>1040</v>
      </c>
      <c r="B76" s="9" t="s">
        <v>11</v>
      </c>
      <c r="C76">
        <v>713</v>
      </c>
      <c r="D76">
        <v>1.05</v>
      </c>
      <c r="E76">
        <v>0.17</v>
      </c>
      <c r="F76">
        <v>1.05</v>
      </c>
      <c r="G76" s="1">
        <f t="shared" si="24"/>
        <v>3.0429999999999998E-5</v>
      </c>
      <c r="H76" s="19">
        <f>CO2_YLL_charfact*C76</f>
        <v>-1.0779251822600239E-4</v>
      </c>
      <c r="I76" s="1">
        <f t="shared" si="26"/>
        <v>2.2610000000000002E-7</v>
      </c>
      <c r="J76" s="1">
        <f t="shared" si="27"/>
        <v>4.5220000000000004E-5</v>
      </c>
      <c r="K76" s="19">
        <f>CO2_severewasting_charfact*C76</f>
        <v>4.7605528554070476E-3</v>
      </c>
      <c r="L76" s="19">
        <f>CO2_workingcapacity_charfact*C76</f>
        <v>2.978745929526124</v>
      </c>
      <c r="M76" s="19">
        <f>CO2_diarrhea_charfact*C76</f>
        <v>1.0201184690157958E-4</v>
      </c>
      <c r="N76" s="19">
        <f t="shared" si="31"/>
        <v>1.8728799615228837E-2</v>
      </c>
      <c r="O76" s="19">
        <v>15.36</v>
      </c>
      <c r="P76" s="19">
        <f>CO2_meat_charfact*C76</f>
        <v>0.56361545413122716</v>
      </c>
      <c r="Q76" s="19">
        <f>CO2_fish_charfact*C76</f>
        <v>3.4684027946537063E-2</v>
      </c>
      <c r="R76" s="19">
        <f>CO2_drinkingwater_charfact*C76</f>
        <v>107.11243924665858</v>
      </c>
      <c r="S76" s="19">
        <f>CO2_NEX_charfact*C76</f>
        <v>9.0677197245848531E-14</v>
      </c>
      <c r="T76" s="83">
        <f>(G76+H76)*YLLvalue+I76*skincancervalue+J76*Lowvisionvalue+K76*severe_wasting_value+L76*working_capacity+M76*diarrhea_value+N76*cropvalue+O76*woodvalue+P76*meatvalue+Q76*fishvalue+R76*drinkingwatervalue+S76*speciesvalue</f>
        <v>192.04611913009583</v>
      </c>
    </row>
    <row r="77" spans="1:24">
      <c r="A77" s="9" t="s">
        <v>1041</v>
      </c>
      <c r="B77" s="9" t="s">
        <v>11</v>
      </c>
      <c r="C77">
        <v>130</v>
      </c>
      <c r="D77">
        <v>1.1000000000000001</v>
      </c>
      <c r="E77">
        <v>2.5999999999999999E-2</v>
      </c>
      <c r="F77">
        <v>1.1000000000000001</v>
      </c>
      <c r="G77" s="1">
        <f t="shared" si="24"/>
        <v>4.6539999999999998E-6</v>
      </c>
      <c r="H77" s="19">
        <f>CO2_YLL_charfact*C77</f>
        <v>-1.9653614823815303E-5</v>
      </c>
      <c r="I77" s="1">
        <f t="shared" si="26"/>
        <v>3.4579999999999996E-8</v>
      </c>
      <c r="J77" s="1">
        <f t="shared" si="27"/>
        <v>6.9160000000000004E-6</v>
      </c>
      <c r="K77" s="19">
        <f>CO2_severewasting_charfact*C77</f>
        <v>8.6798298906439852E-4</v>
      </c>
      <c r="L77" s="19">
        <f>CO2_workingcapacity_charfact*C77</f>
        <v>0.54310935601458088</v>
      </c>
      <c r="M77" s="19">
        <f>CO2_diarrhea_charfact*C77</f>
        <v>1.8599635479951399E-5</v>
      </c>
      <c r="N77" s="19">
        <f t="shared" si="31"/>
        <v>1.8728799615228837E-2</v>
      </c>
      <c r="O77" s="19">
        <v>16.36</v>
      </c>
      <c r="P77" s="19">
        <f>CO2_meat_charfact*C77</f>
        <v>0.10276298602673146</v>
      </c>
      <c r="Q77" s="19">
        <f>CO2_fish_charfact*C77</f>
        <v>6.3238760631834749E-3</v>
      </c>
      <c r="R77" s="19">
        <f>CO2_drinkingwater_charfact*C77</f>
        <v>19.52961725394897</v>
      </c>
      <c r="S77" s="19">
        <f>CO2_NEX_charfact*C77</f>
        <v>1.6533009315512354E-14</v>
      </c>
      <c r="T77" s="83">
        <f>(G77+H77)*YLLvalue+I77*skincancervalue+J77*Lowvisionvalue+K77*severe_wasting_value+L77*working_capacity+M77*diarrhea_value+N77*cropvalue+O77*woodvalue+P77*meatvalue+Q77*fishvalue+R77*drinkingwatervalue+S77*speciesvalue</f>
        <v>38.048072364785767</v>
      </c>
    </row>
    <row r="78" spans="1:24">
      <c r="A78" t="s">
        <v>1042</v>
      </c>
      <c r="B78" s="9" t="s">
        <v>11</v>
      </c>
      <c r="C78">
        <v>425</v>
      </c>
      <c r="D78">
        <v>1.2</v>
      </c>
      <c r="E78">
        <v>3.7999999999999999E-2</v>
      </c>
      <c r="F78">
        <v>1.2</v>
      </c>
      <c r="G78" s="1">
        <f t="shared" si="24"/>
        <v>6.8019999999999994E-6</v>
      </c>
      <c r="H78" s="19">
        <f t="shared" ref="H78:H137" si="37">CO2_YLL_charfact*C78</f>
        <v>-6.4252202308626958E-5</v>
      </c>
      <c r="I78" s="1">
        <f t="shared" ref="I78:I137" si="38">E78*0.00000133</f>
        <v>5.0539999999999995E-8</v>
      </c>
      <c r="J78" s="1">
        <f t="shared" ref="J78:J137" si="39">E78*0.000266</f>
        <v>1.0108E-5</v>
      </c>
      <c r="K78" s="19">
        <f t="shared" ref="K78:K137" si="40">CO2_severewasting_charfact*C78</f>
        <v>2.8376366950182258E-3</v>
      </c>
      <c r="L78" s="19">
        <f t="shared" ref="L78:L137" si="41">CO2_workingcapacity_charfact*C78</f>
        <v>1.7755498177399758</v>
      </c>
      <c r="M78" s="19">
        <f t="shared" ref="M78:M137" si="42">CO2_diarrhea_charfact*C78</f>
        <v>6.0806500607533414E-5</v>
      </c>
      <c r="N78" s="19">
        <f t="shared" si="31"/>
        <v>1.8728799615228837E-2</v>
      </c>
      <c r="O78" s="19">
        <v>17.36</v>
      </c>
      <c r="P78" s="19">
        <f t="shared" ref="P78:P137" si="43">CO2_meat_charfact*C78</f>
        <v>0.3359559158566221</v>
      </c>
      <c r="Q78" s="19">
        <f t="shared" ref="Q78:Q137" si="44">CO2_fish_charfact*C78</f>
        <v>2.067421020656136E-2</v>
      </c>
      <c r="R78" s="19">
        <f t="shared" ref="R78:R137" si="45">CO2_drinkingwater_charfact*C78</f>
        <v>63.846825637910094</v>
      </c>
      <c r="S78" s="19">
        <f t="shared" ref="S78:S137" si="46">CO2_NEX_charfact*C78</f>
        <v>5.4050222762251925E-14</v>
      </c>
      <c r="T78" s="83">
        <f t="shared" ref="T78:T137" si="47">(G78+H78)*YLLvalue+I78*skincancervalue+J78*Lowvisionvalue+K78*severe_wasting_value+L78*working_capacity+M78*diarrhea_value+N78*cropvalue+O78*woodvalue+P78*meatvalue+Q78*fishvalue+R78*drinkingwatervalue+S78*speciesvalue</f>
        <v>115.19014472005793</v>
      </c>
    </row>
    <row r="79" spans="1:24">
      <c r="A79" t="s">
        <v>1043</v>
      </c>
      <c r="B79" s="9" t="s">
        <v>11</v>
      </c>
      <c r="C79">
        <v>1125</v>
      </c>
      <c r="D79">
        <v>1.05</v>
      </c>
      <c r="E79">
        <v>0.124</v>
      </c>
      <c r="F79">
        <v>1.05</v>
      </c>
      <c r="G79" s="1">
        <f t="shared" si="24"/>
        <v>2.2195999999999999E-5</v>
      </c>
      <c r="H79" s="19">
        <f t="shared" si="37"/>
        <v>-1.7007935905224782E-4</v>
      </c>
      <c r="I79" s="1">
        <f t="shared" si="38"/>
        <v>1.6492E-7</v>
      </c>
      <c r="J79" s="1">
        <f t="shared" si="39"/>
        <v>3.2984000000000001E-5</v>
      </c>
      <c r="K79" s="19">
        <f t="shared" si="40"/>
        <v>7.5113912515188336E-3</v>
      </c>
      <c r="L79" s="19">
        <f t="shared" si="41"/>
        <v>4.6999848116646419</v>
      </c>
      <c r="M79" s="19">
        <f t="shared" si="42"/>
        <v>1.6095838396111786E-4</v>
      </c>
      <c r="N79" s="19">
        <f t="shared" si="31"/>
        <v>1.8728799615228837E-2</v>
      </c>
      <c r="O79" s="19">
        <v>18.36</v>
      </c>
      <c r="P79" s="19">
        <f t="shared" si="43"/>
        <v>0.88929507138517616</v>
      </c>
      <c r="Q79" s="19">
        <f t="shared" si="44"/>
        <v>5.4725850546780072E-2</v>
      </c>
      <c r="R79" s="19">
        <f t="shared" si="45"/>
        <v>169.00630315917377</v>
      </c>
      <c r="S79" s="19">
        <f t="shared" si="46"/>
        <v>1.4307411907654923E-13</v>
      </c>
      <c r="T79" s="83">
        <f t="shared" si="47"/>
        <v>298.98934106968352</v>
      </c>
    </row>
    <row r="80" spans="1:24">
      <c r="A80" s="9" t="s">
        <v>1044</v>
      </c>
      <c r="B80" s="9" t="s">
        <v>11</v>
      </c>
      <c r="C80">
        <v>597</v>
      </c>
      <c r="D80">
        <v>1.1000000000000001</v>
      </c>
      <c r="E80">
        <v>0.03</v>
      </c>
      <c r="F80">
        <v>1.3</v>
      </c>
      <c r="G80" s="1">
        <f t="shared" si="24"/>
        <v>5.3699999999999994E-6</v>
      </c>
      <c r="H80" s="19">
        <f t="shared" si="37"/>
        <v>-9.0255446537059508E-5</v>
      </c>
      <c r="I80" s="1">
        <f t="shared" si="38"/>
        <v>3.99E-8</v>
      </c>
      <c r="J80" s="1">
        <f t="shared" si="39"/>
        <v>7.9799999999999998E-6</v>
      </c>
      <c r="K80" s="19">
        <f t="shared" si="40"/>
        <v>3.9860449574726613E-3</v>
      </c>
      <c r="L80" s="19">
        <f t="shared" si="41"/>
        <v>2.4941252733900368</v>
      </c>
      <c r="M80" s="19">
        <f t="shared" si="42"/>
        <v>8.5415249088699883E-5</v>
      </c>
      <c r="N80" s="19">
        <f t="shared" si="31"/>
        <v>1.8728799615228837E-2</v>
      </c>
      <c r="O80" s="19">
        <v>19.36</v>
      </c>
      <c r="P80" s="19">
        <f t="shared" si="43"/>
        <v>0.47191925121506684</v>
      </c>
      <c r="Q80" s="19">
        <f t="shared" si="44"/>
        <v>2.904118469015796E-2</v>
      </c>
      <c r="R80" s="19">
        <f t="shared" si="45"/>
        <v>89.686011543134882</v>
      </c>
      <c r="S80" s="19">
        <f t="shared" si="46"/>
        <v>7.5924665856622119E-14</v>
      </c>
      <c r="T80" s="83">
        <f t="shared" si="47"/>
        <v>160.21589927621395</v>
      </c>
    </row>
    <row r="81" spans="1:20">
      <c r="A81" s="9" t="s">
        <v>1045</v>
      </c>
      <c r="B81" s="9" t="s">
        <v>11</v>
      </c>
      <c r="C81">
        <v>2070</v>
      </c>
      <c r="D81">
        <v>1.05</v>
      </c>
      <c r="E81">
        <v>2.5999999999999999E-2</v>
      </c>
      <c r="F81">
        <v>1.05</v>
      </c>
      <c r="G81" s="1">
        <f t="shared" si="24"/>
        <v>4.6539999999999998E-6</v>
      </c>
      <c r="H81" s="19">
        <f t="shared" si="37"/>
        <v>-3.1294602065613596E-4</v>
      </c>
      <c r="I81" s="1">
        <f t="shared" si="38"/>
        <v>3.4579999999999996E-8</v>
      </c>
      <c r="J81" s="1">
        <f t="shared" si="39"/>
        <v>6.9160000000000004E-6</v>
      </c>
      <c r="K81" s="19">
        <f t="shared" si="40"/>
        <v>1.3820959902794654E-2</v>
      </c>
      <c r="L81" s="19">
        <f t="shared" si="41"/>
        <v>8.6479720534629418</v>
      </c>
      <c r="M81" s="19">
        <f t="shared" si="42"/>
        <v>2.9616342648845686E-4</v>
      </c>
      <c r="N81" s="19">
        <f t="shared" si="31"/>
        <v>1.8728799615228837E-2</v>
      </c>
      <c r="O81" s="19">
        <v>20.36</v>
      </c>
      <c r="P81" s="19">
        <f t="shared" si="43"/>
        <v>1.6363029313487241</v>
      </c>
      <c r="Q81" s="19">
        <f t="shared" si="44"/>
        <v>0.10069556500607534</v>
      </c>
      <c r="R81" s="19">
        <f t="shared" si="45"/>
        <v>310.97159781287974</v>
      </c>
      <c r="S81" s="19">
        <f t="shared" si="46"/>
        <v>2.6325637910085059E-13</v>
      </c>
      <c r="T81" s="83">
        <f t="shared" si="47"/>
        <v>543.30038000970796</v>
      </c>
    </row>
    <row r="82" spans="1:20">
      <c r="A82" s="9" t="s">
        <v>1046</v>
      </c>
      <c r="B82" s="9" t="s">
        <v>11</v>
      </c>
      <c r="C82">
        <v>31</v>
      </c>
      <c r="D82">
        <v>1.2</v>
      </c>
      <c r="E82">
        <v>1.9E-2</v>
      </c>
      <c r="F82">
        <v>1.2</v>
      </c>
      <c r="G82" s="1">
        <f t="shared" si="24"/>
        <v>3.4009999999999997E-6</v>
      </c>
      <c r="H82" s="19">
        <f t="shared" si="37"/>
        <v>-4.6866312272174952E-6</v>
      </c>
      <c r="I82" s="1">
        <f t="shared" si="38"/>
        <v>2.5269999999999997E-8</v>
      </c>
      <c r="J82" s="1">
        <f t="shared" si="39"/>
        <v>5.0540000000000002E-6</v>
      </c>
      <c r="K82" s="19">
        <f t="shared" si="40"/>
        <v>2.0698055893074118E-4</v>
      </c>
      <c r="L82" s="19">
        <f t="shared" si="41"/>
        <v>0.12951069258809236</v>
      </c>
      <c r="M82" s="19">
        <f t="shared" si="42"/>
        <v>4.4352976913730256E-6</v>
      </c>
      <c r="N82" s="19">
        <f t="shared" si="31"/>
        <v>1.8728799615228837E-2</v>
      </c>
      <c r="O82" s="19">
        <v>21.36</v>
      </c>
      <c r="P82" s="19">
        <f t="shared" si="43"/>
        <v>2.4505019744835967E-2</v>
      </c>
      <c r="Q82" s="19">
        <f t="shared" si="44"/>
        <v>1.5080012150668286E-3</v>
      </c>
      <c r="R82" s="19">
        <f t="shared" si="45"/>
        <v>4.6570625759416773</v>
      </c>
      <c r="S82" s="19">
        <f t="shared" si="46"/>
        <v>3.942486836776023E-15</v>
      </c>
      <c r="T82" s="83">
        <f t="shared" si="47"/>
        <v>13.331813396572734</v>
      </c>
    </row>
    <row r="83" spans="1:20">
      <c r="A83" s="9" t="s">
        <v>1047</v>
      </c>
      <c r="B83" s="9" t="s">
        <v>11</v>
      </c>
      <c r="C83">
        <v>175</v>
      </c>
      <c r="D83">
        <v>1.1000000000000001</v>
      </c>
      <c r="E83">
        <v>5.6000000000000001E-2</v>
      </c>
      <c r="F83">
        <v>1.1000000000000001</v>
      </c>
      <c r="G83" s="1">
        <f t="shared" si="24"/>
        <v>1.0023999999999999E-5</v>
      </c>
      <c r="H83" s="19">
        <f t="shared" si="37"/>
        <v>-2.6456789185905216E-5</v>
      </c>
      <c r="I83" s="1">
        <f t="shared" si="38"/>
        <v>7.4480000000000003E-8</v>
      </c>
      <c r="J83" s="1">
        <f t="shared" si="39"/>
        <v>1.4896000000000001E-5</v>
      </c>
      <c r="K83" s="19">
        <f t="shared" si="40"/>
        <v>1.1684386391251518E-3</v>
      </c>
      <c r="L83" s="19">
        <f t="shared" si="41"/>
        <v>0.73110874848116647</v>
      </c>
      <c r="M83" s="19">
        <f t="shared" si="42"/>
        <v>2.5037970838396113E-5</v>
      </c>
      <c r="N83" s="19">
        <f t="shared" si="31"/>
        <v>1.8728799615228837E-2</v>
      </c>
      <c r="O83" s="19">
        <v>22.36</v>
      </c>
      <c r="P83" s="19">
        <f t="shared" si="43"/>
        <v>0.13833478888213852</v>
      </c>
      <c r="Q83" s="19">
        <f t="shared" si="44"/>
        <v>8.5129100850546788E-3</v>
      </c>
      <c r="R83" s="19">
        <f t="shared" si="45"/>
        <v>26.28986938031592</v>
      </c>
      <c r="S83" s="19">
        <f t="shared" si="46"/>
        <v>2.2255974078574324E-14</v>
      </c>
      <c r="T83" s="83">
        <f t="shared" si="47"/>
        <v>51.682416632291684</v>
      </c>
    </row>
    <row r="84" spans="1:20">
      <c r="A84" s="9" t="s">
        <v>1048</v>
      </c>
      <c r="B84" s="9" t="s">
        <v>11</v>
      </c>
      <c r="C84">
        <v>123</v>
      </c>
      <c r="D84">
        <v>1.1000000000000001</v>
      </c>
      <c r="E84">
        <v>5.3999999999999999E-2</v>
      </c>
      <c r="F84">
        <v>1.1000000000000001</v>
      </c>
      <c r="G84" s="1">
        <f t="shared" si="24"/>
        <v>9.6659999999999986E-6</v>
      </c>
      <c r="H84" s="19">
        <f t="shared" si="37"/>
        <v>-1.8595343256379095E-5</v>
      </c>
      <c r="I84" s="1">
        <f t="shared" si="38"/>
        <v>7.1820000000000004E-8</v>
      </c>
      <c r="J84" s="1">
        <f t="shared" si="39"/>
        <v>1.4364E-5</v>
      </c>
      <c r="K84" s="19">
        <f t="shared" si="40"/>
        <v>8.2124544349939245E-4</v>
      </c>
      <c r="L84" s="19">
        <f t="shared" si="41"/>
        <v>0.51386500607533414</v>
      </c>
      <c r="M84" s="19">
        <f t="shared" si="42"/>
        <v>1.7598116646415552E-5</v>
      </c>
      <c r="N84" s="19">
        <f t="shared" si="31"/>
        <v>1.8728799615228837E-2</v>
      </c>
      <c r="O84" s="19">
        <v>23.36</v>
      </c>
      <c r="P84" s="19">
        <f t="shared" si="43"/>
        <v>9.7229594471445926E-2</v>
      </c>
      <c r="Q84" s="19">
        <f t="shared" si="44"/>
        <v>5.9833596597812884E-3</v>
      </c>
      <c r="R84" s="19">
        <f t="shared" si="45"/>
        <v>18.478022478736332</v>
      </c>
      <c r="S84" s="19">
        <f t="shared" si="46"/>
        <v>1.564277035236938E-14</v>
      </c>
      <c r="T84" s="83">
        <f t="shared" si="47"/>
        <v>38.357170103151518</v>
      </c>
    </row>
    <row r="85" spans="1:20">
      <c r="A85" s="9" t="s">
        <v>1049</v>
      </c>
      <c r="B85" s="9" t="s">
        <v>11</v>
      </c>
      <c r="C85">
        <v>122</v>
      </c>
      <c r="D85">
        <v>1.1000000000000001</v>
      </c>
      <c r="E85">
        <v>2.8000000000000001E-2</v>
      </c>
      <c r="F85">
        <v>1.5</v>
      </c>
      <c r="G85" s="1">
        <f t="shared" si="24"/>
        <v>5.0119999999999996E-6</v>
      </c>
      <c r="H85" s="19">
        <f t="shared" si="37"/>
        <v>-1.8444161603888208E-5</v>
      </c>
      <c r="I85" s="1">
        <f t="shared" si="38"/>
        <v>3.7240000000000001E-8</v>
      </c>
      <c r="J85" s="1">
        <f t="shared" si="39"/>
        <v>7.4480000000000005E-6</v>
      </c>
      <c r="K85" s="19">
        <f t="shared" si="40"/>
        <v>8.1456865127582016E-4</v>
      </c>
      <c r="L85" s="19">
        <f t="shared" si="41"/>
        <v>0.50968724179829894</v>
      </c>
      <c r="M85" s="19">
        <f t="shared" si="42"/>
        <v>1.7455042527339002E-5</v>
      </c>
      <c r="N85" s="19">
        <f t="shared" si="31"/>
        <v>1.8728799615228837E-2</v>
      </c>
      <c r="O85" s="19">
        <v>24.36</v>
      </c>
      <c r="P85" s="19">
        <f t="shared" si="43"/>
        <v>9.6439109963547986E-2</v>
      </c>
      <c r="Q85" s="19">
        <f t="shared" si="44"/>
        <v>5.9347144592952613E-3</v>
      </c>
      <c r="R85" s="19">
        <f t="shared" si="45"/>
        <v>18.327794653705954</v>
      </c>
      <c r="S85" s="19">
        <f t="shared" si="46"/>
        <v>1.5515593357634671E-14</v>
      </c>
      <c r="T85" s="83">
        <f t="shared" si="47"/>
        <v>37.845412471918046</v>
      </c>
    </row>
    <row r="86" spans="1:20">
      <c r="A86" s="9" t="s">
        <v>1050</v>
      </c>
      <c r="B86" s="9" t="s">
        <v>11</v>
      </c>
      <c r="C86">
        <v>70.400000000000006</v>
      </c>
      <c r="D86">
        <v>1.1000000000000001</v>
      </c>
      <c r="E86">
        <v>0.02</v>
      </c>
      <c r="F86">
        <v>1.1000000000000001</v>
      </c>
      <c r="G86" s="1">
        <f t="shared" si="24"/>
        <v>3.5799999999999996E-6</v>
      </c>
      <c r="H86" s="19">
        <f t="shared" si="37"/>
        <v>-1.0643188335358442E-5</v>
      </c>
      <c r="I86" s="1">
        <f t="shared" si="38"/>
        <v>2.66E-8</v>
      </c>
      <c r="J86" s="1">
        <f t="shared" si="39"/>
        <v>5.3200000000000007E-6</v>
      </c>
      <c r="K86" s="19">
        <f t="shared" si="40"/>
        <v>4.700461725394897E-4</v>
      </c>
      <c r="L86" s="19">
        <f t="shared" si="41"/>
        <v>0.29411460510328075</v>
      </c>
      <c r="M86" s="19">
        <f t="shared" si="42"/>
        <v>1.0072417982989066E-5</v>
      </c>
      <c r="N86" s="19">
        <f t="shared" si="31"/>
        <v>1.8728799615228837E-2</v>
      </c>
      <c r="O86" s="19">
        <v>25.36</v>
      </c>
      <c r="P86" s="19">
        <f t="shared" si="43"/>
        <v>5.5650109356014582E-2</v>
      </c>
      <c r="Q86" s="19">
        <f t="shared" si="44"/>
        <v>3.4246221142162823E-3</v>
      </c>
      <c r="R86" s="19">
        <f t="shared" si="45"/>
        <v>10.576038882138519</v>
      </c>
      <c r="S86" s="19">
        <f t="shared" si="46"/>
        <v>8.9532604293236139E-15</v>
      </c>
      <c r="T86" s="83">
        <f t="shared" si="47"/>
        <v>24.512969095391256</v>
      </c>
    </row>
    <row r="87" spans="1:20">
      <c r="A87" s="9" t="s">
        <v>1051</v>
      </c>
      <c r="B87" s="9" t="s">
        <v>11</v>
      </c>
      <c r="C87">
        <v>441</v>
      </c>
      <c r="D87">
        <v>1.05</v>
      </c>
      <c r="E87">
        <v>4.8000000000000001E-2</v>
      </c>
      <c r="F87">
        <v>1.05</v>
      </c>
      <c r="G87" s="1">
        <f t="shared" si="24"/>
        <v>8.5920000000000001E-6</v>
      </c>
      <c r="H87" s="19">
        <f t="shared" si="37"/>
        <v>-6.6671108748481139E-5</v>
      </c>
      <c r="I87" s="1">
        <f t="shared" si="38"/>
        <v>6.3839999999999995E-8</v>
      </c>
      <c r="J87" s="1">
        <f t="shared" si="39"/>
        <v>1.2768E-5</v>
      </c>
      <c r="K87" s="19">
        <f t="shared" si="40"/>
        <v>2.9444653705953828E-3</v>
      </c>
      <c r="L87" s="19">
        <f t="shared" si="41"/>
        <v>1.8423940461725397</v>
      </c>
      <c r="M87" s="19">
        <f t="shared" si="42"/>
        <v>6.3095686512758199E-5</v>
      </c>
      <c r="N87" s="19">
        <f t="shared" si="31"/>
        <v>1.8728799615228837E-2</v>
      </c>
      <c r="O87" s="19">
        <v>26.36</v>
      </c>
      <c r="P87" s="19">
        <f t="shared" si="43"/>
        <v>0.34860366798298903</v>
      </c>
      <c r="Q87" s="19">
        <f t="shared" si="44"/>
        <v>2.1452533414337789E-2</v>
      </c>
      <c r="R87" s="19">
        <f t="shared" si="45"/>
        <v>66.250470838396112</v>
      </c>
      <c r="S87" s="19">
        <f t="shared" si="46"/>
        <v>5.6085054678007291E-14</v>
      </c>
      <c r="T87" s="83">
        <f t="shared" si="47"/>
        <v>121.60489124959338</v>
      </c>
    </row>
    <row r="88" spans="1:20">
      <c r="A88" t="s">
        <v>1052</v>
      </c>
      <c r="B88" s="9" t="s">
        <v>11</v>
      </c>
      <c r="C88">
        <v>342</v>
      </c>
      <c r="D88">
        <v>1.05</v>
      </c>
      <c r="E88">
        <v>2.9000000000000001E-2</v>
      </c>
      <c r="F88">
        <v>1.05</v>
      </c>
      <c r="G88" s="1">
        <f t="shared" si="24"/>
        <v>5.1909999999999999E-6</v>
      </c>
      <c r="H88" s="19">
        <f t="shared" si="37"/>
        <v>-5.1704125151883335E-5</v>
      </c>
      <c r="I88" s="1">
        <f t="shared" si="38"/>
        <v>3.8570000000000001E-8</v>
      </c>
      <c r="J88" s="1">
        <f t="shared" si="39"/>
        <v>7.714000000000001E-6</v>
      </c>
      <c r="K88" s="19">
        <f t="shared" si="40"/>
        <v>2.2834629404617254E-3</v>
      </c>
      <c r="L88" s="19">
        <f t="shared" si="41"/>
        <v>1.4287953827460511</v>
      </c>
      <c r="M88" s="19">
        <f t="shared" si="42"/>
        <v>4.8931348724179832E-5</v>
      </c>
      <c r="N88" s="19">
        <f t="shared" si="31"/>
        <v>1.8728799615228837E-2</v>
      </c>
      <c r="O88" s="19">
        <v>27.36</v>
      </c>
      <c r="P88" s="19">
        <f t="shared" si="43"/>
        <v>0.27034570170109357</v>
      </c>
      <c r="Q88" s="19">
        <f t="shared" si="44"/>
        <v>1.6636658566221142E-2</v>
      </c>
      <c r="R88" s="19">
        <f t="shared" si="45"/>
        <v>51.377916160388828</v>
      </c>
      <c r="S88" s="19">
        <f t="shared" si="46"/>
        <v>4.3494532199270964E-14</v>
      </c>
      <c r="T88" s="83">
        <f t="shared" si="47"/>
        <v>95.746266500980354</v>
      </c>
    </row>
    <row r="89" spans="1:20">
      <c r="A89" s="9" t="s">
        <v>1053</v>
      </c>
      <c r="B89" s="9" t="s">
        <v>11</v>
      </c>
      <c r="C89">
        <v>273</v>
      </c>
      <c r="D89">
        <v>1.1000000000000001</v>
      </c>
      <c r="E89">
        <v>1.7000000000000001E-2</v>
      </c>
      <c r="F89">
        <v>1.1000000000000001</v>
      </c>
      <c r="G89" s="1">
        <f t="shared" si="24"/>
        <v>3.0429999999999999E-6</v>
      </c>
      <c r="H89" s="19">
        <f t="shared" si="37"/>
        <v>-4.1272591130012135E-5</v>
      </c>
      <c r="I89" s="1">
        <f t="shared" si="38"/>
        <v>2.2610000000000002E-8</v>
      </c>
      <c r="J89" s="1">
        <f t="shared" si="39"/>
        <v>4.5220000000000009E-6</v>
      </c>
      <c r="K89" s="19">
        <f t="shared" si="40"/>
        <v>1.8227642770352369E-3</v>
      </c>
      <c r="L89" s="19">
        <f t="shared" si="41"/>
        <v>1.1405296476306197</v>
      </c>
      <c r="M89" s="19">
        <f t="shared" si="42"/>
        <v>3.9059234507897937E-5</v>
      </c>
      <c r="N89" s="19">
        <f t="shared" si="31"/>
        <v>1.8728799615228837E-2</v>
      </c>
      <c r="O89" s="19">
        <v>28.36</v>
      </c>
      <c r="P89" s="19">
        <f t="shared" si="43"/>
        <v>0.21580227065613608</v>
      </c>
      <c r="Q89" s="19">
        <f t="shared" si="44"/>
        <v>1.3280139732685298E-2</v>
      </c>
      <c r="R89" s="19">
        <f t="shared" si="45"/>
        <v>41.012196233292833</v>
      </c>
      <c r="S89" s="19">
        <f t="shared" si="46"/>
        <v>3.4719319562575945E-14</v>
      </c>
      <c r="T89" s="83">
        <f t="shared" si="47"/>
        <v>77.816308335271273</v>
      </c>
    </row>
    <row r="90" spans="1:20">
      <c r="A90" s="9" t="s">
        <v>1054</v>
      </c>
      <c r="B90" s="9" t="s">
        <v>11</v>
      </c>
      <c r="C90">
        <v>388</v>
      </c>
      <c r="D90">
        <v>1.5</v>
      </c>
      <c r="E90">
        <v>0.04</v>
      </c>
      <c r="F90">
        <v>1.5</v>
      </c>
      <c r="G90" s="1">
        <f t="shared" si="24"/>
        <v>7.1599999999999992E-6</v>
      </c>
      <c r="H90" s="19">
        <f t="shared" si="37"/>
        <v>-5.8658481166464135E-5</v>
      </c>
      <c r="I90" s="1">
        <f t="shared" si="38"/>
        <v>5.32E-8</v>
      </c>
      <c r="J90" s="1">
        <f t="shared" si="39"/>
        <v>1.0640000000000001E-5</v>
      </c>
      <c r="K90" s="19">
        <f t="shared" si="40"/>
        <v>2.5905953827460512E-3</v>
      </c>
      <c r="L90" s="19">
        <f t="shared" si="41"/>
        <v>1.6209725394896721</v>
      </c>
      <c r="M90" s="19">
        <f t="shared" si="42"/>
        <v>5.5512758201701096E-5</v>
      </c>
      <c r="N90" s="19">
        <f t="shared" si="31"/>
        <v>1.8728799615228837E-2</v>
      </c>
      <c r="O90" s="19">
        <v>29.36</v>
      </c>
      <c r="P90" s="19">
        <f t="shared" si="43"/>
        <v>0.30670798906439856</v>
      </c>
      <c r="Q90" s="19">
        <f t="shared" si="44"/>
        <v>1.8874337788578371E-2</v>
      </c>
      <c r="R90" s="19">
        <f t="shared" si="45"/>
        <v>58.288396111786156</v>
      </c>
      <c r="S90" s="19">
        <f t="shared" si="46"/>
        <v>4.9344673957067645E-14</v>
      </c>
      <c r="T90" s="83">
        <f t="shared" si="47"/>
        <v>108.36849672321975</v>
      </c>
    </row>
    <row r="91" spans="1:20">
      <c r="A91" s="9" t="s">
        <v>1055</v>
      </c>
      <c r="B91" s="9" t="s">
        <v>11</v>
      </c>
      <c r="C91">
        <v>762</v>
      </c>
      <c r="D91">
        <v>1.05</v>
      </c>
      <c r="E91">
        <v>2.4E-2</v>
      </c>
      <c r="F91">
        <v>1.05</v>
      </c>
      <c r="G91" s="1">
        <f t="shared" si="24"/>
        <v>4.296E-6</v>
      </c>
      <c r="H91" s="19">
        <f t="shared" si="37"/>
        <v>-1.1520041919805586E-4</v>
      </c>
      <c r="I91" s="1">
        <f t="shared" si="38"/>
        <v>3.1919999999999997E-8</v>
      </c>
      <c r="J91" s="1">
        <f t="shared" si="39"/>
        <v>6.3840000000000002E-6</v>
      </c>
      <c r="K91" s="19">
        <f t="shared" si="40"/>
        <v>5.0877156743620901E-3</v>
      </c>
      <c r="L91" s="19">
        <f t="shared" si="41"/>
        <v>3.1834563791008508</v>
      </c>
      <c r="M91" s="19">
        <f t="shared" si="42"/>
        <v>1.090224787363305E-4</v>
      </c>
      <c r="N91" s="19">
        <f t="shared" si="31"/>
        <v>1.8728799615228837E-2</v>
      </c>
      <c r="O91" s="19">
        <v>30.36</v>
      </c>
      <c r="P91" s="19">
        <f t="shared" si="43"/>
        <v>0.60234919501822604</v>
      </c>
      <c r="Q91" s="19">
        <f t="shared" si="44"/>
        <v>3.706764277035237E-2</v>
      </c>
      <c r="R91" s="19">
        <f t="shared" si="45"/>
        <v>114.47360267314703</v>
      </c>
      <c r="S91" s="19">
        <f t="shared" si="46"/>
        <v>9.6908869987849335E-14</v>
      </c>
      <c r="T91" s="83">
        <f t="shared" si="47"/>
        <v>205.52895904653562</v>
      </c>
    </row>
    <row r="92" spans="1:20">
      <c r="A92" s="9" t="s">
        <v>1056</v>
      </c>
      <c r="B92" s="9" t="s">
        <v>11</v>
      </c>
      <c r="C92">
        <v>46.6</v>
      </c>
      <c r="D92">
        <v>1.1000000000000001</v>
      </c>
      <c r="E92">
        <v>3.6999999999999998E-2</v>
      </c>
      <c r="F92">
        <v>2</v>
      </c>
      <c r="G92" s="1">
        <f t="shared" si="24"/>
        <v>6.6229999999999991E-6</v>
      </c>
      <c r="H92" s="19">
        <f t="shared" si="37"/>
        <v>-7.0450650060753317E-6</v>
      </c>
      <c r="I92" s="1">
        <f t="shared" si="38"/>
        <v>4.9209999999999995E-8</v>
      </c>
      <c r="J92" s="1">
        <f t="shared" si="39"/>
        <v>9.842E-6</v>
      </c>
      <c r="K92" s="19">
        <f t="shared" si="40"/>
        <v>3.11138517618469E-4</v>
      </c>
      <c r="L92" s="19">
        <f t="shared" si="41"/>
        <v>0.19468381530984205</v>
      </c>
      <c r="M92" s="19">
        <f t="shared" si="42"/>
        <v>6.667253948967193E-6</v>
      </c>
      <c r="N92" s="19">
        <f t="shared" si="31"/>
        <v>1.8728799615228837E-2</v>
      </c>
      <c r="O92" s="19">
        <v>31.36</v>
      </c>
      <c r="P92" s="19">
        <f t="shared" si="43"/>
        <v>3.6836578068043739E-2</v>
      </c>
      <c r="Q92" s="19">
        <f t="shared" si="44"/>
        <v>2.2668663426488457E-3</v>
      </c>
      <c r="R92" s="19">
        <f t="shared" si="45"/>
        <v>7.0006166464155539</v>
      </c>
      <c r="S92" s="19">
        <f t="shared" si="46"/>
        <v>5.9264479546375053E-15</v>
      </c>
      <c r="T92" s="83">
        <f t="shared" si="47"/>
        <v>20.020817736894788</v>
      </c>
    </row>
    <row r="93" spans="1:20">
      <c r="A93" s="9" t="s">
        <v>1057</v>
      </c>
      <c r="B93" s="9" t="s">
        <v>11</v>
      </c>
      <c r="C93">
        <v>15</v>
      </c>
      <c r="D93">
        <v>1.5</v>
      </c>
      <c r="E93">
        <v>1.0999999999999999E-2</v>
      </c>
      <c r="F93">
        <v>1.5</v>
      </c>
      <c r="G93" s="1">
        <f t="shared" si="24"/>
        <v>1.9689999999999997E-6</v>
      </c>
      <c r="H93" s="19">
        <f t="shared" si="37"/>
        <v>-2.2677247873633044E-6</v>
      </c>
      <c r="I93" s="1">
        <f t="shared" si="38"/>
        <v>1.4629999999999999E-8</v>
      </c>
      <c r="J93" s="1">
        <f t="shared" si="39"/>
        <v>2.926E-6</v>
      </c>
      <c r="K93" s="19">
        <f t="shared" si="40"/>
        <v>1.0015188335358445E-4</v>
      </c>
      <c r="L93" s="19">
        <f t="shared" si="41"/>
        <v>6.2666464155528553E-2</v>
      </c>
      <c r="M93" s="19">
        <f t="shared" si="42"/>
        <v>2.1461117861482382E-6</v>
      </c>
      <c r="N93" s="19">
        <f t="shared" si="31"/>
        <v>1.8728799615228837E-2</v>
      </c>
      <c r="O93" s="19">
        <v>32.36</v>
      </c>
      <c r="P93" s="19">
        <f t="shared" si="43"/>
        <v>1.1857267618469015E-2</v>
      </c>
      <c r="Q93" s="19">
        <f t="shared" si="44"/>
        <v>7.2967800729040102E-4</v>
      </c>
      <c r="R93" s="19">
        <f t="shared" si="45"/>
        <v>2.2534173754556504</v>
      </c>
      <c r="S93" s="19">
        <f t="shared" si="46"/>
        <v>1.9076549210206563E-15</v>
      </c>
      <c r="T93" s="83">
        <f t="shared" si="47"/>
        <v>11.554127830437293</v>
      </c>
    </row>
    <row r="94" spans="1:20">
      <c r="A94" s="9" t="s">
        <v>1058</v>
      </c>
      <c r="B94" s="9" t="s">
        <v>11</v>
      </c>
      <c r="C94">
        <v>860</v>
      </c>
      <c r="D94">
        <v>1.2</v>
      </c>
      <c r="E94">
        <v>0.11</v>
      </c>
      <c r="F94">
        <v>1.2</v>
      </c>
      <c r="G94" s="1">
        <f t="shared" si="24"/>
        <v>1.969E-5</v>
      </c>
      <c r="H94" s="19">
        <f t="shared" si="37"/>
        <v>-1.3001622114216277E-4</v>
      </c>
      <c r="I94" s="1">
        <f t="shared" si="38"/>
        <v>1.4630000000000001E-7</v>
      </c>
      <c r="J94" s="1">
        <f t="shared" si="39"/>
        <v>2.9260000000000001E-5</v>
      </c>
      <c r="K94" s="19">
        <f t="shared" si="40"/>
        <v>5.7420413122721749E-3</v>
      </c>
      <c r="L94" s="19">
        <f t="shared" si="41"/>
        <v>3.5928772782503042</v>
      </c>
      <c r="M94" s="19">
        <f t="shared" si="42"/>
        <v>1.2304374240583232E-4</v>
      </c>
      <c r="N94" s="19">
        <f t="shared" si="31"/>
        <v>1.8728799615228837E-2</v>
      </c>
      <c r="O94" s="19">
        <v>33.36</v>
      </c>
      <c r="P94" s="19">
        <f t="shared" si="43"/>
        <v>0.67981667679222357</v>
      </c>
      <c r="Q94" s="19">
        <f t="shared" si="44"/>
        <v>4.1834872417982991E-2</v>
      </c>
      <c r="R94" s="19">
        <f t="shared" si="45"/>
        <v>129.19592952612393</v>
      </c>
      <c r="S94" s="19">
        <f t="shared" si="46"/>
        <v>1.0937221547185096E-13</v>
      </c>
      <c r="T94" s="83">
        <f t="shared" si="47"/>
        <v>233.28916096201519</v>
      </c>
    </row>
    <row r="95" spans="1:20">
      <c r="A95" s="9" t="s">
        <v>1059</v>
      </c>
      <c r="B95" s="9" t="s">
        <v>11</v>
      </c>
      <c r="C95">
        <v>174</v>
      </c>
      <c r="D95">
        <v>1.1000000000000001</v>
      </c>
      <c r="E95">
        <v>1.9E-2</v>
      </c>
      <c r="F95">
        <v>1.1000000000000001</v>
      </c>
      <c r="G95" s="1">
        <f t="shared" si="24"/>
        <v>3.4009999999999997E-6</v>
      </c>
      <c r="H95" s="19">
        <f t="shared" si="37"/>
        <v>-2.630560753341433E-5</v>
      </c>
      <c r="I95" s="1">
        <f t="shared" si="38"/>
        <v>2.5269999999999997E-8</v>
      </c>
      <c r="J95" s="1">
        <f t="shared" si="39"/>
        <v>5.0540000000000002E-6</v>
      </c>
      <c r="K95" s="19">
        <f t="shared" si="40"/>
        <v>1.1617618469015796E-3</v>
      </c>
      <c r="L95" s="19">
        <f t="shared" si="41"/>
        <v>0.72693098420413127</v>
      </c>
      <c r="M95" s="19">
        <f t="shared" si="42"/>
        <v>2.4894896719319563E-5</v>
      </c>
      <c r="N95" s="19">
        <f t="shared" si="31"/>
        <v>1.8728799615228837E-2</v>
      </c>
      <c r="O95" s="19">
        <v>34.36</v>
      </c>
      <c r="P95" s="19">
        <f t="shared" si="43"/>
        <v>0.13754430437424059</v>
      </c>
      <c r="Q95" s="19">
        <f t="shared" si="44"/>
        <v>8.4642648845686518E-3</v>
      </c>
      <c r="R95" s="19">
        <f t="shared" si="45"/>
        <v>26.139641555285543</v>
      </c>
      <c r="S95" s="19">
        <f t="shared" si="46"/>
        <v>2.2128797083839612E-14</v>
      </c>
      <c r="T95" s="83">
        <f t="shared" si="47"/>
        <v>53.496823702358228</v>
      </c>
    </row>
    <row r="96" spans="1:20">
      <c r="A96" s="9" t="s">
        <v>1060</v>
      </c>
      <c r="B96" s="9" t="s">
        <v>11</v>
      </c>
      <c r="C96">
        <v>108</v>
      </c>
      <c r="D96">
        <v>1.1000000000000001</v>
      </c>
      <c r="E96">
        <v>1.4999999999999999E-2</v>
      </c>
      <c r="F96">
        <v>1.1000000000000001</v>
      </c>
      <c r="G96" s="1">
        <f t="shared" si="24"/>
        <v>2.6849999999999997E-6</v>
      </c>
      <c r="H96" s="19">
        <f t="shared" si="37"/>
        <v>-1.6327618469015792E-5</v>
      </c>
      <c r="I96" s="1">
        <f t="shared" si="38"/>
        <v>1.995E-8</v>
      </c>
      <c r="J96" s="1">
        <f t="shared" si="39"/>
        <v>3.9899999999999999E-6</v>
      </c>
      <c r="K96" s="19">
        <f t="shared" si="40"/>
        <v>7.2109356014580801E-4</v>
      </c>
      <c r="L96" s="19">
        <f t="shared" si="41"/>
        <v>0.45119854191980563</v>
      </c>
      <c r="M96" s="19">
        <f t="shared" si="42"/>
        <v>1.5452004860267313E-5</v>
      </c>
      <c r="N96" s="19">
        <f t="shared" si="31"/>
        <v>1.8728799615228837E-2</v>
      </c>
      <c r="O96" s="19">
        <v>35.36</v>
      </c>
      <c r="P96" s="19">
        <f t="shared" si="43"/>
        <v>8.537232685297691E-2</v>
      </c>
      <c r="Q96" s="19">
        <f t="shared" si="44"/>
        <v>5.2536816524908873E-3</v>
      </c>
      <c r="R96" s="19">
        <f t="shared" si="45"/>
        <v>16.22460510328068</v>
      </c>
      <c r="S96" s="19">
        <f t="shared" si="46"/>
        <v>1.3735115431348726E-14</v>
      </c>
      <c r="T96" s="83">
        <f t="shared" si="47"/>
        <v>36.495004711349537</v>
      </c>
    </row>
    <row r="97" spans="1:20">
      <c r="A97" t="s">
        <v>1061</v>
      </c>
      <c r="B97" s="9" t="s">
        <v>11</v>
      </c>
      <c r="C97">
        <v>2300</v>
      </c>
      <c r="D97">
        <v>1.2</v>
      </c>
      <c r="E97">
        <v>6.5000000000000002E-2</v>
      </c>
      <c r="F97">
        <v>1.3</v>
      </c>
      <c r="G97" s="1">
        <f t="shared" si="24"/>
        <v>1.1635E-5</v>
      </c>
      <c r="H97" s="19">
        <f t="shared" si="37"/>
        <v>-3.4771780072903998E-4</v>
      </c>
      <c r="I97" s="1">
        <f t="shared" si="38"/>
        <v>8.6449999999999997E-8</v>
      </c>
      <c r="J97" s="1">
        <f t="shared" si="39"/>
        <v>1.7290000000000002E-5</v>
      </c>
      <c r="K97" s="19">
        <f t="shared" si="40"/>
        <v>1.5356622114216283E-2</v>
      </c>
      <c r="L97" s="19">
        <f t="shared" si="41"/>
        <v>9.6088578371810449</v>
      </c>
      <c r="M97" s="19">
        <f t="shared" si="42"/>
        <v>3.2907047387606316E-4</v>
      </c>
      <c r="N97" s="19">
        <f t="shared" si="31"/>
        <v>1.8728799615228837E-2</v>
      </c>
      <c r="O97" s="19">
        <v>36.36</v>
      </c>
      <c r="P97" s="19">
        <f t="shared" si="43"/>
        <v>1.818114368165249</v>
      </c>
      <c r="Q97" s="19">
        <f t="shared" si="44"/>
        <v>0.11188396111786149</v>
      </c>
      <c r="R97" s="19">
        <f t="shared" si="45"/>
        <v>345.52399756986637</v>
      </c>
      <c r="S97" s="19">
        <f t="shared" si="46"/>
        <v>2.9250708788983397E-13</v>
      </c>
      <c r="T97" s="83">
        <f t="shared" si="47"/>
        <v>607.49504341370471</v>
      </c>
    </row>
    <row r="98" spans="1:20">
      <c r="A98" s="9" t="s">
        <v>1062</v>
      </c>
      <c r="B98" s="9" t="s">
        <v>11</v>
      </c>
      <c r="C98">
        <v>11</v>
      </c>
      <c r="D98">
        <v>1.3</v>
      </c>
      <c r="E98">
        <v>8.0000000000000002E-3</v>
      </c>
      <c r="F98">
        <v>1.3</v>
      </c>
      <c r="G98" s="1">
        <f t="shared" si="24"/>
        <v>1.432E-6</v>
      </c>
      <c r="H98" s="19">
        <f t="shared" si="37"/>
        <v>-1.6629981773997564E-6</v>
      </c>
      <c r="I98" s="1">
        <f t="shared" si="38"/>
        <v>1.064E-8</v>
      </c>
      <c r="J98" s="1">
        <f t="shared" si="39"/>
        <v>2.1280000000000002E-6</v>
      </c>
      <c r="K98" s="19">
        <f t="shared" si="40"/>
        <v>7.3444714459295257E-5</v>
      </c>
      <c r="L98" s="19">
        <f t="shared" si="41"/>
        <v>4.5955407047387611E-2</v>
      </c>
      <c r="M98" s="19">
        <f t="shared" si="42"/>
        <v>1.5738153098420414E-6</v>
      </c>
      <c r="N98" s="19">
        <f t="shared" si="31"/>
        <v>1.8728799615228837E-2</v>
      </c>
      <c r="O98" s="19">
        <v>37.36</v>
      </c>
      <c r="P98" s="19">
        <f t="shared" si="43"/>
        <v>8.6953295868772776E-3</v>
      </c>
      <c r="Q98" s="19">
        <f t="shared" si="44"/>
        <v>5.3509720534629401E-4</v>
      </c>
      <c r="R98" s="19">
        <f t="shared" si="45"/>
        <v>1.6525060753341436</v>
      </c>
      <c r="S98" s="19">
        <f t="shared" si="46"/>
        <v>1.3989469420818145E-15</v>
      </c>
      <c r="T98" s="83">
        <f t="shared" si="47"/>
        <v>11.608675957203433</v>
      </c>
    </row>
    <row r="99" spans="1:20">
      <c r="A99" s="9" t="s">
        <v>1063</v>
      </c>
      <c r="B99" s="9" t="s">
        <v>11</v>
      </c>
      <c r="C99">
        <v>54</v>
      </c>
      <c r="D99">
        <v>1.2</v>
      </c>
      <c r="E99">
        <v>1.4999999999999999E-2</v>
      </c>
      <c r="F99">
        <v>1.2</v>
      </c>
      <c r="G99" s="1">
        <f t="shared" si="24"/>
        <v>2.6849999999999997E-6</v>
      </c>
      <c r="H99" s="19">
        <f t="shared" si="37"/>
        <v>-8.1638092345078961E-6</v>
      </c>
      <c r="I99" s="1">
        <f t="shared" si="38"/>
        <v>1.995E-8</v>
      </c>
      <c r="J99" s="1">
        <f t="shared" si="39"/>
        <v>3.9899999999999999E-6</v>
      </c>
      <c r="K99" s="19">
        <f t="shared" si="40"/>
        <v>3.60546780072904E-4</v>
      </c>
      <c r="L99" s="19">
        <f t="shared" si="41"/>
        <v>0.22559927095990281</v>
      </c>
      <c r="M99" s="19">
        <f t="shared" si="42"/>
        <v>7.7260024301336567E-6</v>
      </c>
      <c r="N99" s="19">
        <f t="shared" si="31"/>
        <v>1.8728799615228837E-2</v>
      </c>
      <c r="O99" s="19">
        <v>38.36</v>
      </c>
      <c r="P99" s="19">
        <f t="shared" si="43"/>
        <v>4.2686163426488455E-2</v>
      </c>
      <c r="Q99" s="19">
        <f t="shared" si="44"/>
        <v>2.6268408262454437E-3</v>
      </c>
      <c r="R99" s="19">
        <f t="shared" si="45"/>
        <v>8.1123025516403402</v>
      </c>
      <c r="S99" s="19">
        <f t="shared" si="46"/>
        <v>6.8675577156743628E-15</v>
      </c>
      <c r="T99" s="83">
        <f t="shared" si="47"/>
        <v>23.146888931542431</v>
      </c>
    </row>
    <row r="100" spans="1:20">
      <c r="A100" s="9" t="s">
        <v>1064</v>
      </c>
      <c r="B100" s="9" t="s">
        <v>11</v>
      </c>
      <c r="C100">
        <v>38</v>
      </c>
      <c r="D100">
        <v>1.2</v>
      </c>
      <c r="E100">
        <v>2.7E-2</v>
      </c>
      <c r="F100">
        <v>1.2</v>
      </c>
      <c r="G100" s="1">
        <f t="shared" si="24"/>
        <v>4.8329999999999993E-6</v>
      </c>
      <c r="H100" s="19">
        <f t="shared" si="37"/>
        <v>-5.744902794653704E-6</v>
      </c>
      <c r="I100" s="1">
        <f t="shared" si="38"/>
        <v>3.5910000000000002E-8</v>
      </c>
      <c r="J100" s="1">
        <f t="shared" si="39"/>
        <v>7.182E-6</v>
      </c>
      <c r="K100" s="19">
        <f t="shared" si="40"/>
        <v>2.5371810449574729E-4</v>
      </c>
      <c r="L100" s="19">
        <f t="shared" si="41"/>
        <v>0.15875504252733902</v>
      </c>
      <c r="M100" s="19">
        <f t="shared" si="42"/>
        <v>5.4368165249088702E-6</v>
      </c>
      <c r="N100" s="19">
        <f t="shared" si="31"/>
        <v>1.8728799615228837E-2</v>
      </c>
      <c r="O100" s="19">
        <v>40.36</v>
      </c>
      <c r="P100" s="19">
        <f t="shared" si="43"/>
        <v>3.0038411300121505E-2</v>
      </c>
      <c r="Q100" s="19">
        <f t="shared" si="44"/>
        <v>1.8485176184690158E-3</v>
      </c>
      <c r="R100" s="19">
        <f t="shared" si="45"/>
        <v>5.7086573511543142</v>
      </c>
      <c r="S100" s="19">
        <f t="shared" si="46"/>
        <v>4.8327257999189957E-15</v>
      </c>
      <c r="T100" s="83">
        <f t="shared" si="47"/>
        <v>19.669812999406989</v>
      </c>
    </row>
    <row r="101" spans="1:20">
      <c r="A101" s="9" t="s">
        <v>1065</v>
      </c>
      <c r="B101" s="9" t="s">
        <v>11</v>
      </c>
      <c r="C101">
        <v>109</v>
      </c>
      <c r="D101">
        <v>1.1000000000000001</v>
      </c>
      <c r="E101">
        <v>6.9000000000000006E-2</v>
      </c>
      <c r="F101">
        <v>1.1000000000000001</v>
      </c>
      <c r="G101" s="1">
        <f t="shared" si="24"/>
        <v>1.2351000000000001E-5</v>
      </c>
      <c r="H101" s="19">
        <f t="shared" si="37"/>
        <v>-1.6478800121506679E-5</v>
      </c>
      <c r="I101" s="1">
        <f t="shared" si="38"/>
        <v>9.1770000000000007E-8</v>
      </c>
      <c r="J101" s="1">
        <f t="shared" si="39"/>
        <v>1.8354000000000004E-5</v>
      </c>
      <c r="K101" s="19">
        <f t="shared" si="40"/>
        <v>7.2777035236938029E-4</v>
      </c>
      <c r="L101" s="19">
        <f t="shared" si="41"/>
        <v>0.45537630619684089</v>
      </c>
      <c r="M101" s="19">
        <f t="shared" si="42"/>
        <v>1.5595078979343863E-5</v>
      </c>
      <c r="N101" s="19">
        <f t="shared" si="31"/>
        <v>1.8728799615228837E-2</v>
      </c>
      <c r="O101" s="19">
        <v>41.36</v>
      </c>
      <c r="P101" s="19">
        <f t="shared" si="43"/>
        <v>8.616281136087485E-2</v>
      </c>
      <c r="Q101" s="19">
        <f t="shared" si="44"/>
        <v>5.3023268529769135E-3</v>
      </c>
      <c r="R101" s="19">
        <f t="shared" si="45"/>
        <v>16.374832928311058</v>
      </c>
      <c r="S101" s="19">
        <f t="shared" si="46"/>
        <v>1.3862292426083436E-14</v>
      </c>
      <c r="T101" s="83">
        <f t="shared" si="47"/>
        <v>39.135615830182992</v>
      </c>
    </row>
    <row r="102" spans="1:20">
      <c r="A102" s="9" t="s">
        <v>1066</v>
      </c>
      <c r="B102" s="9" t="s">
        <v>11</v>
      </c>
      <c r="C102">
        <v>44</v>
      </c>
      <c r="D102">
        <v>1.2</v>
      </c>
      <c r="E102">
        <v>3.2000000000000001E-2</v>
      </c>
      <c r="F102">
        <v>1.2</v>
      </c>
      <c r="G102" s="1">
        <f t="shared" si="24"/>
        <v>5.728E-6</v>
      </c>
      <c r="H102" s="19">
        <f t="shared" si="37"/>
        <v>-6.6519927095990256E-6</v>
      </c>
      <c r="I102" s="1">
        <f t="shared" si="38"/>
        <v>4.2559999999999999E-8</v>
      </c>
      <c r="J102" s="1">
        <f t="shared" si="39"/>
        <v>8.5120000000000008E-6</v>
      </c>
      <c r="K102" s="19">
        <f t="shared" si="40"/>
        <v>2.9377885783718103E-4</v>
      </c>
      <c r="L102" s="19">
        <f t="shared" si="41"/>
        <v>0.18382162818955045</v>
      </c>
      <c r="M102" s="19">
        <f t="shared" si="42"/>
        <v>6.2952612393681656E-6</v>
      </c>
      <c r="N102" s="19">
        <f t="shared" si="31"/>
        <v>1.8728799615228837E-2</v>
      </c>
      <c r="O102" s="19">
        <v>42.36</v>
      </c>
      <c r="P102" s="19">
        <f t="shared" si="43"/>
        <v>3.478131834750911E-2</v>
      </c>
      <c r="Q102" s="19">
        <f t="shared" si="44"/>
        <v>2.140388821385176E-3</v>
      </c>
      <c r="R102" s="19">
        <f t="shared" si="45"/>
        <v>6.6100243013365745</v>
      </c>
      <c r="S102" s="19">
        <f t="shared" si="46"/>
        <v>5.5957877683272581E-15</v>
      </c>
      <c r="T102" s="83">
        <f t="shared" si="47"/>
        <v>21.78225605010778</v>
      </c>
    </row>
    <row r="103" spans="1:20">
      <c r="A103" s="9" t="s">
        <v>1067</v>
      </c>
      <c r="B103" s="9" t="s">
        <v>11</v>
      </c>
      <c r="C103">
        <v>181</v>
      </c>
      <c r="D103">
        <v>1.1000000000000001</v>
      </c>
      <c r="E103">
        <v>8.3000000000000004E-2</v>
      </c>
      <c r="F103">
        <v>1.1000000000000001</v>
      </c>
      <c r="G103" s="1">
        <f t="shared" si="24"/>
        <v>1.4857E-5</v>
      </c>
      <c r="H103" s="19">
        <f t="shared" si="37"/>
        <v>-2.7363879100850538E-5</v>
      </c>
      <c r="I103" s="1">
        <f t="shared" si="38"/>
        <v>1.1039E-7</v>
      </c>
      <c r="J103" s="1">
        <f t="shared" si="39"/>
        <v>2.2078000000000001E-5</v>
      </c>
      <c r="K103" s="19">
        <f t="shared" si="40"/>
        <v>1.2084993924665857E-3</v>
      </c>
      <c r="L103" s="19">
        <f t="shared" si="41"/>
        <v>0.7561753341433779</v>
      </c>
      <c r="M103" s="19">
        <f t="shared" si="42"/>
        <v>2.5896415552855405E-5</v>
      </c>
      <c r="N103" s="19">
        <f t="shared" si="31"/>
        <v>1.8728799615228837E-2</v>
      </c>
      <c r="O103" s="19">
        <v>43.36</v>
      </c>
      <c r="P103" s="19">
        <f t="shared" si="43"/>
        <v>0.14307769592952613</v>
      </c>
      <c r="Q103" s="19">
        <f t="shared" si="44"/>
        <v>8.8047812879708393E-3</v>
      </c>
      <c r="R103" s="19">
        <f t="shared" si="45"/>
        <v>27.191236330498178</v>
      </c>
      <c r="S103" s="19">
        <f t="shared" si="46"/>
        <v>2.3019036046982586E-14</v>
      </c>
      <c r="T103" s="83">
        <f t="shared" si="47"/>
        <v>58.572530280392485</v>
      </c>
    </row>
    <row r="104" spans="1:20">
      <c r="A104" s="9" t="s">
        <v>1068</v>
      </c>
      <c r="B104" s="9" t="s">
        <v>11</v>
      </c>
      <c r="C104">
        <v>175</v>
      </c>
      <c r="D104">
        <v>1.1000000000000001</v>
      </c>
      <c r="E104">
        <v>8.7999999999999995E-2</v>
      </c>
      <c r="F104">
        <v>1.1000000000000001</v>
      </c>
      <c r="G104" s="1">
        <f t="shared" si="24"/>
        <v>1.5751999999999998E-5</v>
      </c>
      <c r="H104" s="19">
        <f t="shared" si="37"/>
        <v>-2.6456789185905216E-5</v>
      </c>
      <c r="I104" s="1">
        <f t="shared" si="38"/>
        <v>1.1703999999999999E-7</v>
      </c>
      <c r="J104" s="1">
        <f t="shared" si="39"/>
        <v>2.3408E-5</v>
      </c>
      <c r="K104" s="19">
        <f t="shared" si="40"/>
        <v>1.1684386391251518E-3</v>
      </c>
      <c r="L104" s="19">
        <f t="shared" si="41"/>
        <v>0.73110874848116647</v>
      </c>
      <c r="M104" s="19">
        <f t="shared" si="42"/>
        <v>2.5037970838396113E-5</v>
      </c>
      <c r="N104" s="19">
        <f t="shared" si="31"/>
        <v>1.8728799615228837E-2</v>
      </c>
      <c r="O104" s="19">
        <v>44.36</v>
      </c>
      <c r="P104" s="19">
        <f t="shared" si="43"/>
        <v>0.13833478888213852</v>
      </c>
      <c r="Q104" s="19">
        <f t="shared" si="44"/>
        <v>8.5129100850546788E-3</v>
      </c>
      <c r="R104" s="19">
        <f t="shared" si="45"/>
        <v>26.28986938031592</v>
      </c>
      <c r="S104" s="19">
        <f t="shared" si="46"/>
        <v>2.2255974078574324E-14</v>
      </c>
      <c r="T104" s="83">
        <f t="shared" si="47"/>
        <v>57.335392046691688</v>
      </c>
    </row>
    <row r="105" spans="1:20">
      <c r="A105" s="9" t="s">
        <v>1069</v>
      </c>
      <c r="B105" s="9" t="s">
        <v>11</v>
      </c>
      <c r="C105">
        <v>60</v>
      </c>
      <c r="D105">
        <v>1.2</v>
      </c>
      <c r="E105">
        <v>2.8000000000000001E-2</v>
      </c>
      <c r="F105">
        <v>1.2</v>
      </c>
      <c r="G105" s="1">
        <f t="shared" si="24"/>
        <v>5.0119999999999996E-6</v>
      </c>
      <c r="H105" s="19">
        <f t="shared" si="37"/>
        <v>-9.0708991494532177E-6</v>
      </c>
      <c r="I105" s="1">
        <f t="shared" si="38"/>
        <v>3.7240000000000001E-8</v>
      </c>
      <c r="J105" s="1">
        <f t="shared" si="39"/>
        <v>7.4480000000000005E-6</v>
      </c>
      <c r="K105" s="19">
        <f t="shared" si="40"/>
        <v>4.006075334143378E-4</v>
      </c>
      <c r="L105" s="19">
        <f t="shared" si="41"/>
        <v>0.25066585662211421</v>
      </c>
      <c r="M105" s="19">
        <f t="shared" si="42"/>
        <v>8.584447144592953E-6</v>
      </c>
      <c r="N105" s="19">
        <f t="shared" si="31"/>
        <v>1.8728799615228837E-2</v>
      </c>
      <c r="O105" s="19">
        <v>46.36</v>
      </c>
      <c r="P105" s="19">
        <f t="shared" si="43"/>
        <v>4.742907047387606E-2</v>
      </c>
      <c r="Q105" s="19">
        <f t="shared" si="44"/>
        <v>2.9187120291616041E-3</v>
      </c>
      <c r="R105" s="19">
        <f t="shared" si="45"/>
        <v>9.0136695018226014</v>
      </c>
      <c r="S105" s="19">
        <f t="shared" si="46"/>
        <v>7.6306196840826252E-15</v>
      </c>
      <c r="T105" s="83">
        <f t="shared" si="47"/>
        <v>26.787575835843217</v>
      </c>
    </row>
    <row r="106" spans="1:20">
      <c r="A106" s="9" t="s">
        <v>1070</v>
      </c>
      <c r="B106" s="9" t="s">
        <v>11</v>
      </c>
      <c r="C106">
        <v>151</v>
      </c>
      <c r="D106">
        <v>1.2</v>
      </c>
      <c r="E106">
        <v>6.0999999999999999E-2</v>
      </c>
      <c r="F106">
        <v>1.2</v>
      </c>
      <c r="G106" s="1">
        <f t="shared" si="24"/>
        <v>1.0918999999999998E-5</v>
      </c>
      <c r="H106" s="19">
        <f t="shared" si="37"/>
        <v>-2.282842952612393E-5</v>
      </c>
      <c r="I106" s="1">
        <f t="shared" si="38"/>
        <v>8.1129999999999999E-8</v>
      </c>
      <c r="J106" s="1">
        <f t="shared" si="39"/>
        <v>1.6226E-5</v>
      </c>
      <c r="K106" s="19">
        <f t="shared" si="40"/>
        <v>1.0081956257594169E-3</v>
      </c>
      <c r="L106" s="19">
        <f t="shared" si="41"/>
        <v>0.63084240583232087</v>
      </c>
      <c r="M106" s="19">
        <f t="shared" si="42"/>
        <v>2.1604191980558931E-5</v>
      </c>
      <c r="N106" s="19">
        <f t="shared" si="31"/>
        <v>1.8728799615228837E-2</v>
      </c>
      <c r="O106" s="19">
        <v>47.36</v>
      </c>
      <c r="P106" s="19">
        <f t="shared" si="43"/>
        <v>0.11936316069258809</v>
      </c>
      <c r="Q106" s="19">
        <f t="shared" si="44"/>
        <v>7.3454252733900363E-3</v>
      </c>
      <c r="R106" s="19">
        <f t="shared" si="45"/>
        <v>22.684401579586879</v>
      </c>
      <c r="S106" s="19">
        <f t="shared" si="46"/>
        <v>1.9203726204941274E-14</v>
      </c>
      <c r="T106" s="83">
        <f t="shared" si="47"/>
        <v>51.285906471988532</v>
      </c>
    </row>
    <row r="107" spans="1:20">
      <c r="A107" s="9" t="s">
        <v>1071</v>
      </c>
      <c r="B107" s="9" t="s">
        <v>11</v>
      </c>
      <c r="C107">
        <v>495</v>
      </c>
      <c r="D107">
        <v>1.1000000000000001</v>
      </c>
      <c r="E107">
        <v>0.191</v>
      </c>
      <c r="F107">
        <v>1.1000000000000001</v>
      </c>
      <c r="G107" s="1">
        <f t="shared" si="24"/>
        <v>3.4189000000000001E-5</v>
      </c>
      <c r="H107" s="19">
        <f t="shared" si="37"/>
        <v>-7.4834917982989044E-5</v>
      </c>
      <c r="I107" s="1">
        <f t="shared" si="38"/>
        <v>2.5403000000000001E-7</v>
      </c>
      <c r="J107" s="1">
        <f t="shared" si="39"/>
        <v>5.0806000000000001E-5</v>
      </c>
      <c r="K107" s="19">
        <f t="shared" si="40"/>
        <v>3.3050121506682868E-3</v>
      </c>
      <c r="L107" s="19">
        <f t="shared" si="41"/>
        <v>2.0679933171324425</v>
      </c>
      <c r="M107" s="19">
        <f t="shared" si="42"/>
        <v>7.0821688942891863E-5</v>
      </c>
      <c r="N107" s="19">
        <f t="shared" si="31"/>
        <v>1.8728799615228837E-2</v>
      </c>
      <c r="O107" s="19">
        <v>48.36</v>
      </c>
      <c r="P107" s="19">
        <f t="shared" si="43"/>
        <v>0.39128983140947748</v>
      </c>
      <c r="Q107" s="19">
        <f t="shared" si="44"/>
        <v>2.4079374240583231E-2</v>
      </c>
      <c r="R107" s="19">
        <f t="shared" si="45"/>
        <v>74.362773390036452</v>
      </c>
      <c r="S107" s="19">
        <f t="shared" si="46"/>
        <v>6.2952612393681662E-14</v>
      </c>
      <c r="T107" s="83">
        <f t="shared" si="47"/>
        <v>143.35286591250053</v>
      </c>
    </row>
    <row r="108" spans="1:20">
      <c r="A108" s="9" t="s">
        <v>1072</v>
      </c>
      <c r="B108" s="9" t="s">
        <v>11</v>
      </c>
      <c r="C108">
        <v>56</v>
      </c>
      <c r="D108">
        <v>1.2</v>
      </c>
      <c r="E108">
        <v>2.8000000000000001E-2</v>
      </c>
      <c r="F108">
        <v>1.2</v>
      </c>
      <c r="G108" s="1">
        <f t="shared" si="24"/>
        <v>5.0119999999999996E-6</v>
      </c>
      <c r="H108" s="19">
        <f t="shared" si="37"/>
        <v>-8.4661725394896689E-6</v>
      </c>
      <c r="I108" s="1">
        <f t="shared" si="38"/>
        <v>3.7240000000000001E-8</v>
      </c>
      <c r="J108" s="1">
        <f t="shared" si="39"/>
        <v>7.4480000000000005E-6</v>
      </c>
      <c r="K108" s="19">
        <f t="shared" si="40"/>
        <v>3.7390036452004862E-4</v>
      </c>
      <c r="L108" s="19">
        <f t="shared" si="41"/>
        <v>0.2339547995139733</v>
      </c>
      <c r="M108" s="19">
        <f t="shared" si="42"/>
        <v>8.0121506682867566E-6</v>
      </c>
      <c r="N108" s="19">
        <f t="shared" si="31"/>
        <v>1.8728799615228837E-2</v>
      </c>
      <c r="O108" s="19">
        <v>49.36</v>
      </c>
      <c r="P108" s="19">
        <f t="shared" si="43"/>
        <v>4.4267132442284321E-2</v>
      </c>
      <c r="Q108" s="19">
        <f t="shared" si="44"/>
        <v>2.7241312272174968E-3</v>
      </c>
      <c r="R108" s="19">
        <f t="shared" si="45"/>
        <v>8.4127582017010951</v>
      </c>
      <c r="S108" s="19">
        <f t="shared" si="46"/>
        <v>7.1219117051437836E-15</v>
      </c>
      <c r="T108" s="83">
        <f t="shared" si="47"/>
        <v>26.437715407709362</v>
      </c>
    </row>
    <row r="109" spans="1:20">
      <c r="A109" s="9" t="s">
        <v>1073</v>
      </c>
      <c r="B109" s="9" t="s">
        <v>11</v>
      </c>
      <c r="C109">
        <v>151</v>
      </c>
      <c r="D109">
        <v>1.2</v>
      </c>
      <c r="E109">
        <v>7.0999999999999994E-2</v>
      </c>
      <c r="F109">
        <v>1.2</v>
      </c>
      <c r="G109" s="1">
        <f t="shared" si="24"/>
        <v>1.2708999999999998E-5</v>
      </c>
      <c r="H109" s="19">
        <f t="shared" si="37"/>
        <v>-2.282842952612393E-5</v>
      </c>
      <c r="I109" s="1">
        <f t="shared" si="38"/>
        <v>9.4429999999999993E-8</v>
      </c>
      <c r="J109" s="1">
        <f t="shared" si="39"/>
        <v>1.8885999999999998E-5</v>
      </c>
      <c r="K109" s="19">
        <f t="shared" si="40"/>
        <v>1.0081956257594169E-3</v>
      </c>
      <c r="L109" s="19">
        <f t="shared" si="41"/>
        <v>0.63084240583232087</v>
      </c>
      <c r="M109" s="19">
        <f t="shared" si="42"/>
        <v>2.1604191980558931E-5</v>
      </c>
      <c r="N109" s="19">
        <f t="shared" si="31"/>
        <v>1.8728799615228837E-2</v>
      </c>
      <c r="O109" s="19">
        <v>50.36</v>
      </c>
      <c r="P109" s="19">
        <f t="shared" si="43"/>
        <v>0.11936316069258809</v>
      </c>
      <c r="Q109" s="19">
        <f t="shared" si="44"/>
        <v>7.3454252733900363E-3</v>
      </c>
      <c r="R109" s="19">
        <f t="shared" si="45"/>
        <v>22.684401579586879</v>
      </c>
      <c r="S109" s="19">
        <f t="shared" si="46"/>
        <v>1.9203726204941274E-14</v>
      </c>
      <c r="T109" s="83">
        <f t="shared" si="47"/>
        <v>52.161211288988532</v>
      </c>
    </row>
    <row r="110" spans="1:20">
      <c r="A110" s="9" t="s">
        <v>1074</v>
      </c>
      <c r="B110" s="9" t="s">
        <v>11</v>
      </c>
      <c r="C110">
        <v>68</v>
      </c>
      <c r="D110">
        <v>1.2</v>
      </c>
      <c r="E110">
        <v>3.4000000000000002E-2</v>
      </c>
      <c r="F110">
        <v>1.2</v>
      </c>
      <c r="G110" s="1">
        <f t="shared" si="24"/>
        <v>6.0859999999999998E-6</v>
      </c>
      <c r="H110" s="19">
        <f t="shared" si="37"/>
        <v>-1.0280352369380312E-5</v>
      </c>
      <c r="I110" s="1">
        <f t="shared" si="38"/>
        <v>4.5220000000000004E-8</v>
      </c>
      <c r="J110" s="1">
        <f t="shared" si="39"/>
        <v>9.0440000000000018E-6</v>
      </c>
      <c r="K110" s="19">
        <f t="shared" si="40"/>
        <v>4.5402187120291616E-4</v>
      </c>
      <c r="L110" s="19">
        <f t="shared" si="41"/>
        <v>0.28408797083839615</v>
      </c>
      <c r="M110" s="19">
        <f t="shared" si="42"/>
        <v>9.7290400972053458E-6</v>
      </c>
      <c r="N110" s="19">
        <f t="shared" si="31"/>
        <v>1.8728799615228837E-2</v>
      </c>
      <c r="O110" s="19">
        <v>51.36</v>
      </c>
      <c r="P110" s="19">
        <f t="shared" si="43"/>
        <v>5.3752946537059539E-2</v>
      </c>
      <c r="Q110" s="19">
        <f t="shared" si="44"/>
        <v>3.3078736330498177E-3</v>
      </c>
      <c r="R110" s="19">
        <f t="shared" si="45"/>
        <v>10.215492102065614</v>
      </c>
      <c r="S110" s="19">
        <f t="shared" si="46"/>
        <v>8.6480356419603083E-15</v>
      </c>
      <c r="T110" s="83">
        <f t="shared" si="47"/>
        <v>30.128479582310938</v>
      </c>
    </row>
    <row r="111" spans="1:20">
      <c r="A111" s="9" t="s">
        <v>1075</v>
      </c>
      <c r="B111" s="9" t="s">
        <v>11</v>
      </c>
      <c r="C111">
        <v>306</v>
      </c>
      <c r="D111">
        <v>1.1000000000000001</v>
      </c>
      <c r="E111">
        <v>9.7000000000000003E-2</v>
      </c>
      <c r="F111">
        <v>1.1000000000000001</v>
      </c>
      <c r="G111" s="1">
        <f t="shared" si="24"/>
        <v>1.7363E-5</v>
      </c>
      <c r="H111" s="19">
        <f t="shared" si="37"/>
        <v>-4.6261585662211405E-5</v>
      </c>
      <c r="I111" s="1">
        <f t="shared" si="38"/>
        <v>1.2900999999999999E-7</v>
      </c>
      <c r="J111" s="1">
        <f t="shared" si="39"/>
        <v>2.5802000000000001E-5</v>
      </c>
      <c r="K111" s="19">
        <f t="shared" si="40"/>
        <v>2.0430984204131229E-3</v>
      </c>
      <c r="L111" s="19">
        <f t="shared" si="41"/>
        <v>1.2783958687727826</v>
      </c>
      <c r="M111" s="19">
        <f t="shared" si="42"/>
        <v>4.3780680437424061E-5</v>
      </c>
      <c r="N111" s="19">
        <f t="shared" si="31"/>
        <v>1.8728799615228837E-2</v>
      </c>
      <c r="O111" s="19">
        <v>52.36</v>
      </c>
      <c r="P111" s="19">
        <f t="shared" si="43"/>
        <v>0.24188825941676792</v>
      </c>
      <c r="Q111" s="19">
        <f t="shared" si="44"/>
        <v>1.4885431348724181E-2</v>
      </c>
      <c r="R111" s="19">
        <f t="shared" si="45"/>
        <v>45.969714459295268</v>
      </c>
      <c r="S111" s="19">
        <f t="shared" si="46"/>
        <v>3.891616038882139E-14</v>
      </c>
      <c r="T111" s="83">
        <f t="shared" si="47"/>
        <v>93.397595403375604</v>
      </c>
    </row>
    <row r="112" spans="1:20">
      <c r="A112" s="9" t="s">
        <v>1076</v>
      </c>
      <c r="B112" s="9" t="s">
        <v>11</v>
      </c>
      <c r="C112">
        <v>296</v>
      </c>
      <c r="D112">
        <v>1.1000000000000001</v>
      </c>
      <c r="E112">
        <v>0.1</v>
      </c>
      <c r="F112">
        <v>1.1000000000000001</v>
      </c>
      <c r="G112" s="1">
        <f t="shared" si="24"/>
        <v>1.7899999999999998E-5</v>
      </c>
      <c r="H112" s="19">
        <f t="shared" si="37"/>
        <v>-4.4749769137302535E-5</v>
      </c>
      <c r="I112" s="1">
        <f t="shared" si="38"/>
        <v>1.3300000000000001E-7</v>
      </c>
      <c r="J112" s="1">
        <f t="shared" si="39"/>
        <v>2.6600000000000003E-5</v>
      </c>
      <c r="K112" s="19">
        <f t="shared" si="40"/>
        <v>1.9763304981773996E-3</v>
      </c>
      <c r="L112" s="19">
        <f t="shared" si="41"/>
        <v>1.2366182260024303</v>
      </c>
      <c r="M112" s="19">
        <f t="shared" si="42"/>
        <v>4.2349939246658568E-5</v>
      </c>
      <c r="N112" s="19">
        <f t="shared" si="31"/>
        <v>1.8728799615228837E-2</v>
      </c>
      <c r="O112" s="19">
        <v>53.36</v>
      </c>
      <c r="P112" s="19">
        <f t="shared" si="43"/>
        <v>0.23398341433778858</v>
      </c>
      <c r="Q112" s="19">
        <f t="shared" si="44"/>
        <v>1.4398979343863912E-2</v>
      </c>
      <c r="R112" s="19">
        <f t="shared" si="45"/>
        <v>44.467436208991501</v>
      </c>
      <c r="S112" s="19">
        <f t="shared" si="46"/>
        <v>3.7644390441474283E-14</v>
      </c>
      <c r="T112" s="83">
        <f t="shared" si="47"/>
        <v>91.083535778140984</v>
      </c>
    </row>
    <row r="113" spans="1:20">
      <c r="A113" s="9" t="s">
        <v>1077</v>
      </c>
      <c r="B113" s="9" t="s">
        <v>11</v>
      </c>
      <c r="C113">
        <v>276</v>
      </c>
      <c r="D113">
        <v>1.1000000000000001</v>
      </c>
      <c r="E113">
        <v>0.10100000000000001</v>
      </c>
      <c r="F113">
        <v>1.1000000000000001</v>
      </c>
      <c r="G113" s="1">
        <f t="shared" si="24"/>
        <v>1.8079000000000001E-5</v>
      </c>
      <c r="H113" s="19">
        <f t="shared" si="37"/>
        <v>-4.17261360874848E-5</v>
      </c>
      <c r="I113" s="1">
        <f t="shared" si="38"/>
        <v>1.3433000000000001E-7</v>
      </c>
      <c r="J113" s="1">
        <f t="shared" si="39"/>
        <v>2.6866000000000003E-5</v>
      </c>
      <c r="K113" s="19">
        <f t="shared" si="40"/>
        <v>1.8427946537059538E-3</v>
      </c>
      <c r="L113" s="19">
        <f t="shared" si="41"/>
        <v>1.1530629404617254</v>
      </c>
      <c r="M113" s="19">
        <f t="shared" si="42"/>
        <v>3.9488456865127583E-5</v>
      </c>
      <c r="N113" s="19">
        <f t="shared" si="31"/>
        <v>1.8728799615228837E-2</v>
      </c>
      <c r="O113" s="19">
        <v>54.36</v>
      </c>
      <c r="P113" s="19">
        <f t="shared" si="43"/>
        <v>0.21817372417982989</v>
      </c>
      <c r="Q113" s="19">
        <f t="shared" si="44"/>
        <v>1.3426075334143379E-2</v>
      </c>
      <c r="R113" s="19">
        <f t="shared" si="45"/>
        <v>41.462879708383966</v>
      </c>
      <c r="S113" s="19">
        <f t="shared" si="46"/>
        <v>3.5100850546780075E-14</v>
      </c>
      <c r="T113" s="83">
        <f t="shared" si="47"/>
        <v>86.132764119171654</v>
      </c>
    </row>
    <row r="114" spans="1:20">
      <c r="A114" s="9" t="s">
        <v>1078</v>
      </c>
      <c r="B114" s="9" t="s">
        <v>11</v>
      </c>
      <c r="C114">
        <v>56</v>
      </c>
      <c r="D114">
        <v>1.2</v>
      </c>
      <c r="E114">
        <v>2.4E-2</v>
      </c>
      <c r="F114">
        <v>1.2</v>
      </c>
      <c r="G114" s="1">
        <f t="shared" si="24"/>
        <v>4.296E-6</v>
      </c>
      <c r="H114" s="19">
        <f t="shared" si="37"/>
        <v>-8.4661725394896689E-6</v>
      </c>
      <c r="I114" s="1">
        <f t="shared" si="38"/>
        <v>3.1919999999999997E-8</v>
      </c>
      <c r="J114" s="1">
        <f t="shared" si="39"/>
        <v>6.3840000000000002E-6</v>
      </c>
      <c r="K114" s="19">
        <f t="shared" si="40"/>
        <v>3.7390036452004862E-4</v>
      </c>
      <c r="L114" s="19">
        <f t="shared" si="41"/>
        <v>0.2339547995139733</v>
      </c>
      <c r="M114" s="19">
        <f t="shared" si="42"/>
        <v>8.0121506682867566E-6</v>
      </c>
      <c r="N114" s="19">
        <f t="shared" si="31"/>
        <v>1.8728799615228837E-2</v>
      </c>
      <c r="O114" s="19">
        <v>56.36</v>
      </c>
      <c r="P114" s="19">
        <f t="shared" si="43"/>
        <v>4.4267132442284321E-2</v>
      </c>
      <c r="Q114" s="19">
        <f t="shared" si="44"/>
        <v>2.7241312272174968E-3</v>
      </c>
      <c r="R114" s="19">
        <f t="shared" si="45"/>
        <v>8.4127582017010951</v>
      </c>
      <c r="S114" s="19">
        <f t="shared" si="46"/>
        <v>7.1219117051437836E-15</v>
      </c>
      <c r="T114" s="83">
        <f t="shared" si="47"/>
        <v>27.973593480909358</v>
      </c>
    </row>
    <row r="115" spans="1:20">
      <c r="A115" s="9" t="s">
        <v>1079</v>
      </c>
      <c r="B115" s="9" t="s">
        <v>11</v>
      </c>
      <c r="C115">
        <v>232</v>
      </c>
      <c r="D115">
        <v>1.1000000000000001</v>
      </c>
      <c r="E115">
        <v>5.8999999999999997E-2</v>
      </c>
      <c r="F115">
        <v>1.1000000000000001</v>
      </c>
      <c r="G115" s="1">
        <f t="shared" si="24"/>
        <v>1.0560999999999999E-5</v>
      </c>
      <c r="H115" s="19">
        <f t="shared" si="37"/>
        <v>-3.5074143377885773E-5</v>
      </c>
      <c r="I115" s="1">
        <f t="shared" si="38"/>
        <v>7.8470000000000001E-8</v>
      </c>
      <c r="J115" s="1">
        <f t="shared" si="39"/>
        <v>1.5693999999999999E-5</v>
      </c>
      <c r="K115" s="19">
        <f t="shared" si="40"/>
        <v>1.5490157958687727E-3</v>
      </c>
      <c r="L115" s="19">
        <f t="shared" si="41"/>
        <v>0.96924131227217503</v>
      </c>
      <c r="M115" s="19">
        <f t="shared" si="42"/>
        <v>3.3193195625759419E-5</v>
      </c>
      <c r="N115" s="19">
        <f t="shared" si="31"/>
        <v>1.8728799615228837E-2</v>
      </c>
      <c r="O115" s="19">
        <v>57.36</v>
      </c>
      <c r="P115" s="19">
        <f t="shared" si="43"/>
        <v>0.18339240583232078</v>
      </c>
      <c r="Q115" s="19">
        <f t="shared" si="44"/>
        <v>1.1285686512758202E-2</v>
      </c>
      <c r="R115" s="19">
        <f t="shared" si="45"/>
        <v>34.852855407047393</v>
      </c>
      <c r="S115" s="19">
        <f t="shared" si="46"/>
        <v>2.9505062778452818E-14</v>
      </c>
      <c r="T115" s="83">
        <f t="shared" si="47"/>
        <v>74.606019178299178</v>
      </c>
    </row>
    <row r="116" spans="1:20">
      <c r="A116" s="9" t="s">
        <v>1080</v>
      </c>
      <c r="B116" s="9" t="s">
        <v>11</v>
      </c>
      <c r="C116">
        <v>693</v>
      </c>
      <c r="D116">
        <v>1.05</v>
      </c>
      <c r="E116">
        <v>0.16400000000000001</v>
      </c>
      <c r="F116">
        <v>1.05</v>
      </c>
      <c r="G116" s="1">
        <f t="shared" si="24"/>
        <v>2.9355999999999998E-5</v>
      </c>
      <c r="H116" s="19">
        <f t="shared" si="37"/>
        <v>-1.0476888517618465E-4</v>
      </c>
      <c r="I116" s="1">
        <f t="shared" si="38"/>
        <v>2.1812E-7</v>
      </c>
      <c r="J116" s="1">
        <f t="shared" si="39"/>
        <v>4.3624000000000001E-5</v>
      </c>
      <c r="K116" s="19">
        <f t="shared" si="40"/>
        <v>4.6270170109356011E-3</v>
      </c>
      <c r="L116" s="19">
        <f t="shared" si="41"/>
        <v>2.8951906439854196</v>
      </c>
      <c r="M116" s="19">
        <f t="shared" si="42"/>
        <v>9.9150364520048597E-5</v>
      </c>
      <c r="N116" s="19">
        <f t="shared" si="31"/>
        <v>1.8728799615228837E-2</v>
      </c>
      <c r="O116" s="19">
        <v>58.36</v>
      </c>
      <c r="P116" s="19">
        <f t="shared" si="43"/>
        <v>0.54780576397326852</v>
      </c>
      <c r="Q116" s="19">
        <f t="shared" si="44"/>
        <v>3.3711123936816523E-2</v>
      </c>
      <c r="R116" s="19">
        <f t="shared" si="45"/>
        <v>104.10788274605105</v>
      </c>
      <c r="S116" s="19">
        <f t="shared" si="46"/>
        <v>8.8133657351154317E-14</v>
      </c>
      <c r="T116" s="83">
        <f t="shared" si="47"/>
        <v>196.62563409922657</v>
      </c>
    </row>
    <row r="117" spans="1:20">
      <c r="A117" s="9" t="s">
        <v>1081</v>
      </c>
      <c r="B117" s="9" t="s">
        <v>11</v>
      </c>
      <c r="C117">
        <v>92</v>
      </c>
      <c r="D117">
        <v>1.1000000000000001</v>
      </c>
      <c r="E117">
        <v>2.9000000000000001E-2</v>
      </c>
      <c r="F117">
        <v>1.1000000000000001</v>
      </c>
      <c r="G117" s="1">
        <f t="shared" si="24"/>
        <v>5.1909999999999999E-6</v>
      </c>
      <c r="H117" s="19">
        <f t="shared" si="37"/>
        <v>-1.39087120291616E-5</v>
      </c>
      <c r="I117" s="1">
        <f t="shared" si="38"/>
        <v>3.8570000000000001E-8</v>
      </c>
      <c r="J117" s="1">
        <f t="shared" si="39"/>
        <v>7.714000000000001E-6</v>
      </c>
      <c r="K117" s="19">
        <f t="shared" si="40"/>
        <v>6.1426488456865129E-4</v>
      </c>
      <c r="L117" s="19">
        <f t="shared" si="41"/>
        <v>0.38435431348724181</v>
      </c>
      <c r="M117" s="19">
        <f t="shared" si="42"/>
        <v>1.3162818955042528E-5</v>
      </c>
      <c r="N117" s="19">
        <f t="shared" si="31"/>
        <v>1.8728799615228837E-2</v>
      </c>
      <c r="O117" s="19">
        <v>59.36</v>
      </c>
      <c r="P117" s="19">
        <f t="shared" si="43"/>
        <v>7.2724574726609967E-2</v>
      </c>
      <c r="Q117" s="19">
        <f t="shared" si="44"/>
        <v>4.4753584447144593E-3</v>
      </c>
      <c r="R117" s="19">
        <f t="shared" si="45"/>
        <v>13.820959902794655</v>
      </c>
      <c r="S117" s="19">
        <f t="shared" si="46"/>
        <v>1.1700283515593358E-14</v>
      </c>
      <c r="T117" s="83">
        <f t="shared" si="47"/>
        <v>38.114989742614092</v>
      </c>
    </row>
    <row r="118" spans="1:20">
      <c r="A118" s="9" t="s">
        <v>1082</v>
      </c>
      <c r="B118" s="9" t="s">
        <v>11</v>
      </c>
      <c r="C118">
        <v>193</v>
      </c>
      <c r="D118">
        <v>1.1000000000000001</v>
      </c>
      <c r="E118">
        <v>5.8999999999999997E-2</v>
      </c>
      <c r="F118">
        <v>1.1000000000000001</v>
      </c>
      <c r="G118" s="1">
        <f t="shared" si="24"/>
        <v>1.0560999999999999E-5</v>
      </c>
      <c r="H118" s="19">
        <f t="shared" si="37"/>
        <v>-2.9178058930741181E-5</v>
      </c>
      <c r="I118" s="1">
        <f t="shared" si="38"/>
        <v>7.8470000000000001E-8</v>
      </c>
      <c r="J118" s="1">
        <f t="shared" si="39"/>
        <v>1.5693999999999999E-5</v>
      </c>
      <c r="K118" s="19">
        <f t="shared" si="40"/>
        <v>1.2886208991494533E-3</v>
      </c>
      <c r="L118" s="19">
        <f t="shared" si="41"/>
        <v>0.80630850546780075</v>
      </c>
      <c r="M118" s="19">
        <f t="shared" si="42"/>
        <v>2.7613304981773998E-5</v>
      </c>
      <c r="N118" s="19">
        <f t="shared" si="31"/>
        <v>1.8728799615228837E-2</v>
      </c>
      <c r="O118" s="19">
        <v>60.36</v>
      </c>
      <c r="P118" s="19">
        <f t="shared" si="43"/>
        <v>0.15256351002430132</v>
      </c>
      <c r="Q118" s="19">
        <f t="shared" si="44"/>
        <v>9.3885236938031601E-3</v>
      </c>
      <c r="R118" s="19">
        <f t="shared" si="45"/>
        <v>28.993970230862701</v>
      </c>
      <c r="S118" s="19">
        <f t="shared" si="46"/>
        <v>2.4545159983799111E-14</v>
      </c>
      <c r="T118" s="83">
        <f t="shared" si="47"/>
        <v>65.157380003994064</v>
      </c>
    </row>
    <row r="119" spans="1:20">
      <c r="A119" s="9" t="s">
        <v>1083</v>
      </c>
      <c r="B119" s="9" t="s">
        <v>11</v>
      </c>
      <c r="C119">
        <v>682</v>
      </c>
      <c r="D119">
        <v>1.05</v>
      </c>
      <c r="E119">
        <v>0.185</v>
      </c>
      <c r="F119">
        <v>1.05</v>
      </c>
      <c r="G119" s="1">
        <f t="shared" si="24"/>
        <v>3.3114999999999997E-5</v>
      </c>
      <c r="H119" s="19">
        <f t="shared" si="37"/>
        <v>-1.031058869987849E-4</v>
      </c>
      <c r="I119" s="1">
        <f t="shared" si="38"/>
        <v>2.4605000000000001E-7</v>
      </c>
      <c r="J119" s="1">
        <f t="shared" si="39"/>
        <v>4.9210000000000005E-5</v>
      </c>
      <c r="K119" s="19">
        <f t="shared" si="40"/>
        <v>4.5535722964763058E-3</v>
      </c>
      <c r="L119" s="19">
        <f t="shared" si="41"/>
        <v>2.8492352369380316</v>
      </c>
      <c r="M119" s="19">
        <f t="shared" si="42"/>
        <v>9.7576549210206558E-5</v>
      </c>
      <c r="N119" s="19">
        <f t="shared" si="31"/>
        <v>1.8728799615228837E-2</v>
      </c>
      <c r="O119" s="19">
        <v>61.36</v>
      </c>
      <c r="P119" s="19">
        <f t="shared" si="43"/>
        <v>0.53911043438639128</v>
      </c>
      <c r="Q119" s="19">
        <f t="shared" si="44"/>
        <v>3.3176026731470229E-2</v>
      </c>
      <c r="R119" s="19">
        <f t="shared" si="45"/>
        <v>102.4553766707169</v>
      </c>
      <c r="S119" s="19">
        <f t="shared" si="46"/>
        <v>8.6734710409072504E-14</v>
      </c>
      <c r="T119" s="83">
        <f t="shared" si="47"/>
        <v>194.84515803755843</v>
      </c>
    </row>
    <row r="120" spans="1:20">
      <c r="A120" s="9" t="s">
        <v>1084</v>
      </c>
      <c r="B120" s="9" t="s">
        <v>11</v>
      </c>
      <c r="C120">
        <v>83</v>
      </c>
      <c r="D120">
        <v>1.2</v>
      </c>
      <c r="E120">
        <v>2.9000000000000001E-2</v>
      </c>
      <c r="F120">
        <v>1.2</v>
      </c>
      <c r="G120" s="1">
        <f t="shared" si="24"/>
        <v>5.1909999999999999E-6</v>
      </c>
      <c r="H120" s="19">
        <f t="shared" si="37"/>
        <v>-1.2548077156743618E-5</v>
      </c>
      <c r="I120" s="1">
        <f t="shared" si="38"/>
        <v>3.8570000000000001E-8</v>
      </c>
      <c r="J120" s="1">
        <f t="shared" si="39"/>
        <v>7.714000000000001E-6</v>
      </c>
      <c r="K120" s="19">
        <f t="shared" si="40"/>
        <v>5.5417375455650065E-4</v>
      </c>
      <c r="L120" s="19">
        <f t="shared" si="41"/>
        <v>0.34675443499392467</v>
      </c>
      <c r="M120" s="19">
        <f t="shared" si="42"/>
        <v>1.1875151883353585E-5</v>
      </c>
      <c r="N120" s="19">
        <f t="shared" si="31"/>
        <v>1.8728799615228837E-2</v>
      </c>
      <c r="O120" s="19">
        <v>62.36</v>
      </c>
      <c r="P120" s="19">
        <f t="shared" si="43"/>
        <v>6.5610214155528548E-2</v>
      </c>
      <c r="Q120" s="19">
        <f t="shared" si="44"/>
        <v>4.0375516403402187E-3</v>
      </c>
      <c r="R120" s="19">
        <f t="shared" si="45"/>
        <v>12.468909477521265</v>
      </c>
      <c r="S120" s="19">
        <f t="shared" si="46"/>
        <v>1.0555690562980964E-14</v>
      </c>
      <c r="T120" s="83">
        <f t="shared" si="47"/>
        <v>36.465303779312912</v>
      </c>
    </row>
    <row r="121" spans="1:20">
      <c r="A121" s="9" t="s">
        <v>1085</v>
      </c>
      <c r="B121" s="9" t="s">
        <v>11</v>
      </c>
      <c r="C121">
        <v>239</v>
      </c>
      <c r="D121">
        <v>1.1000000000000001</v>
      </c>
      <c r="E121">
        <v>7.2999999999999995E-2</v>
      </c>
      <c r="F121">
        <v>1.1000000000000001</v>
      </c>
      <c r="G121" s="1">
        <f t="shared" si="24"/>
        <v>1.3066999999999999E-5</v>
      </c>
      <c r="H121" s="19">
        <f t="shared" si="37"/>
        <v>-3.6132414945321984E-5</v>
      </c>
      <c r="I121" s="1">
        <f t="shared" si="38"/>
        <v>9.7089999999999991E-8</v>
      </c>
      <c r="J121" s="1">
        <f t="shared" si="39"/>
        <v>1.9417999999999999E-5</v>
      </c>
      <c r="K121" s="19">
        <f t="shared" si="40"/>
        <v>1.5957533414337789E-3</v>
      </c>
      <c r="L121" s="19">
        <f t="shared" si="41"/>
        <v>0.99848566221142165</v>
      </c>
      <c r="M121" s="19">
        <f t="shared" si="42"/>
        <v>3.4194714459295259E-5</v>
      </c>
      <c r="N121" s="19">
        <f t="shared" si="31"/>
        <v>1.8728799615228837E-2</v>
      </c>
      <c r="O121" s="19">
        <v>63.36</v>
      </c>
      <c r="P121" s="19">
        <f t="shared" si="43"/>
        <v>0.18892579738760631</v>
      </c>
      <c r="Q121" s="19">
        <f t="shared" si="44"/>
        <v>1.1626202916160389E-2</v>
      </c>
      <c r="R121" s="19">
        <f t="shared" si="45"/>
        <v>35.904450182260028</v>
      </c>
      <c r="S121" s="19">
        <f t="shared" si="46"/>
        <v>3.0395301741595789E-14</v>
      </c>
      <c r="T121" s="83">
        <f t="shared" si="47"/>
        <v>78.065201671333469</v>
      </c>
    </row>
    <row r="122" spans="1:20">
      <c r="A122" s="9" t="s">
        <v>1086</v>
      </c>
      <c r="B122" s="9" t="s">
        <v>11</v>
      </c>
      <c r="C122">
        <v>525</v>
      </c>
      <c r="D122">
        <v>1.05</v>
      </c>
      <c r="E122">
        <v>0.111</v>
      </c>
      <c r="F122">
        <v>1.05</v>
      </c>
      <c r="G122" s="1">
        <f t="shared" si="24"/>
        <v>1.9868999999999999E-5</v>
      </c>
      <c r="H122" s="19">
        <f t="shared" si="37"/>
        <v>-7.9370367557715649E-5</v>
      </c>
      <c r="I122" s="1">
        <f t="shared" si="38"/>
        <v>1.4763000000000001E-7</v>
      </c>
      <c r="J122" s="1">
        <f t="shared" si="39"/>
        <v>2.9526000000000002E-5</v>
      </c>
      <c r="K122" s="19">
        <f t="shared" si="40"/>
        <v>3.5053159173754557E-3</v>
      </c>
      <c r="L122" s="19">
        <f t="shared" si="41"/>
        <v>2.1933262454434996</v>
      </c>
      <c r="M122" s="19">
        <f t="shared" si="42"/>
        <v>7.5113912515188341E-5</v>
      </c>
      <c r="N122" s="19">
        <f t="shared" si="31"/>
        <v>1.8728799615228837E-2</v>
      </c>
      <c r="O122" s="19">
        <v>64.36</v>
      </c>
      <c r="P122" s="19">
        <f t="shared" si="43"/>
        <v>0.41500436664641555</v>
      </c>
      <c r="Q122" s="19">
        <f t="shared" si="44"/>
        <v>2.5538730255164035E-2</v>
      </c>
      <c r="R122" s="19">
        <f t="shared" si="45"/>
        <v>78.869608140947761</v>
      </c>
      <c r="S122" s="19">
        <f t="shared" si="46"/>
        <v>6.6767922235722971E-14</v>
      </c>
      <c r="T122" s="83">
        <f t="shared" si="47"/>
        <v>153.34938058750441</v>
      </c>
    </row>
    <row r="123" spans="1:20">
      <c r="A123" s="9" t="s">
        <v>1087</v>
      </c>
      <c r="B123" s="9" t="s">
        <v>11</v>
      </c>
      <c r="C123">
        <v>383</v>
      </c>
      <c r="D123">
        <v>1.1000000000000001</v>
      </c>
      <c r="E123">
        <v>0.11700000000000001</v>
      </c>
      <c r="F123">
        <v>1.1000000000000001</v>
      </c>
      <c r="G123" s="1">
        <f t="shared" si="24"/>
        <v>2.0942999999999999E-5</v>
      </c>
      <c r="H123" s="19">
        <f t="shared" si="37"/>
        <v>-5.7902572904009703E-5</v>
      </c>
      <c r="I123" s="1">
        <f t="shared" si="38"/>
        <v>1.5561E-7</v>
      </c>
      <c r="J123" s="1">
        <f t="shared" si="39"/>
        <v>3.1122000000000005E-5</v>
      </c>
      <c r="K123" s="19">
        <f t="shared" si="40"/>
        <v>2.5572114216281896E-3</v>
      </c>
      <c r="L123" s="19">
        <f t="shared" si="41"/>
        <v>1.6000837181044958</v>
      </c>
      <c r="M123" s="19">
        <f t="shared" si="42"/>
        <v>5.479738760631835E-5</v>
      </c>
      <c r="N123" s="19">
        <f t="shared" si="31"/>
        <v>1.8728799615228837E-2</v>
      </c>
      <c r="O123" s="19">
        <v>65.36</v>
      </c>
      <c r="P123" s="19">
        <f t="shared" si="43"/>
        <v>0.30275556652490887</v>
      </c>
      <c r="Q123" s="19">
        <f t="shared" si="44"/>
        <v>1.8631111786148239E-2</v>
      </c>
      <c r="R123" s="19">
        <f t="shared" si="45"/>
        <v>57.537256986634269</v>
      </c>
      <c r="S123" s="19">
        <f t="shared" si="46"/>
        <v>4.8708788983394092E-14</v>
      </c>
      <c r="T123" s="83">
        <f t="shared" si="47"/>
        <v>116.7755182789524</v>
      </c>
    </row>
    <row r="124" spans="1:20">
      <c r="A124" s="9" t="s">
        <v>1088</v>
      </c>
      <c r="B124" s="9" t="s">
        <v>11</v>
      </c>
      <c r="C124">
        <v>457</v>
      </c>
      <c r="D124">
        <v>1.1000000000000001</v>
      </c>
      <c r="E124">
        <v>0.114</v>
      </c>
      <c r="F124">
        <v>1.1000000000000001</v>
      </c>
      <c r="G124" s="1">
        <f t="shared" si="24"/>
        <v>2.0406000000000001E-5</v>
      </c>
      <c r="H124" s="19">
        <f t="shared" si="37"/>
        <v>-6.9090015188335335E-5</v>
      </c>
      <c r="I124" s="1">
        <f t="shared" si="38"/>
        <v>1.5162E-7</v>
      </c>
      <c r="J124" s="1">
        <f t="shared" si="39"/>
        <v>3.0324000000000003E-5</v>
      </c>
      <c r="K124" s="19">
        <f t="shared" si="40"/>
        <v>3.0512940461725397E-3</v>
      </c>
      <c r="L124" s="19">
        <f t="shared" si="41"/>
        <v>1.9092382746051033</v>
      </c>
      <c r="M124" s="19">
        <f t="shared" si="42"/>
        <v>6.5384872417982985E-5</v>
      </c>
      <c r="N124" s="19">
        <f t="shared" si="31"/>
        <v>1.8728799615228837E-2</v>
      </c>
      <c r="O124" s="19">
        <v>66.36</v>
      </c>
      <c r="P124" s="19">
        <f t="shared" si="43"/>
        <v>0.36125142010935601</v>
      </c>
      <c r="Q124" s="19">
        <f t="shared" si="44"/>
        <v>2.2230856622114218E-2</v>
      </c>
      <c r="R124" s="19">
        <f t="shared" si="45"/>
        <v>68.654116038882151</v>
      </c>
      <c r="S124" s="19">
        <f t="shared" si="46"/>
        <v>5.8119886593762658E-14</v>
      </c>
      <c r="T124" s="83">
        <f t="shared" si="47"/>
        <v>136.18734475432885</v>
      </c>
    </row>
    <row r="125" spans="1:20">
      <c r="A125" s="9" t="s">
        <v>1089</v>
      </c>
      <c r="B125" s="9" t="s">
        <v>11</v>
      </c>
      <c r="C125">
        <v>438</v>
      </c>
      <c r="D125">
        <v>1.1000000000000001</v>
      </c>
      <c r="E125">
        <v>0.11700000000000001</v>
      </c>
      <c r="F125">
        <v>1.1000000000000001</v>
      </c>
      <c r="G125" s="1">
        <f t="shared" si="24"/>
        <v>2.0942999999999999E-5</v>
      </c>
      <c r="H125" s="19">
        <f t="shared" si="37"/>
        <v>-6.6217563791008487E-5</v>
      </c>
      <c r="I125" s="1">
        <f t="shared" si="38"/>
        <v>1.5561E-7</v>
      </c>
      <c r="J125" s="1">
        <f t="shared" si="39"/>
        <v>3.1122000000000005E-5</v>
      </c>
      <c r="K125" s="19">
        <f t="shared" si="40"/>
        <v>2.9244349939246657E-3</v>
      </c>
      <c r="L125" s="19">
        <f t="shared" si="41"/>
        <v>1.8298607533414339</v>
      </c>
      <c r="M125" s="19">
        <f t="shared" si="42"/>
        <v>6.266646415552856E-5</v>
      </c>
      <c r="N125" s="19">
        <f t="shared" si="31"/>
        <v>1.8728799615228837E-2</v>
      </c>
      <c r="O125" s="19">
        <v>67.36</v>
      </c>
      <c r="P125" s="19">
        <f t="shared" si="43"/>
        <v>0.34623221445929525</v>
      </c>
      <c r="Q125" s="19">
        <f t="shared" si="44"/>
        <v>2.1306597812879708E-2</v>
      </c>
      <c r="R125" s="19">
        <f t="shared" si="45"/>
        <v>65.799787363304986</v>
      </c>
      <c r="S125" s="19">
        <f t="shared" si="46"/>
        <v>5.5703523693803162E-14</v>
      </c>
      <c r="T125" s="83">
        <f t="shared" si="47"/>
        <v>131.53359916579299</v>
      </c>
    </row>
    <row r="126" spans="1:20">
      <c r="A126" s="9" t="s">
        <v>1090</v>
      </c>
      <c r="B126" s="9" t="s">
        <v>11</v>
      </c>
      <c r="C126">
        <v>216</v>
      </c>
      <c r="D126">
        <v>1.1000000000000001</v>
      </c>
      <c r="E126">
        <v>4.9000000000000002E-2</v>
      </c>
      <c r="F126">
        <v>1.1000000000000001</v>
      </c>
      <c r="G126" s="1">
        <f t="shared" si="24"/>
        <v>8.7709999999999995E-6</v>
      </c>
      <c r="H126" s="19">
        <f t="shared" si="37"/>
        <v>-3.2655236938031584E-5</v>
      </c>
      <c r="I126" s="1">
        <f t="shared" si="38"/>
        <v>6.5170000000000007E-8</v>
      </c>
      <c r="J126" s="1">
        <f t="shared" si="39"/>
        <v>1.3034000000000001E-5</v>
      </c>
      <c r="K126" s="19">
        <f t="shared" si="40"/>
        <v>1.442187120291616E-3</v>
      </c>
      <c r="L126" s="19">
        <f t="shared" si="41"/>
        <v>0.90239708383961126</v>
      </c>
      <c r="M126" s="19">
        <f t="shared" si="42"/>
        <v>3.0904009720534627E-5</v>
      </c>
      <c r="N126" s="19">
        <f t="shared" si="31"/>
        <v>1.8728799615228837E-2</v>
      </c>
      <c r="O126" s="19">
        <v>69.36</v>
      </c>
      <c r="P126" s="19">
        <f t="shared" si="43"/>
        <v>0.17074465370595382</v>
      </c>
      <c r="Q126" s="19">
        <f t="shared" si="44"/>
        <v>1.0507363304981775E-2</v>
      </c>
      <c r="R126" s="19">
        <f t="shared" si="45"/>
        <v>32.449210206561361</v>
      </c>
      <c r="S126" s="19">
        <f t="shared" si="46"/>
        <v>2.7470230862697451E-14</v>
      </c>
      <c r="T126" s="83">
        <f t="shared" si="47"/>
        <v>73.02127264876377</v>
      </c>
    </row>
    <row r="127" spans="1:20">
      <c r="A127" s="9" t="s">
        <v>1091</v>
      </c>
      <c r="B127" s="9" t="s">
        <v>11</v>
      </c>
      <c r="C127">
        <v>957</v>
      </c>
      <c r="D127">
        <v>1.05</v>
      </c>
      <c r="E127">
        <v>0.14099999999999999</v>
      </c>
      <c r="F127">
        <v>1.05</v>
      </c>
      <c r="G127" s="1">
        <f t="shared" si="24"/>
        <v>2.5238999999999997E-5</v>
      </c>
      <c r="H127" s="19">
        <f t="shared" si="37"/>
        <v>-1.446808414337788E-4</v>
      </c>
      <c r="I127" s="1">
        <f t="shared" si="38"/>
        <v>1.8752999999999999E-7</v>
      </c>
      <c r="J127" s="1">
        <f t="shared" si="39"/>
        <v>3.7505999999999996E-5</v>
      </c>
      <c r="K127" s="19">
        <f t="shared" si="40"/>
        <v>6.3896901579586877E-3</v>
      </c>
      <c r="L127" s="19">
        <f t="shared" si="41"/>
        <v>3.9981204131227219</v>
      </c>
      <c r="M127" s="19">
        <f t="shared" si="42"/>
        <v>1.3692193195625758E-4</v>
      </c>
      <c r="N127" s="19">
        <f t="shared" si="31"/>
        <v>1.8728799615228837E-2</v>
      </c>
      <c r="O127" s="19">
        <v>70.36</v>
      </c>
      <c r="P127" s="19">
        <f t="shared" si="43"/>
        <v>0.75649367405832324</v>
      </c>
      <c r="Q127" s="19">
        <f t="shared" si="44"/>
        <v>4.6553456865127581E-2</v>
      </c>
      <c r="R127" s="19">
        <f t="shared" si="45"/>
        <v>143.7680285540705</v>
      </c>
      <c r="S127" s="19">
        <f t="shared" si="46"/>
        <v>1.2170838396111787E-13</v>
      </c>
      <c r="T127" s="83">
        <f t="shared" si="47"/>
        <v>267.59022127696136</v>
      </c>
    </row>
    <row r="128" spans="1:20">
      <c r="A128" s="9" t="s">
        <v>1092</v>
      </c>
      <c r="B128" s="9" t="s">
        <v>11</v>
      </c>
      <c r="C128">
        <v>83</v>
      </c>
      <c r="D128">
        <v>1.1000000000000001</v>
      </c>
      <c r="E128">
        <v>2.3E-2</v>
      </c>
      <c r="F128">
        <v>1.1000000000000001</v>
      </c>
      <c r="G128" s="1">
        <f t="shared" si="24"/>
        <v>4.1169999999999997E-6</v>
      </c>
      <c r="H128" s="19">
        <f t="shared" si="37"/>
        <v>-1.2548077156743618E-5</v>
      </c>
      <c r="I128" s="1">
        <f t="shared" si="38"/>
        <v>3.0589999999999998E-8</v>
      </c>
      <c r="J128" s="1">
        <f t="shared" si="39"/>
        <v>6.1180000000000005E-6</v>
      </c>
      <c r="K128" s="19">
        <f t="shared" si="40"/>
        <v>5.5417375455650065E-4</v>
      </c>
      <c r="L128" s="19">
        <f t="shared" si="41"/>
        <v>0.34675443499392467</v>
      </c>
      <c r="M128" s="19">
        <f t="shared" si="42"/>
        <v>1.1875151883353585E-5</v>
      </c>
      <c r="N128" s="19">
        <f t="shared" si="31"/>
        <v>1.8728799615228837E-2</v>
      </c>
      <c r="O128" s="19">
        <v>71.36</v>
      </c>
      <c r="P128" s="19">
        <f t="shared" si="43"/>
        <v>6.5610214155528548E-2</v>
      </c>
      <c r="Q128" s="19">
        <f t="shared" si="44"/>
        <v>4.0375516403402187E-3</v>
      </c>
      <c r="R128" s="19">
        <f t="shared" si="45"/>
        <v>12.468909477521265</v>
      </c>
      <c r="S128" s="19">
        <f t="shared" si="46"/>
        <v>1.0555690562980964E-14</v>
      </c>
      <c r="T128" s="83">
        <f t="shared" si="47"/>
        <v>38.42412088911292</v>
      </c>
    </row>
    <row r="129" spans="1:20">
      <c r="A129" s="9" t="s">
        <v>1093</v>
      </c>
      <c r="B129" s="9" t="s">
        <v>11</v>
      </c>
      <c r="C129">
        <v>322</v>
      </c>
      <c r="D129">
        <v>1.05</v>
      </c>
      <c r="E129">
        <v>4.7E-2</v>
      </c>
      <c r="F129">
        <v>1.05</v>
      </c>
      <c r="G129" s="1">
        <f t="shared" si="24"/>
        <v>8.4129999999999989E-6</v>
      </c>
      <c r="H129" s="19">
        <f t="shared" si="37"/>
        <v>-4.8680492102065601E-5</v>
      </c>
      <c r="I129" s="1">
        <f t="shared" si="38"/>
        <v>6.2509999999999995E-8</v>
      </c>
      <c r="J129" s="1">
        <f t="shared" si="39"/>
        <v>1.2502E-5</v>
      </c>
      <c r="K129" s="19">
        <f t="shared" si="40"/>
        <v>2.1499270959902794E-3</v>
      </c>
      <c r="L129" s="19">
        <f t="shared" si="41"/>
        <v>1.3452400972053464</v>
      </c>
      <c r="M129" s="19">
        <f t="shared" si="42"/>
        <v>4.6069866342648847E-5</v>
      </c>
      <c r="N129" s="19">
        <f t="shared" si="31"/>
        <v>1.8728799615228837E-2</v>
      </c>
      <c r="O129" s="19">
        <v>72.36</v>
      </c>
      <c r="P129" s="19">
        <f t="shared" si="43"/>
        <v>0.25453601154313488</v>
      </c>
      <c r="Q129" s="19">
        <f t="shared" si="44"/>
        <v>1.5663754556500608E-2</v>
      </c>
      <c r="R129" s="19">
        <f t="shared" si="45"/>
        <v>48.373359659781293</v>
      </c>
      <c r="S129" s="19">
        <f t="shared" si="46"/>
        <v>4.0950992304576756E-14</v>
      </c>
      <c r="T129" s="83">
        <f t="shared" si="47"/>
        <v>101.23051303091107</v>
      </c>
    </row>
    <row r="130" spans="1:20">
      <c r="A130" s="9" t="s">
        <v>1094</v>
      </c>
      <c r="B130" s="9" t="s">
        <v>11</v>
      </c>
      <c r="C130">
        <v>966</v>
      </c>
      <c r="D130">
        <v>1.02</v>
      </c>
      <c r="E130">
        <v>0.14099999999999999</v>
      </c>
      <c r="F130">
        <v>1.02</v>
      </c>
      <c r="G130" s="1">
        <f t="shared" si="24"/>
        <v>2.5238999999999997E-5</v>
      </c>
      <c r="H130" s="19">
        <f t="shared" si="37"/>
        <v>-1.4604147630619679E-4</v>
      </c>
      <c r="I130" s="1">
        <f t="shared" si="38"/>
        <v>1.8752999999999999E-7</v>
      </c>
      <c r="J130" s="1">
        <f t="shared" si="39"/>
        <v>3.7505999999999996E-5</v>
      </c>
      <c r="K130" s="19">
        <f t="shared" si="40"/>
        <v>6.4497812879708381E-3</v>
      </c>
      <c r="L130" s="19">
        <f t="shared" si="41"/>
        <v>4.0357202916160393</v>
      </c>
      <c r="M130" s="19">
        <f t="shared" si="42"/>
        <v>1.3820959902794653E-4</v>
      </c>
      <c r="N130" s="19">
        <f t="shared" si="31"/>
        <v>1.8728799615228837E-2</v>
      </c>
      <c r="O130" s="19">
        <v>73.36</v>
      </c>
      <c r="P130" s="19">
        <f t="shared" si="43"/>
        <v>0.76360803462940463</v>
      </c>
      <c r="Q130" s="19">
        <f t="shared" si="44"/>
        <v>4.699126366950182E-2</v>
      </c>
      <c r="R130" s="19">
        <f t="shared" si="45"/>
        <v>145.12007897934387</v>
      </c>
      <c r="S130" s="19">
        <f t="shared" si="46"/>
        <v>1.2285297691373026E-13</v>
      </c>
      <c r="T130" s="83">
        <f t="shared" si="47"/>
        <v>270.61990724026248</v>
      </c>
    </row>
    <row r="131" spans="1:20">
      <c r="A131" s="9" t="s">
        <v>1095</v>
      </c>
      <c r="B131" s="9" t="s">
        <v>11</v>
      </c>
      <c r="C131">
        <v>131</v>
      </c>
      <c r="D131">
        <v>1.1000000000000001</v>
      </c>
      <c r="E131">
        <v>2.8000000000000001E-2</v>
      </c>
      <c r="F131">
        <v>1.1000000000000001</v>
      </c>
      <c r="G131" s="1">
        <f t="shared" ref="G131:G194" si="48">E131*0.000179</f>
        <v>5.0119999999999996E-6</v>
      </c>
      <c r="H131" s="19">
        <f t="shared" si="37"/>
        <v>-1.9804796476306192E-5</v>
      </c>
      <c r="I131" s="1">
        <f t="shared" si="38"/>
        <v>3.7240000000000001E-8</v>
      </c>
      <c r="J131" s="1">
        <f t="shared" si="39"/>
        <v>7.4480000000000005E-6</v>
      </c>
      <c r="K131" s="19">
        <f t="shared" si="40"/>
        <v>8.746597812879708E-4</v>
      </c>
      <c r="L131" s="19">
        <f t="shared" si="41"/>
        <v>0.54728712029161608</v>
      </c>
      <c r="M131" s="19">
        <f t="shared" si="42"/>
        <v>1.8742709599027945E-5</v>
      </c>
      <c r="N131" s="19">
        <f t="shared" si="31"/>
        <v>1.8728799615228837E-2</v>
      </c>
      <c r="O131" s="19">
        <v>74.36</v>
      </c>
      <c r="P131" s="19">
        <f t="shared" si="43"/>
        <v>0.1035534705346294</v>
      </c>
      <c r="Q131" s="19">
        <f t="shared" si="44"/>
        <v>6.3725212636695019E-3</v>
      </c>
      <c r="R131" s="19">
        <f t="shared" si="45"/>
        <v>19.679845078979344</v>
      </c>
      <c r="S131" s="19">
        <f t="shared" si="46"/>
        <v>1.6660186310247066E-14</v>
      </c>
      <c r="T131" s="83">
        <f t="shared" si="47"/>
        <v>51.685098435219231</v>
      </c>
    </row>
    <row r="132" spans="1:20">
      <c r="A132" s="9" t="s">
        <v>1096</v>
      </c>
      <c r="B132" s="9" t="s">
        <v>11</v>
      </c>
      <c r="C132">
        <v>108</v>
      </c>
      <c r="D132">
        <v>1.1000000000000001</v>
      </c>
      <c r="E132">
        <v>2.1999999999999999E-2</v>
      </c>
      <c r="F132">
        <v>1.1000000000000001</v>
      </c>
      <c r="G132" s="1">
        <f t="shared" si="48"/>
        <v>3.9379999999999994E-6</v>
      </c>
      <c r="H132" s="19">
        <f t="shared" si="37"/>
        <v>-1.6327618469015792E-5</v>
      </c>
      <c r="I132" s="1">
        <f t="shared" si="38"/>
        <v>2.9259999999999999E-8</v>
      </c>
      <c r="J132" s="1">
        <f t="shared" si="39"/>
        <v>5.852E-6</v>
      </c>
      <c r="K132" s="19">
        <f t="shared" si="40"/>
        <v>7.2109356014580801E-4</v>
      </c>
      <c r="L132" s="19">
        <f t="shared" si="41"/>
        <v>0.45119854191980563</v>
      </c>
      <c r="M132" s="19">
        <f t="shared" si="42"/>
        <v>1.5452004860267313E-5</v>
      </c>
      <c r="N132" s="19">
        <f t="shared" si="31"/>
        <v>1.8728799615228837E-2</v>
      </c>
      <c r="O132" s="19">
        <v>75.36</v>
      </c>
      <c r="P132" s="19">
        <f t="shared" si="43"/>
        <v>8.537232685297691E-2</v>
      </c>
      <c r="Q132" s="19">
        <f t="shared" si="44"/>
        <v>5.2536816524908873E-3</v>
      </c>
      <c r="R132" s="19">
        <f t="shared" si="45"/>
        <v>16.22460510328068</v>
      </c>
      <c r="S132" s="19">
        <f t="shared" si="46"/>
        <v>1.3735115431348726E-14</v>
      </c>
      <c r="T132" s="83">
        <f t="shared" si="47"/>
        <v>45.824718083249536</v>
      </c>
    </row>
    <row r="133" spans="1:20">
      <c r="A133" s="9" t="s">
        <v>1097</v>
      </c>
      <c r="B133" s="9" t="s">
        <v>11</v>
      </c>
      <c r="C133">
        <v>1090</v>
      </c>
      <c r="D133">
        <v>1.02</v>
      </c>
      <c r="E133">
        <v>0.17399999999999999</v>
      </c>
      <c r="F133">
        <v>1.02</v>
      </c>
      <c r="G133" s="1">
        <f t="shared" si="48"/>
        <v>3.1145999999999996E-5</v>
      </c>
      <c r="H133" s="19">
        <f t="shared" si="37"/>
        <v>-1.6478800121506678E-4</v>
      </c>
      <c r="I133" s="1">
        <f t="shared" si="38"/>
        <v>2.3141999999999999E-7</v>
      </c>
      <c r="J133" s="1">
        <f t="shared" si="39"/>
        <v>4.6283999999999999E-5</v>
      </c>
      <c r="K133" s="19">
        <f t="shared" si="40"/>
        <v>7.2777035236938036E-3</v>
      </c>
      <c r="L133" s="19">
        <f t="shared" si="41"/>
        <v>4.5537630619684082</v>
      </c>
      <c r="M133" s="19">
        <f t="shared" si="42"/>
        <v>1.5595078979343863E-4</v>
      </c>
      <c r="N133" s="19">
        <f t="shared" si="31"/>
        <v>1.8728799615228837E-2</v>
      </c>
      <c r="O133" s="19">
        <v>76.36</v>
      </c>
      <c r="P133" s="19">
        <f t="shared" si="43"/>
        <v>0.86162811360874847</v>
      </c>
      <c r="Q133" s="19">
        <f t="shared" si="44"/>
        <v>5.3023268529769137E-2</v>
      </c>
      <c r="R133" s="19">
        <f t="shared" si="45"/>
        <v>163.74832928311059</v>
      </c>
      <c r="S133" s="19">
        <f t="shared" si="46"/>
        <v>1.3862292426083434E-13</v>
      </c>
      <c r="T133" s="83">
        <f t="shared" si="47"/>
        <v>304.1570864085121</v>
      </c>
    </row>
    <row r="134" spans="1:20">
      <c r="A134" s="9" t="s">
        <v>1098</v>
      </c>
      <c r="B134" s="9" t="s">
        <v>11</v>
      </c>
      <c r="C134">
        <v>1006</v>
      </c>
      <c r="D134">
        <v>1.02</v>
      </c>
      <c r="E134">
        <v>9.6000000000000002E-2</v>
      </c>
      <c r="F134">
        <v>1.02</v>
      </c>
      <c r="G134" s="1">
        <f t="shared" si="48"/>
        <v>1.7184E-5</v>
      </c>
      <c r="H134" s="19">
        <f t="shared" si="37"/>
        <v>-1.5208874240583227E-4</v>
      </c>
      <c r="I134" s="1">
        <f t="shared" si="38"/>
        <v>1.2767999999999999E-7</v>
      </c>
      <c r="J134" s="1">
        <f t="shared" si="39"/>
        <v>2.5536000000000001E-5</v>
      </c>
      <c r="K134" s="19">
        <f t="shared" si="40"/>
        <v>6.7168529769137302E-3</v>
      </c>
      <c r="L134" s="19">
        <f t="shared" si="41"/>
        <v>4.2028308626974491</v>
      </c>
      <c r="M134" s="19">
        <f t="shared" si="42"/>
        <v>1.439325637910085E-4</v>
      </c>
      <c r="N134" s="19">
        <f t="shared" si="31"/>
        <v>1.8728799615228837E-2</v>
      </c>
      <c r="O134" s="19">
        <v>77.36</v>
      </c>
      <c r="P134" s="19">
        <f t="shared" si="43"/>
        <v>0.79522741494532201</v>
      </c>
      <c r="Q134" s="19">
        <f t="shared" si="44"/>
        <v>4.8937071688942894E-2</v>
      </c>
      <c r="R134" s="19">
        <f t="shared" si="45"/>
        <v>151.12919198055894</v>
      </c>
      <c r="S134" s="19">
        <f t="shared" si="46"/>
        <v>1.2794005670311869E-13</v>
      </c>
      <c r="T134" s="83">
        <f t="shared" si="47"/>
        <v>281.10463984510119</v>
      </c>
    </row>
    <row r="135" spans="1:20">
      <c r="A135" s="9" t="s">
        <v>1099</v>
      </c>
      <c r="B135" s="9" t="s">
        <v>11</v>
      </c>
      <c r="C135">
        <v>743</v>
      </c>
      <c r="D135">
        <v>1.03</v>
      </c>
      <c r="E135">
        <v>0.11899999999999999</v>
      </c>
      <c r="F135">
        <v>1.03</v>
      </c>
      <c r="G135" s="1">
        <f t="shared" si="48"/>
        <v>2.1300999999999998E-5</v>
      </c>
      <c r="H135" s="19">
        <f t="shared" si="37"/>
        <v>-1.12327967800729E-4</v>
      </c>
      <c r="I135" s="1">
        <f t="shared" si="38"/>
        <v>1.5827E-7</v>
      </c>
      <c r="J135" s="1">
        <f t="shared" si="39"/>
        <v>3.1653999999999999E-5</v>
      </c>
      <c r="K135" s="19">
        <f t="shared" si="40"/>
        <v>4.9608566221142165E-3</v>
      </c>
      <c r="L135" s="19">
        <f t="shared" si="41"/>
        <v>3.1040788578371812</v>
      </c>
      <c r="M135" s="19">
        <f t="shared" si="42"/>
        <v>1.0630407047387606E-4</v>
      </c>
      <c r="N135" s="19">
        <f t="shared" si="31"/>
        <v>1.8728799615228837E-2</v>
      </c>
      <c r="O135" s="19">
        <v>78.36</v>
      </c>
      <c r="P135" s="19">
        <f t="shared" si="43"/>
        <v>0.58732998936816527</v>
      </c>
      <c r="Q135" s="19">
        <f t="shared" si="44"/>
        <v>3.614338396111786E-2</v>
      </c>
      <c r="R135" s="19">
        <f t="shared" si="45"/>
        <v>111.61927399756988</v>
      </c>
      <c r="S135" s="19">
        <f t="shared" si="46"/>
        <v>9.4492507087889839E-14</v>
      </c>
      <c r="T135" s="83">
        <f t="shared" si="47"/>
        <v>213.39001777439981</v>
      </c>
    </row>
    <row r="136" spans="1:20">
      <c r="A136" s="9" t="s">
        <v>1100</v>
      </c>
      <c r="B136" s="9" t="s">
        <v>11</v>
      </c>
      <c r="C136">
        <v>794</v>
      </c>
      <c r="D136">
        <v>1.03</v>
      </c>
      <c r="E136">
        <v>0.11700000000000001</v>
      </c>
      <c r="F136">
        <v>1.03</v>
      </c>
      <c r="G136" s="1">
        <f t="shared" si="48"/>
        <v>2.0942999999999999E-5</v>
      </c>
      <c r="H136" s="19">
        <f t="shared" si="37"/>
        <v>-1.2003823207776424E-4</v>
      </c>
      <c r="I136" s="1">
        <f t="shared" si="38"/>
        <v>1.5561E-7</v>
      </c>
      <c r="J136" s="1">
        <f t="shared" si="39"/>
        <v>3.1122000000000005E-5</v>
      </c>
      <c r="K136" s="19">
        <f t="shared" si="40"/>
        <v>5.3013730255164031E-3</v>
      </c>
      <c r="L136" s="19">
        <f t="shared" si="41"/>
        <v>3.3171448359659785</v>
      </c>
      <c r="M136" s="19">
        <f t="shared" si="42"/>
        <v>1.1360085054678007E-4</v>
      </c>
      <c r="N136" s="19">
        <f t="shared" si="31"/>
        <v>1.8728799615228837E-2</v>
      </c>
      <c r="O136" s="19">
        <v>79.36</v>
      </c>
      <c r="P136" s="19">
        <f t="shared" si="43"/>
        <v>0.62764469927095989</v>
      </c>
      <c r="Q136" s="19">
        <f t="shared" si="44"/>
        <v>3.8624289185905228E-2</v>
      </c>
      <c r="R136" s="19">
        <f t="shared" si="45"/>
        <v>119.28089307411909</v>
      </c>
      <c r="S136" s="19">
        <f t="shared" si="46"/>
        <v>1.0097853381936007E-13</v>
      </c>
      <c r="T136" s="83">
        <f t="shared" si="47"/>
        <v>226.84117726970655</v>
      </c>
    </row>
    <row r="137" spans="1:20">
      <c r="A137" s="9" t="s">
        <v>1101</v>
      </c>
      <c r="B137" s="9" t="s">
        <v>11</v>
      </c>
      <c r="C137">
        <v>580</v>
      </c>
      <c r="D137">
        <v>1.03</v>
      </c>
      <c r="E137">
        <v>0.126</v>
      </c>
      <c r="F137">
        <v>1.03</v>
      </c>
      <c r="G137" s="1">
        <f t="shared" si="48"/>
        <v>2.2553999999999998E-5</v>
      </c>
      <c r="H137" s="19">
        <f t="shared" si="37"/>
        <v>-8.7685358444714433E-5</v>
      </c>
      <c r="I137" s="1">
        <f t="shared" si="38"/>
        <v>1.6758E-7</v>
      </c>
      <c r="J137" s="1">
        <f t="shared" si="39"/>
        <v>3.3516000000000002E-5</v>
      </c>
      <c r="K137" s="19">
        <f t="shared" si="40"/>
        <v>3.8725394896719318E-3</v>
      </c>
      <c r="L137" s="19">
        <f t="shared" si="41"/>
        <v>2.4231032806804378</v>
      </c>
      <c r="M137" s="19">
        <f t="shared" si="42"/>
        <v>8.2982989064398537E-5</v>
      </c>
      <c r="N137" s="19">
        <f t="shared" si="31"/>
        <v>1.8728799615228837E-2</v>
      </c>
      <c r="O137" s="19">
        <v>80.36</v>
      </c>
      <c r="P137" s="19">
        <f t="shared" si="43"/>
        <v>0.45848101458080193</v>
      </c>
      <c r="Q137" s="19">
        <f t="shared" si="44"/>
        <v>2.8214216281895504E-2</v>
      </c>
      <c r="R137" s="19">
        <f t="shared" si="45"/>
        <v>87.132138517618472</v>
      </c>
      <c r="S137" s="19">
        <f t="shared" si="46"/>
        <v>7.3762656946132047E-14</v>
      </c>
      <c r="T137" s="83">
        <f t="shared" si="47"/>
        <v>171.60541869984502</v>
      </c>
    </row>
    <row r="138" spans="1:20">
      <c r="A138" s="9" t="s">
        <v>1102</v>
      </c>
      <c r="B138" s="9" t="s">
        <v>11</v>
      </c>
      <c r="C138">
        <v>934</v>
      </c>
      <c r="D138">
        <v>1.02</v>
      </c>
      <c r="E138">
        <v>9.4E-2</v>
      </c>
      <c r="F138">
        <v>1.02</v>
      </c>
      <c r="G138" s="1">
        <f t="shared" si="48"/>
        <v>1.6825999999999998E-5</v>
      </c>
      <c r="H138" s="19">
        <f t="shared" ref="H138:H195" si="49">CO2_YLL_charfact*C138</f>
        <v>-1.4120366342648842E-4</v>
      </c>
      <c r="I138" s="1">
        <f t="shared" ref="I138:I195" si="50">E138*0.00000133</f>
        <v>1.2501999999999999E-7</v>
      </c>
      <c r="J138" s="1">
        <f t="shared" ref="J138:J195" si="51">E138*0.000266</f>
        <v>2.5004E-5</v>
      </c>
      <c r="K138" s="19">
        <f t="shared" ref="K138:K195" si="52">CO2_severewasting_charfact*C138</f>
        <v>6.2361239368165251E-3</v>
      </c>
      <c r="L138" s="19">
        <f t="shared" ref="L138:L195" si="53">CO2_workingcapacity_charfact*C138</f>
        <v>3.9020318347509115</v>
      </c>
      <c r="M138" s="19">
        <f t="shared" ref="M138:M195" si="54">CO2_diarrhea_charfact*C138</f>
        <v>1.3363122721749696E-4</v>
      </c>
      <c r="N138" s="19">
        <f t="shared" si="31"/>
        <v>1.8728799615228837E-2</v>
      </c>
      <c r="O138" s="19">
        <v>82.36</v>
      </c>
      <c r="P138" s="19">
        <f t="shared" ref="P138:P195" si="55">CO2_meat_charfact*C138</f>
        <v>0.73831253037667066</v>
      </c>
      <c r="Q138" s="19">
        <f t="shared" ref="Q138:Q195" si="56">CO2_fish_charfact*C138</f>
        <v>4.543461725394897E-2</v>
      </c>
      <c r="R138" s="19">
        <f t="shared" ref="R138:R195" si="57">CO2_drinkingwater_charfact*C138</f>
        <v>140.31278857837182</v>
      </c>
      <c r="S138" s="19">
        <f t="shared" ref="S138:S195" si="58">CO2_NEX_charfact*C138</f>
        <v>1.1878331308221953E-13</v>
      </c>
      <c r="T138" s="83">
        <f t="shared" ref="T138:T195" si="59">(G138+H138)*YLLvalue+I138*skincancervalue+J138*Lowvisionvalue+K138*severe_wasting_value+L138*working_capacity+M138*diarrhea_value+N138*cropvalue+O138*woodvalue+P138*meatvalue+Q138*fishvalue+R138*drinkingwatervalue+S138*speciesvalue</f>
        <v>263.50009117529163</v>
      </c>
    </row>
    <row r="139" spans="1:20">
      <c r="A139" s="9" t="s">
        <v>1103</v>
      </c>
      <c r="B139" s="9" t="s">
        <v>11</v>
      </c>
      <c r="C139">
        <v>320</v>
      </c>
      <c r="D139">
        <v>1.05</v>
      </c>
      <c r="E139">
        <v>2.5000000000000001E-2</v>
      </c>
      <c r="F139">
        <v>1.05</v>
      </c>
      <c r="G139" s="1">
        <f t="shared" si="48"/>
        <v>4.4749999999999995E-6</v>
      </c>
      <c r="H139" s="19">
        <f t="shared" si="49"/>
        <v>-4.8378128797083828E-5</v>
      </c>
      <c r="I139" s="1">
        <f t="shared" si="50"/>
        <v>3.3250000000000003E-8</v>
      </c>
      <c r="J139" s="1">
        <f t="shared" si="51"/>
        <v>6.6500000000000007E-6</v>
      </c>
      <c r="K139" s="19">
        <f t="shared" si="52"/>
        <v>2.1365735115431348E-3</v>
      </c>
      <c r="L139" s="19">
        <f t="shared" si="53"/>
        <v>1.3368845686512758</v>
      </c>
      <c r="M139" s="19">
        <f t="shared" si="54"/>
        <v>4.5783718104495747E-5</v>
      </c>
      <c r="N139" s="19">
        <f t="shared" si="31"/>
        <v>1.8728799615228837E-2</v>
      </c>
      <c r="O139" s="19">
        <v>83.36</v>
      </c>
      <c r="P139" s="19">
        <f t="shared" si="55"/>
        <v>0.25295504252733902</v>
      </c>
      <c r="Q139" s="19">
        <f t="shared" si="56"/>
        <v>1.5566464155528554E-2</v>
      </c>
      <c r="R139" s="19">
        <f t="shared" si="57"/>
        <v>48.072904009720538</v>
      </c>
      <c r="S139" s="19">
        <f t="shared" si="58"/>
        <v>4.0696638315107332E-14</v>
      </c>
      <c r="T139" s="83">
        <f t="shared" si="59"/>
        <v>102.83291221944414</v>
      </c>
    </row>
    <row r="140" spans="1:20">
      <c r="A140" s="9" t="s">
        <v>1104</v>
      </c>
      <c r="B140" s="9" t="s">
        <v>11</v>
      </c>
      <c r="C140">
        <v>1526</v>
      </c>
      <c r="D140">
        <v>1.02</v>
      </c>
      <c r="E140">
        <v>6.9000000000000006E-2</v>
      </c>
      <c r="F140">
        <v>1.02</v>
      </c>
      <c r="G140" s="1">
        <f t="shared" si="48"/>
        <v>1.2351000000000001E-5</v>
      </c>
      <c r="H140" s="19">
        <f t="shared" si="49"/>
        <v>-2.3070320170109348E-4</v>
      </c>
      <c r="I140" s="1">
        <f t="shared" si="50"/>
        <v>9.1770000000000007E-8</v>
      </c>
      <c r="J140" s="1">
        <f t="shared" si="51"/>
        <v>1.8354000000000004E-5</v>
      </c>
      <c r="K140" s="19">
        <f t="shared" si="52"/>
        <v>1.0188784933171324E-2</v>
      </c>
      <c r="L140" s="19">
        <f t="shared" si="53"/>
        <v>6.3752682867557722</v>
      </c>
      <c r="M140" s="19">
        <f t="shared" si="54"/>
        <v>2.1833110571081409E-4</v>
      </c>
      <c r="N140" s="19">
        <f t="shared" si="31"/>
        <v>1.8728799615228837E-2</v>
      </c>
      <c r="O140" s="19">
        <v>84.36</v>
      </c>
      <c r="P140" s="19">
        <f t="shared" si="55"/>
        <v>1.2062793590522478</v>
      </c>
      <c r="Q140" s="19">
        <f t="shared" si="56"/>
        <v>7.4232575941676787E-2</v>
      </c>
      <c r="R140" s="19">
        <f t="shared" si="57"/>
        <v>229.24766099635482</v>
      </c>
      <c r="S140" s="19">
        <f t="shared" si="58"/>
        <v>1.9407209396516811E-13</v>
      </c>
      <c r="T140" s="83">
        <f t="shared" si="59"/>
        <v>417.39617249660284</v>
      </c>
    </row>
    <row r="141" spans="1:20">
      <c r="A141" s="9" t="s">
        <v>1105</v>
      </c>
      <c r="B141" s="9" t="s">
        <v>11</v>
      </c>
      <c r="C141">
        <v>137</v>
      </c>
      <c r="D141">
        <v>1.05</v>
      </c>
      <c r="E141">
        <v>0.02</v>
      </c>
      <c r="F141">
        <v>1.05</v>
      </c>
      <c r="G141" s="1">
        <f t="shared" si="48"/>
        <v>3.5799999999999996E-6</v>
      </c>
      <c r="H141" s="19">
        <f t="shared" si="49"/>
        <v>-2.0711886391251514E-5</v>
      </c>
      <c r="I141" s="1">
        <f t="shared" si="50"/>
        <v>2.66E-8</v>
      </c>
      <c r="J141" s="1">
        <f t="shared" si="51"/>
        <v>5.3200000000000007E-6</v>
      </c>
      <c r="K141" s="19">
        <f t="shared" si="52"/>
        <v>9.147205346294046E-4</v>
      </c>
      <c r="L141" s="19">
        <f t="shared" si="53"/>
        <v>0.57235370595382751</v>
      </c>
      <c r="M141" s="19">
        <f t="shared" si="54"/>
        <v>1.9601154313487242E-5</v>
      </c>
      <c r="N141" s="19">
        <f t="shared" si="31"/>
        <v>1.8728799615228837E-2</v>
      </c>
      <c r="O141" s="19">
        <v>85.36</v>
      </c>
      <c r="P141" s="19">
        <f t="shared" si="55"/>
        <v>0.108296377582017</v>
      </c>
      <c r="Q141" s="19">
        <f t="shared" si="56"/>
        <v>6.6643924665856624E-3</v>
      </c>
      <c r="R141" s="19">
        <f t="shared" si="57"/>
        <v>20.581212029161605</v>
      </c>
      <c r="S141" s="19">
        <f t="shared" si="58"/>
        <v>1.7423248278655329E-14</v>
      </c>
      <c r="T141" s="83">
        <f t="shared" si="59"/>
        <v>55.626645223820034</v>
      </c>
    </row>
    <row r="142" spans="1:20">
      <c r="A142" s="9" t="s">
        <v>1106</v>
      </c>
      <c r="B142" s="9" t="s">
        <v>11</v>
      </c>
      <c r="C142">
        <v>568</v>
      </c>
      <c r="D142">
        <v>1.1000000000000001</v>
      </c>
      <c r="E142">
        <v>3.4000000000000002E-2</v>
      </c>
      <c r="F142">
        <v>1.1000000000000001</v>
      </c>
      <c r="G142" s="1">
        <f t="shared" si="48"/>
        <v>6.0859999999999998E-6</v>
      </c>
      <c r="H142" s="19">
        <f t="shared" si="49"/>
        <v>-8.5871178614823783E-5</v>
      </c>
      <c r="I142" s="1">
        <f t="shared" si="50"/>
        <v>4.5220000000000004E-8</v>
      </c>
      <c r="J142" s="1">
        <f t="shared" si="51"/>
        <v>9.0440000000000018E-6</v>
      </c>
      <c r="K142" s="19">
        <f t="shared" si="52"/>
        <v>3.7924179829890645E-3</v>
      </c>
      <c r="L142" s="19">
        <f t="shared" si="53"/>
        <v>2.3729701093560149</v>
      </c>
      <c r="M142" s="19">
        <f t="shared" si="54"/>
        <v>8.1266099635479952E-5</v>
      </c>
      <c r="N142" s="19">
        <f t="shared" si="31"/>
        <v>1.8728799615228837E-2</v>
      </c>
      <c r="O142" s="19">
        <v>86.36</v>
      </c>
      <c r="P142" s="19">
        <f t="shared" si="55"/>
        <v>0.4489952004860267</v>
      </c>
      <c r="Q142" s="19">
        <f t="shared" si="56"/>
        <v>2.7630473876063183E-2</v>
      </c>
      <c r="R142" s="19">
        <f t="shared" si="57"/>
        <v>85.329404617253957</v>
      </c>
      <c r="S142" s="19">
        <f t="shared" si="58"/>
        <v>7.2236533009315516E-14</v>
      </c>
      <c r="T142" s="83">
        <f t="shared" si="59"/>
        <v>168.16103309904341</v>
      </c>
    </row>
    <row r="143" spans="1:20">
      <c r="A143" s="9" t="s">
        <v>1107</v>
      </c>
      <c r="B143" s="9" t="s">
        <v>11</v>
      </c>
      <c r="C143">
        <v>1458</v>
      </c>
      <c r="D143">
        <v>1.02</v>
      </c>
      <c r="E143">
        <v>0.11</v>
      </c>
      <c r="F143">
        <v>1.02</v>
      </c>
      <c r="G143" s="1">
        <f t="shared" si="48"/>
        <v>1.969E-5</v>
      </c>
      <c r="H143" s="19">
        <f t="shared" si="49"/>
        <v>-2.2042284933171318E-4</v>
      </c>
      <c r="I143" s="1">
        <f t="shared" si="50"/>
        <v>1.4630000000000001E-7</v>
      </c>
      <c r="J143" s="1">
        <f t="shared" si="51"/>
        <v>2.9260000000000001E-5</v>
      </c>
      <c r="K143" s="19">
        <f t="shared" si="52"/>
        <v>9.7347630619684083E-3</v>
      </c>
      <c r="L143" s="19">
        <f t="shared" si="53"/>
        <v>6.0911803159173763</v>
      </c>
      <c r="M143" s="19">
        <f t="shared" si="54"/>
        <v>2.0860206561360874E-4</v>
      </c>
      <c r="N143" s="19">
        <f t="shared" si="31"/>
        <v>1.8728799615228837E-2</v>
      </c>
      <c r="O143" s="19">
        <v>87.36</v>
      </c>
      <c r="P143" s="19">
        <f t="shared" si="55"/>
        <v>1.1525264125151884</v>
      </c>
      <c r="Q143" s="19">
        <f t="shared" si="56"/>
        <v>7.0924702308626977E-2</v>
      </c>
      <c r="R143" s="19">
        <f t="shared" si="57"/>
        <v>219.03216889428921</v>
      </c>
      <c r="S143" s="19">
        <f t="shared" si="58"/>
        <v>1.8542405832320779E-13</v>
      </c>
      <c r="T143" s="83">
        <f t="shared" si="59"/>
        <v>401.16829496802734</v>
      </c>
    </row>
    <row r="144" spans="1:20">
      <c r="A144" s="9" t="s">
        <v>1108</v>
      </c>
      <c r="B144" s="9" t="s">
        <v>11</v>
      </c>
      <c r="C144">
        <v>1476</v>
      </c>
      <c r="D144">
        <v>1.02</v>
      </c>
      <c r="E144">
        <v>7.0999999999999994E-2</v>
      </c>
      <c r="F144">
        <v>1.02</v>
      </c>
      <c r="G144" s="1">
        <f t="shared" si="48"/>
        <v>1.2708999999999998E-5</v>
      </c>
      <c r="H144" s="19">
        <f t="shared" si="49"/>
        <v>-2.2314411907654915E-4</v>
      </c>
      <c r="I144" s="1">
        <f t="shared" si="50"/>
        <v>9.4429999999999993E-8</v>
      </c>
      <c r="J144" s="1">
        <f t="shared" si="51"/>
        <v>1.8885999999999998E-5</v>
      </c>
      <c r="K144" s="19">
        <f t="shared" si="52"/>
        <v>9.8549453219927089E-3</v>
      </c>
      <c r="L144" s="19">
        <f t="shared" si="53"/>
        <v>6.1663800729040101</v>
      </c>
      <c r="M144" s="19">
        <f t="shared" si="54"/>
        <v>2.1117739975698663E-4</v>
      </c>
      <c r="N144" s="19">
        <f t="shared" si="31"/>
        <v>1.8728799615228837E-2</v>
      </c>
      <c r="O144" s="19">
        <v>88.36</v>
      </c>
      <c r="P144" s="19">
        <f t="shared" si="55"/>
        <v>1.1667551336573512</v>
      </c>
      <c r="Q144" s="19">
        <f t="shared" si="56"/>
        <v>7.1800315917375457E-2</v>
      </c>
      <c r="R144" s="19">
        <f t="shared" si="57"/>
        <v>221.73626974483599</v>
      </c>
      <c r="S144" s="19">
        <f t="shared" si="58"/>
        <v>1.8771324422843257E-13</v>
      </c>
      <c r="T144" s="83">
        <f t="shared" si="59"/>
        <v>405.35497810832965</v>
      </c>
    </row>
    <row r="145" spans="1:20">
      <c r="A145" s="9" t="s">
        <v>1109</v>
      </c>
      <c r="B145" s="9" t="s">
        <v>11</v>
      </c>
      <c r="C145">
        <v>1562</v>
      </c>
      <c r="D145">
        <v>1.02</v>
      </c>
      <c r="E145">
        <v>6.8000000000000005E-2</v>
      </c>
      <c r="F145">
        <v>1.02</v>
      </c>
      <c r="G145" s="1">
        <f t="shared" si="48"/>
        <v>1.2172E-5</v>
      </c>
      <c r="H145" s="19">
        <f t="shared" si="49"/>
        <v>-2.3614574119076542E-4</v>
      </c>
      <c r="I145" s="1">
        <f t="shared" si="50"/>
        <v>9.0440000000000008E-8</v>
      </c>
      <c r="J145" s="1">
        <f t="shared" si="51"/>
        <v>1.8088000000000004E-5</v>
      </c>
      <c r="K145" s="19">
        <f t="shared" si="52"/>
        <v>1.0429149453219927E-2</v>
      </c>
      <c r="L145" s="19">
        <f t="shared" si="53"/>
        <v>6.5256678007290407</v>
      </c>
      <c r="M145" s="19">
        <f t="shared" si="54"/>
        <v>2.2348177399756988E-4</v>
      </c>
      <c r="N145" s="19">
        <f t="shared" si="31"/>
        <v>1.8728799615228837E-2</v>
      </c>
      <c r="O145" s="19">
        <v>89.36</v>
      </c>
      <c r="P145" s="19">
        <f t="shared" si="55"/>
        <v>1.2347368013365734</v>
      </c>
      <c r="Q145" s="19">
        <f t="shared" si="56"/>
        <v>7.598380315917376E-2</v>
      </c>
      <c r="R145" s="19">
        <f t="shared" si="57"/>
        <v>234.65586269744838</v>
      </c>
      <c r="S145" s="19">
        <f t="shared" si="58"/>
        <v>1.9865046577561766E-13</v>
      </c>
      <c r="T145" s="83">
        <f t="shared" si="59"/>
        <v>427.88638586810765</v>
      </c>
    </row>
    <row r="146" spans="1:20">
      <c r="A146" s="9" t="s">
        <v>1110</v>
      </c>
      <c r="B146" s="9" t="s">
        <v>11</v>
      </c>
      <c r="C146">
        <v>1154</v>
      </c>
      <c r="D146">
        <v>1.02</v>
      </c>
      <c r="E146">
        <v>6.8000000000000005E-2</v>
      </c>
      <c r="F146">
        <v>1.02</v>
      </c>
      <c r="G146" s="1">
        <f t="shared" si="48"/>
        <v>1.2172E-5</v>
      </c>
      <c r="H146" s="19">
        <f t="shared" si="49"/>
        <v>-1.7446362697448353E-4</v>
      </c>
      <c r="I146" s="1">
        <f t="shared" si="50"/>
        <v>9.0440000000000008E-8</v>
      </c>
      <c r="J146" s="1">
        <f t="shared" si="51"/>
        <v>1.8088000000000004E-5</v>
      </c>
      <c r="K146" s="19">
        <f t="shared" si="52"/>
        <v>7.7050182260024304E-3</v>
      </c>
      <c r="L146" s="19">
        <f t="shared" si="53"/>
        <v>4.8211399756986637</v>
      </c>
      <c r="M146" s="19">
        <f t="shared" si="54"/>
        <v>1.651075334143378E-4</v>
      </c>
      <c r="N146" s="19">
        <f t="shared" si="31"/>
        <v>1.8728799615228837E-2</v>
      </c>
      <c r="O146" s="19">
        <v>90.36</v>
      </c>
      <c r="P146" s="19">
        <f t="shared" si="55"/>
        <v>0.9122191221142163</v>
      </c>
      <c r="Q146" s="19">
        <f t="shared" si="56"/>
        <v>5.6136561360874852E-2</v>
      </c>
      <c r="R146" s="19">
        <f t="shared" si="57"/>
        <v>173.36291008505469</v>
      </c>
      <c r="S146" s="19">
        <f t="shared" si="58"/>
        <v>1.4676225192385583E-13</v>
      </c>
      <c r="T146" s="83">
        <f t="shared" si="59"/>
        <v>322.05062219845394</v>
      </c>
    </row>
    <row r="147" spans="1:20">
      <c r="A147" s="9" t="s">
        <v>1111</v>
      </c>
      <c r="B147" s="9" t="s">
        <v>11</v>
      </c>
      <c r="C147">
        <v>1480</v>
      </c>
      <c r="D147">
        <v>1.02</v>
      </c>
      <c r="E147">
        <v>1.9E-2</v>
      </c>
      <c r="F147">
        <v>1.02</v>
      </c>
      <c r="G147" s="1">
        <f t="shared" si="48"/>
        <v>3.4009999999999997E-6</v>
      </c>
      <c r="H147" s="19">
        <f t="shared" si="49"/>
        <v>-2.2374884568651269E-4</v>
      </c>
      <c r="I147" s="1">
        <f t="shared" si="50"/>
        <v>2.5269999999999997E-8</v>
      </c>
      <c r="J147" s="1">
        <f t="shared" si="51"/>
        <v>5.0540000000000002E-6</v>
      </c>
      <c r="K147" s="19">
        <f t="shared" si="52"/>
        <v>9.8816524908869989E-3</v>
      </c>
      <c r="L147" s="19">
        <f t="shared" si="53"/>
        <v>6.1830911300121514</v>
      </c>
      <c r="M147" s="19">
        <f t="shared" si="54"/>
        <v>2.1174969623329284E-4</v>
      </c>
      <c r="N147" s="19">
        <f t="shared" si="31"/>
        <v>1.8728799615228837E-2</v>
      </c>
      <c r="O147" s="19">
        <v>92.36</v>
      </c>
      <c r="P147" s="19">
        <f t="shared" si="55"/>
        <v>1.1699170716889429</v>
      </c>
      <c r="Q147" s="19">
        <f t="shared" si="56"/>
        <v>7.1994896719319565E-2</v>
      </c>
      <c r="R147" s="19">
        <f t="shared" si="57"/>
        <v>222.3371810449575</v>
      </c>
      <c r="S147" s="19">
        <f t="shared" si="58"/>
        <v>1.8822195220737142E-13</v>
      </c>
      <c r="T147" s="83">
        <f t="shared" si="59"/>
        <v>406.35125348806349</v>
      </c>
    </row>
    <row r="148" spans="1:20">
      <c r="A148" s="9" t="s">
        <v>1112</v>
      </c>
      <c r="B148" s="9" t="s">
        <v>11</v>
      </c>
      <c r="C148">
        <v>467</v>
      </c>
      <c r="D148">
        <v>1.04</v>
      </c>
      <c r="E148">
        <v>1.2999999999999999E-2</v>
      </c>
      <c r="F148">
        <v>1.04</v>
      </c>
      <c r="G148" s="1">
        <f t="shared" si="48"/>
        <v>2.3269999999999999E-6</v>
      </c>
      <c r="H148" s="19">
        <f t="shared" si="49"/>
        <v>-7.0601831713244212E-5</v>
      </c>
      <c r="I148" s="1">
        <f t="shared" si="50"/>
        <v>1.7289999999999998E-8</v>
      </c>
      <c r="J148" s="1">
        <f t="shared" si="51"/>
        <v>3.4580000000000002E-6</v>
      </c>
      <c r="K148" s="19">
        <f t="shared" si="52"/>
        <v>3.1180619684082625E-3</v>
      </c>
      <c r="L148" s="19">
        <f t="shared" si="53"/>
        <v>1.9510159173754558</v>
      </c>
      <c r="M148" s="19">
        <f t="shared" si="54"/>
        <v>6.6815613608748478E-5</v>
      </c>
      <c r="N148" s="19">
        <f t="shared" si="31"/>
        <v>1.8728799615228837E-2</v>
      </c>
      <c r="O148" s="19">
        <v>93.36</v>
      </c>
      <c r="P148" s="19">
        <f t="shared" si="55"/>
        <v>0.36915626518833533</v>
      </c>
      <c r="Q148" s="19">
        <f t="shared" si="56"/>
        <v>2.2717308626974485E-2</v>
      </c>
      <c r="R148" s="19">
        <f t="shared" si="57"/>
        <v>70.156394289185911</v>
      </c>
      <c r="S148" s="19">
        <f t="shared" si="58"/>
        <v>5.9391656541109765E-14</v>
      </c>
      <c r="T148" s="83">
        <f t="shared" si="59"/>
        <v>143.12541717296347</v>
      </c>
    </row>
    <row r="149" spans="1:20">
      <c r="A149" s="9" t="s">
        <v>1113</v>
      </c>
      <c r="B149" s="9" t="s">
        <v>11</v>
      </c>
      <c r="C149">
        <v>2388</v>
      </c>
      <c r="D149">
        <v>1.02</v>
      </c>
      <c r="E149">
        <v>2.1999999999999999E-2</v>
      </c>
      <c r="F149">
        <v>1.02</v>
      </c>
      <c r="G149" s="1">
        <f t="shared" si="48"/>
        <v>3.9379999999999994E-6</v>
      </c>
      <c r="H149" s="19">
        <f t="shared" si="49"/>
        <v>-3.6102178614823803E-4</v>
      </c>
      <c r="I149" s="1">
        <f t="shared" si="50"/>
        <v>2.9259999999999999E-8</v>
      </c>
      <c r="J149" s="1">
        <f t="shared" si="51"/>
        <v>5.852E-6</v>
      </c>
      <c r="K149" s="19">
        <f t="shared" si="52"/>
        <v>1.5944179829890645E-2</v>
      </c>
      <c r="L149" s="19">
        <f t="shared" si="53"/>
        <v>9.976501093560147</v>
      </c>
      <c r="M149" s="19">
        <f t="shared" si="54"/>
        <v>3.4166099635479953E-4</v>
      </c>
      <c r="N149" s="19">
        <f t="shared" si="31"/>
        <v>1.8728799615228837E-2</v>
      </c>
      <c r="O149" s="19">
        <v>94.36</v>
      </c>
      <c r="P149" s="19">
        <f t="shared" si="55"/>
        <v>1.8876770048602673</v>
      </c>
      <c r="Q149" s="19">
        <f t="shared" si="56"/>
        <v>0.11616473876063184</v>
      </c>
      <c r="R149" s="19">
        <f t="shared" si="57"/>
        <v>358.74404617253953</v>
      </c>
      <c r="S149" s="19">
        <f t="shared" si="58"/>
        <v>3.0369866342648848E-13</v>
      </c>
      <c r="T149" s="83">
        <f t="shared" si="59"/>
        <v>642.9151621195499</v>
      </c>
    </row>
    <row r="150" spans="1:20">
      <c r="A150" s="9" t="s">
        <v>1114</v>
      </c>
      <c r="B150" s="9" t="s">
        <v>11</v>
      </c>
      <c r="C150">
        <v>2216</v>
      </c>
      <c r="D150">
        <v>1.01</v>
      </c>
      <c r="E150">
        <v>2.5000000000000001E-2</v>
      </c>
      <c r="F150">
        <v>1.01</v>
      </c>
      <c r="G150" s="1">
        <f t="shared" si="48"/>
        <v>4.4749999999999995E-6</v>
      </c>
      <c r="H150" s="19">
        <f t="shared" si="49"/>
        <v>-3.3501854191980549E-4</v>
      </c>
      <c r="I150" s="1">
        <f t="shared" si="50"/>
        <v>3.3250000000000003E-8</v>
      </c>
      <c r="J150" s="1">
        <f t="shared" si="51"/>
        <v>6.6500000000000007E-6</v>
      </c>
      <c r="K150" s="19">
        <f t="shared" si="52"/>
        <v>1.4795771567436208E-2</v>
      </c>
      <c r="L150" s="19">
        <f t="shared" si="53"/>
        <v>9.2579256379100858</v>
      </c>
      <c r="M150" s="19">
        <f t="shared" si="54"/>
        <v>3.1705224787363304E-4</v>
      </c>
      <c r="N150" s="19">
        <f t="shared" si="31"/>
        <v>1.8728799615228837E-2</v>
      </c>
      <c r="O150" s="19">
        <v>95.36</v>
      </c>
      <c r="P150" s="19">
        <f t="shared" si="55"/>
        <v>1.7517136695018225</v>
      </c>
      <c r="Q150" s="19">
        <f t="shared" si="56"/>
        <v>0.10779776427703523</v>
      </c>
      <c r="R150" s="19">
        <f t="shared" si="57"/>
        <v>332.90486026731475</v>
      </c>
      <c r="S150" s="19">
        <f t="shared" si="58"/>
        <v>2.8182422033211829E-13</v>
      </c>
      <c r="T150" s="83">
        <f t="shared" si="59"/>
        <v>598.4867551548939</v>
      </c>
    </row>
    <row r="151" spans="1:20">
      <c r="A151" s="9" t="s">
        <v>1115</v>
      </c>
      <c r="B151" s="9" t="s">
        <v>11</v>
      </c>
      <c r="C151">
        <v>2452</v>
      </c>
      <c r="D151">
        <v>1.01</v>
      </c>
      <c r="E151">
        <v>2.3E-2</v>
      </c>
      <c r="F151">
        <v>1.01</v>
      </c>
      <c r="G151" s="1">
        <f t="shared" si="48"/>
        <v>4.1169999999999997E-6</v>
      </c>
      <c r="H151" s="19">
        <f t="shared" si="49"/>
        <v>-3.7069741190765481E-4</v>
      </c>
      <c r="I151" s="1">
        <f t="shared" si="50"/>
        <v>3.0589999999999998E-8</v>
      </c>
      <c r="J151" s="1">
        <f t="shared" si="51"/>
        <v>6.1180000000000005E-6</v>
      </c>
      <c r="K151" s="19">
        <f t="shared" si="52"/>
        <v>1.6371494532199271E-2</v>
      </c>
      <c r="L151" s="19">
        <f t="shared" si="53"/>
        <v>10.243878007290402</v>
      </c>
      <c r="M151" s="19">
        <f t="shared" si="54"/>
        <v>3.5081773997569868E-4</v>
      </c>
      <c r="N151" s="19">
        <f t="shared" si="31"/>
        <v>1.8728799615228837E-2</v>
      </c>
      <c r="O151" s="19">
        <v>96.36</v>
      </c>
      <c r="P151" s="19">
        <f t="shared" si="55"/>
        <v>1.9382680133657351</v>
      </c>
      <c r="Q151" s="19">
        <f t="shared" si="56"/>
        <v>0.11927803159173755</v>
      </c>
      <c r="R151" s="19">
        <f t="shared" si="57"/>
        <v>368.35862697448363</v>
      </c>
      <c r="S151" s="19">
        <f t="shared" si="58"/>
        <v>3.1183799108950994E-13</v>
      </c>
      <c r="T151" s="83">
        <f t="shared" si="59"/>
        <v>660.03145945139136</v>
      </c>
    </row>
    <row r="152" spans="1:20">
      <c r="A152" s="9" t="s">
        <v>1116</v>
      </c>
      <c r="B152" s="9" t="s">
        <v>11</v>
      </c>
      <c r="C152">
        <v>3.88</v>
      </c>
      <c r="D152">
        <v>1.2</v>
      </c>
      <c r="E152">
        <v>1E-3</v>
      </c>
      <c r="F152">
        <v>3</v>
      </c>
      <c r="G152" s="1">
        <f t="shared" si="48"/>
        <v>1.79E-7</v>
      </c>
      <c r="H152" s="19">
        <f t="shared" si="49"/>
        <v>-5.8658481166464133E-7</v>
      </c>
      <c r="I152" s="1">
        <f t="shared" si="50"/>
        <v>1.33E-9</v>
      </c>
      <c r="J152" s="1">
        <f t="shared" si="51"/>
        <v>2.6600000000000003E-7</v>
      </c>
      <c r="K152" s="19">
        <f t="shared" si="52"/>
        <v>2.590595382746051E-5</v>
      </c>
      <c r="L152" s="19">
        <f t="shared" si="53"/>
        <v>1.6209725394896721E-2</v>
      </c>
      <c r="M152" s="19">
        <f t="shared" si="54"/>
        <v>5.5512758201701095E-7</v>
      </c>
      <c r="N152" s="19">
        <f t="shared" si="31"/>
        <v>1.8728799615228837E-2</v>
      </c>
      <c r="O152" s="19">
        <v>97.36</v>
      </c>
      <c r="P152" s="19">
        <f t="shared" si="55"/>
        <v>3.0670798906439851E-3</v>
      </c>
      <c r="Q152" s="19">
        <f t="shared" si="56"/>
        <v>1.8874337788578371E-4</v>
      </c>
      <c r="R152" s="19">
        <f t="shared" si="57"/>
        <v>0.58288396111786156</v>
      </c>
      <c r="S152" s="19">
        <f t="shared" si="58"/>
        <v>4.9344673957067641E-16</v>
      </c>
      <c r="T152" s="83">
        <f t="shared" si="59"/>
        <v>23.428011023225164</v>
      </c>
    </row>
    <row r="153" spans="1:20">
      <c r="A153" s="9" t="s">
        <v>1117</v>
      </c>
      <c r="B153" s="9" t="s">
        <v>11</v>
      </c>
      <c r="C153">
        <v>0.45400000000000001</v>
      </c>
      <c r="D153">
        <v>1.2</v>
      </c>
      <c r="E153">
        <v>2.0000000000000001E-4</v>
      </c>
      <c r="F153">
        <v>3</v>
      </c>
      <c r="G153" s="1">
        <f t="shared" si="48"/>
        <v>3.5799999999999996E-8</v>
      </c>
      <c r="H153" s="19">
        <f t="shared" si="49"/>
        <v>-6.8636470230862672E-8</v>
      </c>
      <c r="I153" s="1">
        <f t="shared" si="50"/>
        <v>2.6600000000000001E-10</v>
      </c>
      <c r="J153" s="1">
        <f t="shared" si="51"/>
        <v>5.3200000000000007E-8</v>
      </c>
      <c r="K153" s="19">
        <f t="shared" si="52"/>
        <v>3.0312636695018229E-6</v>
      </c>
      <c r="L153" s="19">
        <f t="shared" si="53"/>
        <v>1.8967049817739977E-3</v>
      </c>
      <c r="M153" s="19">
        <f t="shared" si="54"/>
        <v>6.4955650060753349E-8</v>
      </c>
      <c r="N153" s="19">
        <f t="shared" si="31"/>
        <v>1.8728799615228837E-2</v>
      </c>
      <c r="O153" s="19">
        <v>98.36</v>
      </c>
      <c r="P153" s="19">
        <f t="shared" si="55"/>
        <v>3.5887996658566219E-4</v>
      </c>
      <c r="Q153" s="19">
        <f t="shared" si="56"/>
        <v>2.2084921020656139E-5</v>
      </c>
      <c r="R153" s="19">
        <f t="shared" si="57"/>
        <v>6.8203432563791022E-2</v>
      </c>
      <c r="S153" s="19">
        <f t="shared" si="58"/>
        <v>5.7738355609558531E-17</v>
      </c>
      <c r="T153" s="83">
        <f t="shared" si="59"/>
        <v>22.752546181168508</v>
      </c>
    </row>
    <row r="154" spans="1:20">
      <c r="A154" s="9" t="s">
        <v>1118</v>
      </c>
      <c r="B154" s="9" t="s">
        <v>11</v>
      </c>
      <c r="C154">
        <v>4.0000000000000001E-3</v>
      </c>
      <c r="D154">
        <v>1.2</v>
      </c>
      <c r="E154">
        <v>2.0000000000000002E-5</v>
      </c>
      <c r="F154">
        <v>3</v>
      </c>
      <c r="G154" s="1">
        <f t="shared" si="48"/>
        <v>3.58E-9</v>
      </c>
      <c r="H154" s="19">
        <f t="shared" si="49"/>
        <v>-6.0472660996354784E-10</v>
      </c>
      <c r="I154" s="1">
        <f t="shared" si="50"/>
        <v>2.6600000000000001E-11</v>
      </c>
      <c r="J154" s="1">
        <f t="shared" si="51"/>
        <v>5.3200000000000007E-9</v>
      </c>
      <c r="K154" s="19">
        <f t="shared" si="52"/>
        <v>2.6707168894289186E-8</v>
      </c>
      <c r="L154" s="19">
        <f t="shared" si="53"/>
        <v>1.6711057108140949E-5</v>
      </c>
      <c r="M154" s="19">
        <f t="shared" si="54"/>
        <v>5.7229647630619686E-10</v>
      </c>
      <c r="N154" s="19">
        <f t="shared" si="31"/>
        <v>1.8728799615228837E-2</v>
      </c>
      <c r="O154" s="19">
        <v>99.36</v>
      </c>
      <c r="P154" s="19">
        <f t="shared" si="55"/>
        <v>3.1619380315917374E-6</v>
      </c>
      <c r="Q154" s="19">
        <f t="shared" si="56"/>
        <v>1.9458080194410693E-7</v>
      </c>
      <c r="R154" s="19">
        <f t="shared" si="57"/>
        <v>6.0091130012150673E-4</v>
      </c>
      <c r="S154" s="19">
        <f t="shared" si="58"/>
        <v>5.087079789388417E-19</v>
      </c>
      <c r="T154" s="83">
        <f t="shared" si="59"/>
        <v>22.862226396297455</v>
      </c>
    </row>
    <row r="155" spans="1:20">
      <c r="A155" s="9" t="s">
        <v>1119</v>
      </c>
      <c r="B155" s="9" t="s">
        <v>11</v>
      </c>
      <c r="C155">
        <v>27</v>
      </c>
      <c r="D155">
        <v>1.3</v>
      </c>
      <c r="E155">
        <v>2.1999999999999999E-2</v>
      </c>
      <c r="F155">
        <v>1.3</v>
      </c>
      <c r="G155" s="1">
        <f t="shared" si="48"/>
        <v>3.9379999999999994E-6</v>
      </c>
      <c r="H155" s="19">
        <f t="shared" si="49"/>
        <v>-4.0819046172539481E-6</v>
      </c>
      <c r="I155" s="1">
        <f t="shared" si="50"/>
        <v>2.9259999999999999E-8</v>
      </c>
      <c r="J155" s="1">
        <f t="shared" si="51"/>
        <v>5.852E-6</v>
      </c>
      <c r="K155" s="19">
        <f t="shared" si="52"/>
        <v>1.80273390036452E-4</v>
      </c>
      <c r="L155" s="19">
        <f t="shared" si="53"/>
        <v>0.11279963547995141</v>
      </c>
      <c r="M155" s="19">
        <f t="shared" si="54"/>
        <v>3.8630012150668283E-6</v>
      </c>
      <c r="N155" s="19">
        <f t="shared" si="31"/>
        <v>1.8728799615228837E-2</v>
      </c>
      <c r="O155" s="19">
        <v>101.36</v>
      </c>
      <c r="P155" s="19">
        <f t="shared" si="55"/>
        <v>2.1343081713244227E-2</v>
      </c>
      <c r="Q155" s="19">
        <f t="shared" si="56"/>
        <v>1.3134204131227218E-3</v>
      </c>
      <c r="R155" s="19">
        <f t="shared" si="57"/>
        <v>4.0561512758201701</v>
      </c>
      <c r="S155" s="19">
        <f t="shared" si="58"/>
        <v>3.4337788578371814E-15</v>
      </c>
      <c r="T155" s="83">
        <f t="shared" si="59"/>
        <v>30.747544413538876</v>
      </c>
    </row>
    <row r="156" spans="1:20">
      <c r="A156" s="9" t="s">
        <v>1120</v>
      </c>
      <c r="B156" s="9" t="s">
        <v>11</v>
      </c>
      <c r="C156">
        <v>75</v>
      </c>
      <c r="D156">
        <v>1.1000000000000001</v>
      </c>
      <c r="E156">
        <v>4.2000000000000003E-2</v>
      </c>
      <c r="F156">
        <v>1.1000000000000001</v>
      </c>
      <c r="G156" s="1">
        <f t="shared" si="48"/>
        <v>7.5179999999999998E-6</v>
      </c>
      <c r="H156" s="19">
        <f t="shared" si="49"/>
        <v>-1.1338623936816522E-5</v>
      </c>
      <c r="I156" s="1">
        <f t="shared" si="50"/>
        <v>5.5860000000000005E-8</v>
      </c>
      <c r="J156" s="1">
        <f t="shared" si="51"/>
        <v>1.1172000000000001E-5</v>
      </c>
      <c r="K156" s="19">
        <f t="shared" si="52"/>
        <v>5.0075941676792229E-4</v>
      </c>
      <c r="L156" s="19">
        <f t="shared" si="53"/>
        <v>0.31333232077764278</v>
      </c>
      <c r="M156" s="19">
        <f t="shared" si="54"/>
        <v>1.073055893074119E-5</v>
      </c>
      <c r="N156" s="19">
        <f t="shared" si="31"/>
        <v>1.8728799615228837E-2</v>
      </c>
      <c r="O156" s="19">
        <v>102.36</v>
      </c>
      <c r="P156" s="19">
        <f t="shared" si="55"/>
        <v>5.9286338092345077E-2</v>
      </c>
      <c r="Q156" s="19">
        <f t="shared" si="56"/>
        <v>3.6483900364520051E-3</v>
      </c>
      <c r="R156" s="19">
        <f t="shared" si="57"/>
        <v>11.267086877278251</v>
      </c>
      <c r="S156" s="19">
        <f t="shared" si="58"/>
        <v>9.5382746051032811E-15</v>
      </c>
      <c r="T156" s="83">
        <f t="shared" si="59"/>
        <v>43.826479185145196</v>
      </c>
    </row>
    <row r="157" spans="1:20">
      <c r="A157" s="9" t="s">
        <v>1121</v>
      </c>
      <c r="B157" s="9" t="s">
        <v>11</v>
      </c>
      <c r="C157">
        <v>94</v>
      </c>
      <c r="D157">
        <v>1.1000000000000001</v>
      </c>
      <c r="E157">
        <v>5.8000000000000003E-2</v>
      </c>
      <c r="F157">
        <v>1.1000000000000001</v>
      </c>
      <c r="G157" s="1">
        <f t="shared" si="48"/>
        <v>1.0382E-5</v>
      </c>
      <c r="H157" s="19">
        <f t="shared" si="49"/>
        <v>-1.4211075334143373E-5</v>
      </c>
      <c r="I157" s="1">
        <f t="shared" si="50"/>
        <v>7.7140000000000001E-8</v>
      </c>
      <c r="J157" s="1">
        <f t="shared" si="51"/>
        <v>1.5428000000000002E-5</v>
      </c>
      <c r="K157" s="19">
        <f t="shared" si="52"/>
        <v>6.2761846901579585E-4</v>
      </c>
      <c r="L157" s="19">
        <f t="shared" si="53"/>
        <v>0.39270984204131232</v>
      </c>
      <c r="M157" s="19">
        <f t="shared" si="54"/>
        <v>1.3448967193195626E-5</v>
      </c>
      <c r="N157" s="19">
        <f t="shared" si="31"/>
        <v>1.8728799615228837E-2</v>
      </c>
      <c r="O157" s="19">
        <v>103.36</v>
      </c>
      <c r="P157" s="19">
        <f t="shared" si="55"/>
        <v>7.4305543742405833E-2</v>
      </c>
      <c r="Q157" s="19">
        <f t="shared" si="56"/>
        <v>4.5726488456865125E-3</v>
      </c>
      <c r="R157" s="19">
        <f t="shared" si="57"/>
        <v>14.121415552855408</v>
      </c>
      <c r="S157" s="19">
        <f t="shared" si="58"/>
        <v>1.1954637505062779E-14</v>
      </c>
      <c r="T157" s="83">
        <f t="shared" si="59"/>
        <v>49.292303925981031</v>
      </c>
    </row>
    <row r="158" spans="1:20">
      <c r="A158" s="9" t="s">
        <v>1122</v>
      </c>
      <c r="B158" s="9" t="s">
        <v>11</v>
      </c>
      <c r="C158">
        <v>17</v>
      </c>
      <c r="D158">
        <v>1.3</v>
      </c>
      <c r="E158">
        <v>1.4999999999999999E-2</v>
      </c>
      <c r="F158">
        <v>1.3</v>
      </c>
      <c r="G158" s="1">
        <f t="shared" si="48"/>
        <v>2.6849999999999997E-6</v>
      </c>
      <c r="H158" s="19">
        <f t="shared" si="49"/>
        <v>-2.570088092345078E-6</v>
      </c>
      <c r="I158" s="1">
        <f t="shared" si="50"/>
        <v>1.995E-8</v>
      </c>
      <c r="J158" s="1">
        <f t="shared" si="51"/>
        <v>3.9899999999999999E-6</v>
      </c>
      <c r="K158" s="19">
        <f t="shared" si="52"/>
        <v>1.1350546780072904E-4</v>
      </c>
      <c r="L158" s="19">
        <f t="shared" si="53"/>
        <v>7.1021992709599038E-2</v>
      </c>
      <c r="M158" s="19">
        <f t="shared" si="54"/>
        <v>2.4322600243013364E-6</v>
      </c>
      <c r="N158" s="19">
        <f t="shared" si="31"/>
        <v>1.8728799615228837E-2</v>
      </c>
      <c r="O158" s="19">
        <v>104.36</v>
      </c>
      <c r="P158" s="19">
        <f t="shared" si="55"/>
        <v>1.3438236634264885E-2</v>
      </c>
      <c r="Q158" s="19">
        <f t="shared" si="56"/>
        <v>8.2696840826245442E-4</v>
      </c>
      <c r="R158" s="19">
        <f t="shared" si="57"/>
        <v>2.5538730255164035</v>
      </c>
      <c r="S158" s="19">
        <f t="shared" si="58"/>
        <v>2.1620089104900771E-15</v>
      </c>
      <c r="T158" s="83">
        <f t="shared" si="59"/>
        <v>28.708179971304222</v>
      </c>
    </row>
    <row r="159" spans="1:20">
      <c r="A159" s="9" t="s">
        <v>1123</v>
      </c>
      <c r="B159" s="9" t="s">
        <v>11</v>
      </c>
      <c r="C159">
        <v>19</v>
      </c>
      <c r="D159">
        <v>1.3</v>
      </c>
      <c r="E159">
        <v>1.4999999999999999E-2</v>
      </c>
      <c r="F159">
        <v>1.3</v>
      </c>
      <c r="G159" s="1">
        <f t="shared" si="48"/>
        <v>2.6849999999999997E-6</v>
      </c>
      <c r="H159" s="19">
        <f t="shared" si="49"/>
        <v>-2.872451397326852E-6</v>
      </c>
      <c r="I159" s="1">
        <f t="shared" si="50"/>
        <v>1.995E-8</v>
      </c>
      <c r="J159" s="1">
        <f t="shared" si="51"/>
        <v>3.9899999999999999E-6</v>
      </c>
      <c r="K159" s="19">
        <f t="shared" si="52"/>
        <v>1.2685905224787364E-4</v>
      </c>
      <c r="L159" s="19">
        <f t="shared" si="53"/>
        <v>7.9377521263669509E-2</v>
      </c>
      <c r="M159" s="19">
        <f t="shared" si="54"/>
        <v>2.7184082624544351E-6</v>
      </c>
      <c r="N159" s="19">
        <f t="shared" si="31"/>
        <v>1.8728799615228837E-2</v>
      </c>
      <c r="O159" s="19">
        <v>105.36</v>
      </c>
      <c r="P159" s="19">
        <f t="shared" si="55"/>
        <v>1.5019205650060753E-2</v>
      </c>
      <c r="Q159" s="19">
        <f t="shared" si="56"/>
        <v>9.2425880923450792E-4</v>
      </c>
      <c r="R159" s="19">
        <f t="shared" si="57"/>
        <v>2.8543286755771571</v>
      </c>
      <c r="S159" s="19">
        <f t="shared" si="58"/>
        <v>2.4163628999594979E-15</v>
      </c>
      <c r="T159" s="83">
        <f t="shared" si="59"/>
        <v>29.458110185371154</v>
      </c>
    </row>
    <row r="160" spans="1:20">
      <c r="A160" s="9" t="s">
        <v>1124</v>
      </c>
      <c r="B160" s="9" t="s">
        <v>11</v>
      </c>
      <c r="C160">
        <v>50</v>
      </c>
      <c r="D160">
        <v>1.2</v>
      </c>
      <c r="E160">
        <v>3.5999999999999997E-2</v>
      </c>
      <c r="F160">
        <v>1.2</v>
      </c>
      <c r="G160" s="1">
        <f t="shared" si="48"/>
        <v>6.4439999999999988E-6</v>
      </c>
      <c r="H160" s="19">
        <f t="shared" si="49"/>
        <v>-7.5590826245443472E-6</v>
      </c>
      <c r="I160" s="1">
        <f t="shared" si="50"/>
        <v>4.7879999999999996E-8</v>
      </c>
      <c r="J160" s="1">
        <f t="shared" si="51"/>
        <v>9.5759999999999995E-6</v>
      </c>
      <c r="K160" s="19">
        <f t="shared" si="52"/>
        <v>3.3383961117861482E-4</v>
      </c>
      <c r="L160" s="19">
        <f t="shared" si="53"/>
        <v>0.20888821385176187</v>
      </c>
      <c r="M160" s="19">
        <f t="shared" si="54"/>
        <v>7.1537059538274602E-6</v>
      </c>
      <c r="N160" s="19">
        <f t="shared" si="31"/>
        <v>1.8728799615228837E-2</v>
      </c>
      <c r="O160" s="19">
        <v>106.36</v>
      </c>
      <c r="P160" s="19">
        <f t="shared" si="55"/>
        <v>3.9524225394896716E-2</v>
      </c>
      <c r="Q160" s="19">
        <f t="shared" si="56"/>
        <v>2.4322600243013364E-3</v>
      </c>
      <c r="R160" s="19">
        <f t="shared" si="57"/>
        <v>7.5113912515188339</v>
      </c>
      <c r="S160" s="19">
        <f t="shared" si="58"/>
        <v>6.3588497367355212E-15</v>
      </c>
      <c r="T160" s="83">
        <f t="shared" si="59"/>
        <v>38.136168619108574</v>
      </c>
    </row>
    <row r="161" spans="1:20">
      <c r="A161" s="9" t="s">
        <v>1125</v>
      </c>
      <c r="B161" s="9" t="s">
        <v>11</v>
      </c>
      <c r="C161">
        <v>26</v>
      </c>
      <c r="D161">
        <v>1.3</v>
      </c>
      <c r="E161">
        <v>2.1000000000000001E-2</v>
      </c>
      <c r="F161">
        <v>1.3</v>
      </c>
      <c r="G161" s="1">
        <f t="shared" si="48"/>
        <v>3.7589999999999999E-6</v>
      </c>
      <c r="H161" s="19">
        <f t="shared" si="49"/>
        <v>-3.9307229647630608E-6</v>
      </c>
      <c r="I161" s="1">
        <f t="shared" si="50"/>
        <v>2.7930000000000003E-8</v>
      </c>
      <c r="J161" s="1">
        <f t="shared" si="51"/>
        <v>5.5860000000000004E-6</v>
      </c>
      <c r="K161" s="19">
        <f t="shared" si="52"/>
        <v>1.7359659781287972E-4</v>
      </c>
      <c r="L161" s="19">
        <f t="shared" si="53"/>
        <v>0.10862187120291616</v>
      </c>
      <c r="M161" s="19">
        <f t="shared" si="54"/>
        <v>3.7199270959902792E-6</v>
      </c>
      <c r="N161" s="19">
        <f t="shared" si="31"/>
        <v>1.8728799615228837E-2</v>
      </c>
      <c r="O161" s="19">
        <v>107.36</v>
      </c>
      <c r="P161" s="19">
        <f t="shared" si="55"/>
        <v>2.0552597205346294E-2</v>
      </c>
      <c r="Q161" s="19">
        <f t="shared" si="56"/>
        <v>1.264775212636695E-3</v>
      </c>
      <c r="R161" s="19">
        <f t="shared" si="57"/>
        <v>3.9059234507897935</v>
      </c>
      <c r="S161" s="19">
        <f t="shared" si="58"/>
        <v>3.306601863102471E-15</v>
      </c>
      <c r="T161" s="83">
        <f t="shared" si="59"/>
        <v>31.849048824805411</v>
      </c>
    </row>
    <row r="162" spans="1:20">
      <c r="A162" s="9" t="s">
        <v>1126</v>
      </c>
      <c r="B162" s="9" t="s">
        <v>11</v>
      </c>
      <c r="C162">
        <v>346</v>
      </c>
      <c r="D162">
        <v>1.05</v>
      </c>
      <c r="E162">
        <v>0.14299999999999999</v>
      </c>
      <c r="F162">
        <v>1.05</v>
      </c>
      <c r="G162" s="1">
        <f t="shared" si="48"/>
        <v>2.5596999999999996E-5</v>
      </c>
      <c r="H162" s="19">
        <f t="shared" si="49"/>
        <v>-5.2308851761846887E-5</v>
      </c>
      <c r="I162" s="1">
        <f t="shared" si="50"/>
        <v>1.9018999999999998E-7</v>
      </c>
      <c r="J162" s="1">
        <f t="shared" si="51"/>
        <v>3.8037999999999997E-5</v>
      </c>
      <c r="K162" s="19">
        <f t="shared" si="52"/>
        <v>2.3101701093560145E-3</v>
      </c>
      <c r="L162" s="19">
        <f t="shared" si="53"/>
        <v>1.4455064398541921</v>
      </c>
      <c r="M162" s="19">
        <f t="shared" si="54"/>
        <v>4.9503645200486025E-5</v>
      </c>
      <c r="N162" s="19">
        <f t="shared" si="31"/>
        <v>1.8728799615228837E-2</v>
      </c>
      <c r="O162" s="19">
        <v>108.36</v>
      </c>
      <c r="P162" s="19">
        <f t="shared" si="55"/>
        <v>0.27350763973268527</v>
      </c>
      <c r="Q162" s="19">
        <f t="shared" si="56"/>
        <v>1.683123936816525E-2</v>
      </c>
      <c r="R162" s="19">
        <f t="shared" si="57"/>
        <v>51.978827460510331</v>
      </c>
      <c r="S162" s="19">
        <f t="shared" si="58"/>
        <v>4.4003240178209805E-14</v>
      </c>
      <c r="T162" s="83">
        <f t="shared" si="59"/>
        <v>117.52860184291423</v>
      </c>
    </row>
    <row r="163" spans="1:20">
      <c r="A163" s="9" t="s">
        <v>1127</v>
      </c>
      <c r="B163" s="9" t="s">
        <v>11</v>
      </c>
      <c r="C163">
        <v>82</v>
      </c>
      <c r="D163">
        <v>1.1000000000000001</v>
      </c>
      <c r="E163">
        <v>3.5999999999999997E-2</v>
      </c>
      <c r="F163">
        <v>1.1000000000000001</v>
      </c>
      <c r="G163" s="1">
        <f t="shared" si="48"/>
        <v>6.4439999999999988E-6</v>
      </c>
      <c r="H163" s="19">
        <f t="shared" si="49"/>
        <v>-1.239689550425273E-5</v>
      </c>
      <c r="I163" s="1">
        <f t="shared" si="50"/>
        <v>4.7879999999999996E-8</v>
      </c>
      <c r="J163" s="1">
        <f t="shared" si="51"/>
        <v>9.5759999999999995E-6</v>
      </c>
      <c r="K163" s="19">
        <f t="shared" si="52"/>
        <v>5.4749696233292837E-4</v>
      </c>
      <c r="L163" s="19">
        <f t="shared" si="53"/>
        <v>0.34257667071688946</v>
      </c>
      <c r="M163" s="19">
        <f t="shared" si="54"/>
        <v>1.1732077764277035E-5</v>
      </c>
      <c r="N163" s="19">
        <f t="shared" si="31"/>
        <v>1.8728799615228837E-2</v>
      </c>
      <c r="O163" s="19">
        <v>110.36</v>
      </c>
      <c r="P163" s="19">
        <f t="shared" si="55"/>
        <v>6.4819729647630622E-2</v>
      </c>
      <c r="Q163" s="19">
        <f t="shared" si="56"/>
        <v>3.9889064398541917E-3</v>
      </c>
      <c r="R163" s="19">
        <f t="shared" si="57"/>
        <v>12.318681652490888</v>
      </c>
      <c r="S163" s="19">
        <f t="shared" si="58"/>
        <v>1.0428513568246254E-14</v>
      </c>
      <c r="T163" s="83">
        <f t="shared" si="59"/>
        <v>47.375052044179448</v>
      </c>
    </row>
    <row r="164" spans="1:20">
      <c r="A164" s="9" t="s">
        <v>1128</v>
      </c>
      <c r="B164" s="9" t="s">
        <v>11</v>
      </c>
      <c r="C164">
        <v>41</v>
      </c>
      <c r="D164">
        <v>1.2</v>
      </c>
      <c r="E164">
        <v>2.4E-2</v>
      </c>
      <c r="F164">
        <v>1.2</v>
      </c>
      <c r="G164" s="1">
        <f t="shared" si="48"/>
        <v>4.296E-6</v>
      </c>
      <c r="H164" s="19">
        <f t="shared" si="49"/>
        <v>-6.1984477521263648E-6</v>
      </c>
      <c r="I164" s="1">
        <f t="shared" si="50"/>
        <v>3.1919999999999997E-8</v>
      </c>
      <c r="J164" s="1">
        <f t="shared" si="51"/>
        <v>6.3840000000000002E-6</v>
      </c>
      <c r="K164" s="19">
        <f t="shared" si="52"/>
        <v>2.7374848116646418E-4</v>
      </c>
      <c r="L164" s="19">
        <f t="shared" si="53"/>
        <v>0.17128833535844473</v>
      </c>
      <c r="M164" s="19">
        <f t="shared" si="54"/>
        <v>5.8660388821385175E-6</v>
      </c>
      <c r="N164" s="19">
        <f t="shared" si="31"/>
        <v>1.8728799615228837E-2</v>
      </c>
      <c r="O164" s="19">
        <v>111.36</v>
      </c>
      <c r="P164" s="19">
        <f t="shared" si="55"/>
        <v>3.2409864823815311E-2</v>
      </c>
      <c r="Q164" s="19">
        <f t="shared" si="56"/>
        <v>1.9944532199270958E-3</v>
      </c>
      <c r="R164" s="19">
        <f t="shared" si="57"/>
        <v>6.1593408262454439</v>
      </c>
      <c r="S164" s="19">
        <f t="shared" si="58"/>
        <v>5.2142567841231269E-15</v>
      </c>
      <c r="T164" s="83">
        <f t="shared" si="59"/>
        <v>36.72411687540739</v>
      </c>
    </row>
    <row r="165" spans="1:20">
      <c r="A165" s="9" t="s">
        <v>1129</v>
      </c>
      <c r="B165" s="9" t="s">
        <v>11</v>
      </c>
      <c r="C165">
        <v>159</v>
      </c>
      <c r="D165">
        <v>1.1000000000000001</v>
      </c>
      <c r="E165">
        <v>5.2999999999999999E-2</v>
      </c>
      <c r="F165">
        <v>1.1000000000000001</v>
      </c>
      <c r="G165" s="1">
        <f t="shared" si="48"/>
        <v>9.4869999999999991E-6</v>
      </c>
      <c r="H165" s="19">
        <f t="shared" si="49"/>
        <v>-2.4037882746051024E-5</v>
      </c>
      <c r="I165" s="1">
        <f t="shared" si="50"/>
        <v>7.0489999999999991E-8</v>
      </c>
      <c r="J165" s="1">
        <f t="shared" si="51"/>
        <v>1.4098000000000001E-5</v>
      </c>
      <c r="K165" s="19">
        <f t="shared" si="52"/>
        <v>1.0616099635479951E-3</v>
      </c>
      <c r="L165" s="19">
        <f t="shared" si="53"/>
        <v>0.6642645200486027</v>
      </c>
      <c r="M165" s="19">
        <f t="shared" si="54"/>
        <v>2.2748784933171324E-5</v>
      </c>
      <c r="N165" s="19">
        <f t="shared" si="31"/>
        <v>1.8728799615228837E-2</v>
      </c>
      <c r="O165" s="19">
        <v>112.36</v>
      </c>
      <c r="P165" s="19">
        <f t="shared" si="55"/>
        <v>0.12568703675577156</v>
      </c>
      <c r="Q165" s="19">
        <f t="shared" si="56"/>
        <v>7.7345868772782508E-3</v>
      </c>
      <c r="R165" s="19">
        <f t="shared" si="57"/>
        <v>23.886224179829892</v>
      </c>
      <c r="S165" s="19">
        <f t="shared" si="58"/>
        <v>2.0221142162818957E-14</v>
      </c>
      <c r="T165" s="83">
        <f t="shared" si="59"/>
        <v>68.167383474656248</v>
      </c>
    </row>
    <row r="166" spans="1:20">
      <c r="A166" s="9" t="s">
        <v>1130</v>
      </c>
      <c r="B166" s="9" t="s">
        <v>11</v>
      </c>
      <c r="C166">
        <v>139</v>
      </c>
      <c r="D166">
        <v>1.1000000000000001</v>
      </c>
      <c r="E166">
        <v>0.05</v>
      </c>
      <c r="F166">
        <v>1.1000000000000001</v>
      </c>
      <c r="G166" s="1">
        <f t="shared" si="48"/>
        <v>8.949999999999999E-6</v>
      </c>
      <c r="H166" s="19">
        <f t="shared" si="49"/>
        <v>-2.1014249696233287E-5</v>
      </c>
      <c r="I166" s="1">
        <f t="shared" si="50"/>
        <v>6.6500000000000007E-8</v>
      </c>
      <c r="J166" s="1">
        <f t="shared" si="51"/>
        <v>1.3300000000000001E-5</v>
      </c>
      <c r="K166" s="19">
        <f t="shared" si="52"/>
        <v>9.2807411907654927E-4</v>
      </c>
      <c r="L166" s="19">
        <f t="shared" si="53"/>
        <v>0.58070923450789802</v>
      </c>
      <c r="M166" s="19">
        <f t="shared" si="54"/>
        <v>1.9887302551640341E-5</v>
      </c>
      <c r="N166" s="19">
        <f t="shared" si="31"/>
        <v>1.8728799615228837E-2</v>
      </c>
      <c r="O166" s="19">
        <v>113.36</v>
      </c>
      <c r="P166" s="19">
        <f t="shared" si="55"/>
        <v>0.10987734659781288</v>
      </c>
      <c r="Q166" s="19">
        <f t="shared" si="56"/>
        <v>6.7616828675577155E-3</v>
      </c>
      <c r="R166" s="19">
        <f t="shared" si="57"/>
        <v>20.88166767922236</v>
      </c>
      <c r="S166" s="19">
        <f t="shared" si="58"/>
        <v>1.7677602268124749E-14</v>
      </c>
      <c r="T166" s="83">
        <f t="shared" si="59"/>
        <v>63.142489888886956</v>
      </c>
    </row>
    <row r="167" spans="1:20">
      <c r="A167" s="9" t="s">
        <v>1131</v>
      </c>
      <c r="B167" s="9" t="s">
        <v>11</v>
      </c>
      <c r="C167">
        <v>45</v>
      </c>
      <c r="D167">
        <v>1.2</v>
      </c>
      <c r="E167">
        <v>2.3E-2</v>
      </c>
      <c r="F167">
        <v>1.2</v>
      </c>
      <c r="G167" s="1">
        <f t="shared" si="48"/>
        <v>4.1169999999999997E-6</v>
      </c>
      <c r="H167" s="19">
        <f t="shared" si="49"/>
        <v>-6.8031743620899129E-6</v>
      </c>
      <c r="I167" s="1">
        <f t="shared" si="50"/>
        <v>3.0589999999999998E-8</v>
      </c>
      <c r="J167" s="1">
        <f t="shared" si="51"/>
        <v>6.1180000000000005E-6</v>
      </c>
      <c r="K167" s="19">
        <f t="shared" si="52"/>
        <v>3.0045565006075336E-4</v>
      </c>
      <c r="L167" s="19">
        <f t="shared" si="53"/>
        <v>0.18799939246658567</v>
      </c>
      <c r="M167" s="19">
        <f t="shared" si="54"/>
        <v>6.4383353584447147E-6</v>
      </c>
      <c r="N167" s="19">
        <f t="shared" si="31"/>
        <v>1.8728799615228837E-2</v>
      </c>
      <c r="O167" s="19">
        <v>114.36</v>
      </c>
      <c r="P167" s="19">
        <f t="shared" si="55"/>
        <v>3.5571802855407043E-2</v>
      </c>
      <c r="Q167" s="19">
        <f t="shared" si="56"/>
        <v>2.1890340218712031E-3</v>
      </c>
      <c r="R167" s="19">
        <f t="shared" si="57"/>
        <v>6.7602521263669511</v>
      </c>
      <c r="S167" s="19">
        <f t="shared" si="58"/>
        <v>5.7229647630619685E-15</v>
      </c>
      <c r="T167" s="83">
        <f t="shared" si="59"/>
        <v>38.435446821841246</v>
      </c>
    </row>
    <row r="168" spans="1:20">
      <c r="A168" s="9" t="s">
        <v>1132</v>
      </c>
      <c r="B168" s="9" t="s">
        <v>11</v>
      </c>
      <c r="C168">
        <v>159</v>
      </c>
      <c r="D168">
        <v>1.1000000000000001</v>
      </c>
      <c r="E168">
        <v>5.2999999999999999E-2</v>
      </c>
      <c r="F168">
        <v>1.1000000000000001</v>
      </c>
      <c r="G168" s="1">
        <f t="shared" si="48"/>
        <v>9.4869999999999991E-6</v>
      </c>
      <c r="H168" s="19">
        <f t="shared" si="49"/>
        <v>-2.4037882746051024E-5</v>
      </c>
      <c r="I168" s="1">
        <f t="shared" si="50"/>
        <v>7.0489999999999991E-8</v>
      </c>
      <c r="J168" s="1">
        <f t="shared" si="51"/>
        <v>1.4098000000000001E-5</v>
      </c>
      <c r="K168" s="19">
        <f t="shared" si="52"/>
        <v>1.0616099635479951E-3</v>
      </c>
      <c r="L168" s="19">
        <f t="shared" si="53"/>
        <v>0.6642645200486027</v>
      </c>
      <c r="M168" s="19">
        <f t="shared" si="54"/>
        <v>2.2748784933171324E-5</v>
      </c>
      <c r="N168" s="19">
        <f t="shared" si="31"/>
        <v>1.8728799615228837E-2</v>
      </c>
      <c r="O168" s="19">
        <v>115.36</v>
      </c>
      <c r="P168" s="19">
        <f t="shared" si="55"/>
        <v>0.12568703675577156</v>
      </c>
      <c r="Q168" s="19">
        <f t="shared" si="56"/>
        <v>7.7345868772782508E-3</v>
      </c>
      <c r="R168" s="19">
        <f t="shared" si="57"/>
        <v>23.886224179829892</v>
      </c>
      <c r="S168" s="19">
        <f t="shared" si="58"/>
        <v>2.0221142162818957E-14</v>
      </c>
      <c r="T168" s="83">
        <f t="shared" si="59"/>
        <v>68.857383474656245</v>
      </c>
    </row>
    <row r="169" spans="1:20">
      <c r="A169" s="9" t="s">
        <v>1133</v>
      </c>
      <c r="B169" s="9" t="s">
        <v>11</v>
      </c>
      <c r="C169">
        <v>208</v>
      </c>
      <c r="D169">
        <v>1.1000000000000001</v>
      </c>
      <c r="E169">
        <v>7.4999999999999997E-2</v>
      </c>
      <c r="F169">
        <v>1.1000000000000001</v>
      </c>
      <c r="G169" s="1">
        <f t="shared" si="48"/>
        <v>1.3424999999999999E-5</v>
      </c>
      <c r="H169" s="19">
        <f t="shared" si="49"/>
        <v>-3.1445783718104487E-5</v>
      </c>
      <c r="I169" s="1">
        <f t="shared" si="50"/>
        <v>9.974999999999999E-8</v>
      </c>
      <c r="J169" s="1">
        <f t="shared" si="51"/>
        <v>1.995E-5</v>
      </c>
      <c r="K169" s="19">
        <f t="shared" si="52"/>
        <v>1.3887727825030378E-3</v>
      </c>
      <c r="L169" s="19">
        <f t="shared" si="53"/>
        <v>0.86897496962332932</v>
      </c>
      <c r="M169" s="19">
        <f t="shared" si="54"/>
        <v>2.9759416767922234E-5</v>
      </c>
      <c r="N169" s="19">
        <f t="shared" si="31"/>
        <v>1.8728799615228837E-2</v>
      </c>
      <c r="O169" s="19">
        <v>116.36</v>
      </c>
      <c r="P169" s="19">
        <f t="shared" si="55"/>
        <v>0.16442077764277035</v>
      </c>
      <c r="Q169" s="19">
        <f t="shared" si="56"/>
        <v>1.011820170109356E-2</v>
      </c>
      <c r="R169" s="19">
        <f t="shared" si="57"/>
        <v>31.247387606318348</v>
      </c>
      <c r="S169" s="19">
        <f t="shared" si="58"/>
        <v>2.6452814904819768E-14</v>
      </c>
      <c r="T169" s="83">
        <f t="shared" si="59"/>
        <v>82.233344316696048</v>
      </c>
    </row>
    <row r="170" spans="1:20">
      <c r="A170" s="9" t="s">
        <v>1134</v>
      </c>
      <c r="B170" s="9" t="s">
        <v>11</v>
      </c>
      <c r="C170">
        <v>26</v>
      </c>
      <c r="D170">
        <v>1.3</v>
      </c>
      <c r="E170">
        <v>1.7000000000000001E-2</v>
      </c>
      <c r="F170">
        <v>1.3</v>
      </c>
      <c r="G170" s="1">
        <f t="shared" si="48"/>
        <v>3.0429999999999999E-6</v>
      </c>
      <c r="H170" s="19">
        <f t="shared" si="49"/>
        <v>-3.9307229647630608E-6</v>
      </c>
      <c r="I170" s="1">
        <f t="shared" si="50"/>
        <v>2.2610000000000002E-8</v>
      </c>
      <c r="J170" s="1">
        <f t="shared" si="51"/>
        <v>4.5220000000000009E-6</v>
      </c>
      <c r="K170" s="19">
        <f t="shared" si="52"/>
        <v>1.7359659781287972E-4</v>
      </c>
      <c r="L170" s="19">
        <f t="shared" si="53"/>
        <v>0.10862187120291616</v>
      </c>
      <c r="M170" s="19">
        <f t="shared" si="54"/>
        <v>3.7199270959902792E-6</v>
      </c>
      <c r="N170" s="19">
        <f t="shared" si="31"/>
        <v>1.8728799615228837E-2</v>
      </c>
      <c r="O170" s="19">
        <v>117.36</v>
      </c>
      <c r="P170" s="19">
        <f t="shared" si="55"/>
        <v>2.0552597205346294E-2</v>
      </c>
      <c r="Q170" s="19">
        <f t="shared" si="56"/>
        <v>1.264775212636695E-3</v>
      </c>
      <c r="R170" s="19">
        <f t="shared" si="57"/>
        <v>3.9059234507897935</v>
      </c>
      <c r="S170" s="19">
        <f t="shared" si="58"/>
        <v>3.306601863102471E-15</v>
      </c>
      <c r="T170" s="83">
        <f t="shared" si="59"/>
        <v>34.074926898005408</v>
      </c>
    </row>
    <row r="171" spans="1:20">
      <c r="A171" s="9" t="s">
        <v>1135</v>
      </c>
      <c r="B171" s="9" t="s">
        <v>11</v>
      </c>
      <c r="C171">
        <v>260</v>
      </c>
      <c r="D171">
        <v>1.05</v>
      </c>
      <c r="E171">
        <v>0.09</v>
      </c>
      <c r="F171">
        <v>1.05</v>
      </c>
      <c r="G171" s="1">
        <f t="shared" si="48"/>
        <v>1.611E-5</v>
      </c>
      <c r="H171" s="19">
        <f t="shared" si="49"/>
        <v>-3.9307229647630605E-5</v>
      </c>
      <c r="I171" s="1">
        <f t="shared" si="50"/>
        <v>1.1969999999999999E-7</v>
      </c>
      <c r="J171" s="1">
        <f t="shared" si="51"/>
        <v>2.3940000000000001E-5</v>
      </c>
      <c r="K171" s="19">
        <f t="shared" si="52"/>
        <v>1.735965978128797E-3</v>
      </c>
      <c r="L171" s="19">
        <f t="shared" si="53"/>
        <v>1.0862187120291618</v>
      </c>
      <c r="M171" s="19">
        <f t="shared" si="54"/>
        <v>3.7199270959902797E-5</v>
      </c>
      <c r="N171" s="19">
        <f t="shared" si="31"/>
        <v>1.8728799615228837E-2</v>
      </c>
      <c r="O171" s="19">
        <v>118.36</v>
      </c>
      <c r="P171" s="19">
        <f t="shared" si="55"/>
        <v>0.20552597205346293</v>
      </c>
      <c r="Q171" s="19">
        <f t="shared" si="56"/>
        <v>1.264775212636695E-2</v>
      </c>
      <c r="R171" s="19">
        <f t="shared" si="57"/>
        <v>39.059234507897941</v>
      </c>
      <c r="S171" s="19">
        <f t="shared" si="58"/>
        <v>3.3066018631024709E-14</v>
      </c>
      <c r="T171" s="83">
        <f t="shared" si="59"/>
        <v>96.489487107936228</v>
      </c>
    </row>
    <row r="172" spans="1:20">
      <c r="A172" s="9" t="s">
        <v>1136</v>
      </c>
      <c r="B172" s="9" t="s">
        <v>11</v>
      </c>
      <c r="C172">
        <v>41</v>
      </c>
      <c r="D172">
        <v>1.2</v>
      </c>
      <c r="E172">
        <v>1.9E-2</v>
      </c>
      <c r="F172">
        <v>1.2</v>
      </c>
      <c r="G172" s="1">
        <f t="shared" si="48"/>
        <v>3.4009999999999997E-6</v>
      </c>
      <c r="H172" s="19">
        <f t="shared" si="49"/>
        <v>-6.1984477521263648E-6</v>
      </c>
      <c r="I172" s="1">
        <f t="shared" si="50"/>
        <v>2.5269999999999997E-8</v>
      </c>
      <c r="J172" s="1">
        <f t="shared" si="51"/>
        <v>5.0540000000000002E-6</v>
      </c>
      <c r="K172" s="19">
        <f t="shared" si="52"/>
        <v>2.7374848116646418E-4</v>
      </c>
      <c r="L172" s="19">
        <f t="shared" si="53"/>
        <v>0.17128833535844473</v>
      </c>
      <c r="M172" s="19">
        <f t="shared" si="54"/>
        <v>5.8660388821385175E-6</v>
      </c>
      <c r="N172" s="19">
        <f t="shared" si="31"/>
        <v>1.8728799615228837E-2</v>
      </c>
      <c r="O172" s="19">
        <v>119.36</v>
      </c>
      <c r="P172" s="19">
        <f t="shared" si="55"/>
        <v>3.2409864823815311E-2</v>
      </c>
      <c r="Q172" s="19">
        <f t="shared" si="56"/>
        <v>1.9944532199270958E-3</v>
      </c>
      <c r="R172" s="19">
        <f t="shared" si="57"/>
        <v>6.1593408262454439</v>
      </c>
      <c r="S172" s="19">
        <f t="shared" si="58"/>
        <v>5.2142567841231269E-15</v>
      </c>
      <c r="T172" s="83">
        <f t="shared" si="59"/>
        <v>38.471464466907392</v>
      </c>
    </row>
    <row r="173" spans="1:20">
      <c r="A173" s="9" t="s">
        <v>1137</v>
      </c>
      <c r="B173" s="9" t="s">
        <v>11</v>
      </c>
      <c r="C173">
        <v>84</v>
      </c>
      <c r="D173">
        <v>1.1000000000000001</v>
      </c>
      <c r="E173">
        <v>3.3000000000000002E-2</v>
      </c>
      <c r="F173">
        <v>1.1000000000000001</v>
      </c>
      <c r="G173" s="1">
        <f t="shared" si="48"/>
        <v>5.9069999999999995E-6</v>
      </c>
      <c r="H173" s="19">
        <f t="shared" si="49"/>
        <v>-1.2699258809234504E-5</v>
      </c>
      <c r="I173" s="1">
        <f t="shared" si="50"/>
        <v>4.3889999999999998E-8</v>
      </c>
      <c r="J173" s="1">
        <f t="shared" si="51"/>
        <v>8.7780000000000013E-6</v>
      </c>
      <c r="K173" s="19">
        <f t="shared" si="52"/>
        <v>5.6085054678007293E-4</v>
      </c>
      <c r="L173" s="19">
        <f t="shared" si="53"/>
        <v>0.35093219927095992</v>
      </c>
      <c r="M173" s="19">
        <f t="shared" si="54"/>
        <v>1.2018226002430133E-5</v>
      </c>
      <c r="N173" s="19">
        <f t="shared" si="31"/>
        <v>1.8728799615228837E-2</v>
      </c>
      <c r="O173" s="19">
        <v>120.36</v>
      </c>
      <c r="P173" s="19">
        <f t="shared" si="55"/>
        <v>6.6400698663426488E-2</v>
      </c>
      <c r="Q173" s="19">
        <f t="shared" si="56"/>
        <v>4.0861968408262457E-3</v>
      </c>
      <c r="R173" s="19">
        <f t="shared" si="57"/>
        <v>12.619137302551641</v>
      </c>
      <c r="S173" s="19">
        <f t="shared" si="58"/>
        <v>1.0682867557715675E-14</v>
      </c>
      <c r="T173" s="83">
        <f t="shared" si="59"/>
        <v>50.13939081314637</v>
      </c>
    </row>
    <row r="174" spans="1:20">
      <c r="A174" s="9" t="s">
        <v>1138</v>
      </c>
      <c r="B174" s="9" t="s">
        <v>11</v>
      </c>
      <c r="C174">
        <v>146</v>
      </c>
      <c r="D174">
        <v>1.1000000000000001</v>
      </c>
      <c r="E174">
        <v>0.06</v>
      </c>
      <c r="F174">
        <v>1.1000000000000001</v>
      </c>
      <c r="G174" s="1">
        <f t="shared" si="48"/>
        <v>1.0739999999999999E-5</v>
      </c>
      <c r="H174" s="19">
        <f t="shared" si="49"/>
        <v>-2.2072521263669495E-5</v>
      </c>
      <c r="I174" s="1">
        <f t="shared" si="50"/>
        <v>7.98E-8</v>
      </c>
      <c r="J174" s="1">
        <f t="shared" si="51"/>
        <v>1.596E-5</v>
      </c>
      <c r="K174" s="19">
        <f t="shared" si="52"/>
        <v>9.7481166464155535E-4</v>
      </c>
      <c r="L174" s="19">
        <f t="shared" si="53"/>
        <v>0.60995358444714465</v>
      </c>
      <c r="M174" s="19">
        <f t="shared" si="54"/>
        <v>2.0888821385176184E-5</v>
      </c>
      <c r="N174" s="19">
        <f t="shared" si="31"/>
        <v>1.8728799615228837E-2</v>
      </c>
      <c r="O174" s="19">
        <v>121.36</v>
      </c>
      <c r="P174" s="19">
        <f t="shared" si="55"/>
        <v>0.11541073815309842</v>
      </c>
      <c r="Q174" s="19">
        <f t="shared" si="56"/>
        <v>7.102199270959903E-3</v>
      </c>
      <c r="R174" s="19">
        <f t="shared" si="57"/>
        <v>21.933262454434995</v>
      </c>
      <c r="S174" s="19">
        <f t="shared" si="58"/>
        <v>1.8567841231267721E-14</v>
      </c>
      <c r="T174" s="83">
        <f t="shared" si="59"/>
        <v>66.987550455121223</v>
      </c>
    </row>
    <row r="175" spans="1:20">
      <c r="A175" s="9" t="s">
        <v>1139</v>
      </c>
      <c r="B175" s="9" t="s">
        <v>11</v>
      </c>
      <c r="C175">
        <v>38</v>
      </c>
      <c r="D175">
        <v>1.2</v>
      </c>
      <c r="E175">
        <v>1.9E-2</v>
      </c>
      <c r="F175">
        <v>1.2</v>
      </c>
      <c r="G175" s="1">
        <f t="shared" si="48"/>
        <v>3.4009999999999997E-6</v>
      </c>
      <c r="H175" s="19">
        <f t="shared" si="49"/>
        <v>-5.744902794653704E-6</v>
      </c>
      <c r="I175" s="1">
        <f t="shared" si="50"/>
        <v>2.5269999999999997E-8</v>
      </c>
      <c r="J175" s="1">
        <f t="shared" si="51"/>
        <v>5.0540000000000002E-6</v>
      </c>
      <c r="K175" s="19">
        <f t="shared" si="52"/>
        <v>2.5371810449574729E-4</v>
      </c>
      <c r="L175" s="19">
        <f t="shared" si="53"/>
        <v>0.15875504252733902</v>
      </c>
      <c r="M175" s="19">
        <f t="shared" si="54"/>
        <v>5.4368165249088702E-6</v>
      </c>
      <c r="N175" s="19">
        <f t="shared" si="31"/>
        <v>1.8728799615228837E-2</v>
      </c>
      <c r="O175" s="19">
        <v>122.36</v>
      </c>
      <c r="P175" s="19">
        <f t="shared" si="55"/>
        <v>3.0038411300121505E-2</v>
      </c>
      <c r="Q175" s="19">
        <f t="shared" si="56"/>
        <v>1.8485176184690158E-3</v>
      </c>
      <c r="R175" s="19">
        <f t="shared" si="57"/>
        <v>5.7086573511543142</v>
      </c>
      <c r="S175" s="19">
        <f t="shared" si="58"/>
        <v>4.8327257999189957E-15</v>
      </c>
      <c r="T175" s="83">
        <f t="shared" si="59"/>
        <v>38.381569145806992</v>
      </c>
    </row>
    <row r="176" spans="1:20">
      <c r="A176" s="9" t="s">
        <v>1140</v>
      </c>
      <c r="B176" s="9" t="s">
        <v>11</v>
      </c>
      <c r="C176">
        <v>105</v>
      </c>
      <c r="D176">
        <v>1.1000000000000001</v>
      </c>
      <c r="E176">
        <v>4.4999999999999998E-2</v>
      </c>
      <c r="F176">
        <v>1.1000000000000001</v>
      </c>
      <c r="G176" s="1">
        <f t="shared" si="48"/>
        <v>8.055E-6</v>
      </c>
      <c r="H176" s="19">
        <f t="shared" si="49"/>
        <v>-1.587407351154313E-5</v>
      </c>
      <c r="I176" s="1">
        <f t="shared" si="50"/>
        <v>5.9849999999999997E-8</v>
      </c>
      <c r="J176" s="1">
        <f t="shared" si="51"/>
        <v>1.1970000000000001E-5</v>
      </c>
      <c r="K176" s="19">
        <f t="shared" si="52"/>
        <v>7.0106318347509116E-4</v>
      </c>
      <c r="L176" s="19">
        <f t="shared" si="53"/>
        <v>0.43866524908869992</v>
      </c>
      <c r="M176" s="19">
        <f t="shared" si="54"/>
        <v>1.5022782503037667E-5</v>
      </c>
      <c r="N176" s="19">
        <f t="shared" si="31"/>
        <v>1.8728799615228837E-2</v>
      </c>
      <c r="O176" s="19">
        <v>123.36</v>
      </c>
      <c r="P176" s="19">
        <f t="shared" si="55"/>
        <v>8.3000873329283104E-2</v>
      </c>
      <c r="Q176" s="19">
        <f t="shared" si="56"/>
        <v>5.1077460510328071E-3</v>
      </c>
      <c r="R176" s="19">
        <f t="shared" si="57"/>
        <v>15.773921628189552</v>
      </c>
      <c r="S176" s="19">
        <f t="shared" si="58"/>
        <v>1.3353584447144594E-14</v>
      </c>
      <c r="T176" s="83">
        <f t="shared" si="59"/>
        <v>56.511023841249134</v>
      </c>
    </row>
    <row r="177" spans="1:20">
      <c r="A177" s="9" t="s">
        <v>1141</v>
      </c>
      <c r="B177" s="9" t="s">
        <v>11</v>
      </c>
      <c r="C177">
        <v>689</v>
      </c>
      <c r="D177">
        <v>1.02</v>
      </c>
      <c r="E177">
        <v>0.17599999999999999</v>
      </c>
      <c r="F177">
        <v>1.02</v>
      </c>
      <c r="G177" s="1">
        <f t="shared" si="48"/>
        <v>3.1503999999999995E-5</v>
      </c>
      <c r="H177" s="19">
        <f t="shared" si="49"/>
        <v>-1.0416415856622111E-4</v>
      </c>
      <c r="I177" s="1">
        <f t="shared" si="50"/>
        <v>2.3407999999999999E-7</v>
      </c>
      <c r="J177" s="1">
        <f t="shared" si="51"/>
        <v>4.6816E-5</v>
      </c>
      <c r="K177" s="19">
        <f t="shared" si="52"/>
        <v>4.600309842041312E-3</v>
      </c>
      <c r="L177" s="19">
        <f t="shared" si="53"/>
        <v>2.8784795868772783</v>
      </c>
      <c r="M177" s="19">
        <f t="shared" si="54"/>
        <v>9.8578068043742411E-5</v>
      </c>
      <c r="N177" s="19">
        <f t="shared" si="31"/>
        <v>1.8728799615228837E-2</v>
      </c>
      <c r="O177" s="19">
        <v>124.36</v>
      </c>
      <c r="P177" s="19">
        <f t="shared" si="55"/>
        <v>0.54464382594167682</v>
      </c>
      <c r="Q177" s="19">
        <f t="shared" si="56"/>
        <v>3.3516543134872422E-2</v>
      </c>
      <c r="R177" s="19">
        <f t="shared" si="57"/>
        <v>103.50697144592954</v>
      </c>
      <c r="S177" s="19">
        <f t="shared" si="58"/>
        <v>8.7624949372215481E-14</v>
      </c>
      <c r="T177" s="83">
        <f t="shared" si="59"/>
        <v>210.98813945149274</v>
      </c>
    </row>
    <row r="178" spans="1:20">
      <c r="A178" s="9" t="s">
        <v>1142</v>
      </c>
      <c r="B178" s="9" t="s">
        <v>11</v>
      </c>
      <c r="C178">
        <v>713</v>
      </c>
      <c r="D178">
        <v>1.02</v>
      </c>
      <c r="E178">
        <v>0.19400000000000001</v>
      </c>
      <c r="F178">
        <v>1.02</v>
      </c>
      <c r="G178" s="1">
        <f t="shared" si="48"/>
        <v>3.4725999999999999E-5</v>
      </c>
      <c r="H178" s="19">
        <f t="shared" si="49"/>
        <v>-1.0779251822600239E-4</v>
      </c>
      <c r="I178" s="1">
        <f t="shared" si="50"/>
        <v>2.5801999999999998E-7</v>
      </c>
      <c r="J178" s="1">
        <f t="shared" si="51"/>
        <v>5.1604000000000003E-5</v>
      </c>
      <c r="K178" s="19">
        <f t="shared" si="52"/>
        <v>4.7605528554070476E-3</v>
      </c>
      <c r="L178" s="19">
        <f t="shared" si="53"/>
        <v>2.978745929526124</v>
      </c>
      <c r="M178" s="19">
        <f t="shared" si="54"/>
        <v>1.0201184690157958E-4</v>
      </c>
      <c r="N178" s="19">
        <f t="shared" si="31"/>
        <v>1.8728799615228837E-2</v>
      </c>
      <c r="O178" s="19">
        <v>125.36</v>
      </c>
      <c r="P178" s="19">
        <f t="shared" si="55"/>
        <v>0.56361545413122716</v>
      </c>
      <c r="Q178" s="19">
        <f t="shared" si="56"/>
        <v>3.4684027946537063E-2</v>
      </c>
      <c r="R178" s="19">
        <f t="shared" si="57"/>
        <v>107.11243924665858</v>
      </c>
      <c r="S178" s="19">
        <f t="shared" si="58"/>
        <v>9.0677197245848531E-14</v>
      </c>
      <c r="T178" s="83">
        <f t="shared" si="59"/>
        <v>217.79085069089581</v>
      </c>
    </row>
    <row r="179" spans="1:20">
      <c r="A179" s="9" t="s">
        <v>1143</v>
      </c>
      <c r="B179" s="9" t="s">
        <v>11</v>
      </c>
      <c r="C179">
        <v>147</v>
      </c>
      <c r="D179">
        <v>1.1000000000000001</v>
      </c>
      <c r="E179">
        <v>4.2999999999999997E-2</v>
      </c>
      <c r="F179">
        <v>1.1000000000000001</v>
      </c>
      <c r="G179" s="1">
        <f t="shared" si="48"/>
        <v>7.6969999999999993E-6</v>
      </c>
      <c r="H179" s="19">
        <f t="shared" si="49"/>
        <v>-2.2223702916160381E-5</v>
      </c>
      <c r="I179" s="1">
        <f t="shared" si="50"/>
        <v>5.7189999999999991E-8</v>
      </c>
      <c r="J179" s="1">
        <f t="shared" si="51"/>
        <v>1.1438E-5</v>
      </c>
      <c r="K179" s="19">
        <f t="shared" si="52"/>
        <v>9.8148845686512752E-4</v>
      </c>
      <c r="L179" s="19">
        <f t="shared" si="53"/>
        <v>0.61413134872417985</v>
      </c>
      <c r="M179" s="19">
        <f t="shared" si="54"/>
        <v>2.1031895504252734E-5</v>
      </c>
      <c r="N179" s="19">
        <f t="shared" si="31"/>
        <v>1.8728799615228837E-2</v>
      </c>
      <c r="O179" s="19">
        <v>127.36</v>
      </c>
      <c r="P179" s="19">
        <f t="shared" si="55"/>
        <v>0.11620122266099635</v>
      </c>
      <c r="Q179" s="19">
        <f t="shared" si="56"/>
        <v>7.15084447144593E-3</v>
      </c>
      <c r="R179" s="19">
        <f t="shared" si="57"/>
        <v>22.083490279465373</v>
      </c>
      <c r="S179" s="19">
        <f t="shared" si="58"/>
        <v>1.8695018226002433E-14</v>
      </c>
      <c r="T179" s="83">
        <f t="shared" si="59"/>
        <v>68.312497373254686</v>
      </c>
    </row>
    <row r="180" spans="1:20">
      <c r="A180" s="9" t="s">
        <v>1144</v>
      </c>
      <c r="B180" s="9" t="s">
        <v>11</v>
      </c>
      <c r="C180">
        <v>151</v>
      </c>
      <c r="D180">
        <v>1.1000000000000001</v>
      </c>
      <c r="E180">
        <v>4.2000000000000003E-2</v>
      </c>
      <c r="F180">
        <v>1.1000000000000001</v>
      </c>
      <c r="G180" s="1">
        <f t="shared" si="48"/>
        <v>7.5179999999999998E-6</v>
      </c>
      <c r="H180" s="19">
        <f t="shared" si="49"/>
        <v>-2.282842952612393E-5</v>
      </c>
      <c r="I180" s="1">
        <f t="shared" si="50"/>
        <v>5.5860000000000005E-8</v>
      </c>
      <c r="J180" s="1">
        <f t="shared" si="51"/>
        <v>1.1172000000000001E-5</v>
      </c>
      <c r="K180" s="19">
        <f t="shared" si="52"/>
        <v>1.0081956257594169E-3</v>
      </c>
      <c r="L180" s="19">
        <f t="shared" si="53"/>
        <v>0.63084240583232087</v>
      </c>
      <c r="M180" s="19">
        <f t="shared" si="54"/>
        <v>2.1604191980558931E-5</v>
      </c>
      <c r="N180" s="19">
        <f t="shared" si="31"/>
        <v>1.8728799615228837E-2</v>
      </c>
      <c r="O180" s="19">
        <v>128.36000000000001</v>
      </c>
      <c r="P180" s="19">
        <f t="shared" si="55"/>
        <v>0.11936316069258809</v>
      </c>
      <c r="Q180" s="19">
        <f t="shared" si="56"/>
        <v>7.3454252733900363E-3</v>
      </c>
      <c r="R180" s="19">
        <f t="shared" si="57"/>
        <v>22.684401579586879</v>
      </c>
      <c r="S180" s="19">
        <f t="shared" si="58"/>
        <v>1.9203726204941274E-14</v>
      </c>
      <c r="T180" s="83">
        <f t="shared" si="59"/>
        <v>69.563827319688571</v>
      </c>
    </row>
    <row r="181" spans="1:20">
      <c r="A181" s="9" t="s">
        <v>1145</v>
      </c>
      <c r="B181" s="9" t="s">
        <v>11</v>
      </c>
      <c r="C181">
        <v>280</v>
      </c>
      <c r="D181">
        <v>1.05</v>
      </c>
      <c r="E181">
        <v>5.7000000000000002E-2</v>
      </c>
      <c r="F181">
        <v>1.05</v>
      </c>
      <c r="G181" s="1">
        <f t="shared" si="48"/>
        <v>1.0203E-5</v>
      </c>
      <c r="H181" s="19">
        <f t="shared" si="49"/>
        <v>-4.2330862697448346E-5</v>
      </c>
      <c r="I181" s="1">
        <f t="shared" si="50"/>
        <v>7.5810000000000002E-8</v>
      </c>
      <c r="J181" s="1">
        <f t="shared" si="51"/>
        <v>1.5162000000000002E-5</v>
      </c>
      <c r="K181" s="19">
        <f t="shared" si="52"/>
        <v>1.8695018226002431E-3</v>
      </c>
      <c r="L181" s="19">
        <f t="shared" si="53"/>
        <v>1.1697739975698664</v>
      </c>
      <c r="M181" s="19">
        <f t="shared" si="54"/>
        <v>4.0060753341433776E-5</v>
      </c>
      <c r="N181" s="19">
        <f t="shared" si="31"/>
        <v>1.8728799615228837E-2</v>
      </c>
      <c r="O181" s="19">
        <v>129.36000000000001</v>
      </c>
      <c r="P181" s="19">
        <f t="shared" si="55"/>
        <v>0.22133566221142162</v>
      </c>
      <c r="Q181" s="19">
        <f t="shared" si="56"/>
        <v>1.3620656136087485E-2</v>
      </c>
      <c r="R181" s="19">
        <f t="shared" si="57"/>
        <v>42.063791008505468</v>
      </c>
      <c r="S181" s="19">
        <f t="shared" si="58"/>
        <v>3.5609558525718916E-14</v>
      </c>
      <c r="T181" s="83">
        <f t="shared" si="59"/>
        <v>103.60728335250552</v>
      </c>
    </row>
    <row r="182" spans="1:20">
      <c r="A182" s="9" t="s">
        <v>1146</v>
      </c>
      <c r="B182" s="9" t="s">
        <v>11</v>
      </c>
      <c r="C182">
        <v>129</v>
      </c>
      <c r="D182">
        <v>1.1000000000000001</v>
      </c>
      <c r="E182">
        <v>3.1E-2</v>
      </c>
      <c r="F182">
        <v>1.1000000000000001</v>
      </c>
      <c r="G182" s="1">
        <f t="shared" si="48"/>
        <v>5.5489999999999997E-6</v>
      </c>
      <c r="H182" s="19">
        <f t="shared" si="49"/>
        <v>-1.9502433171324416E-5</v>
      </c>
      <c r="I182" s="1">
        <f t="shared" si="50"/>
        <v>4.1229999999999999E-8</v>
      </c>
      <c r="J182" s="1">
        <f t="shared" si="51"/>
        <v>8.2460000000000003E-6</v>
      </c>
      <c r="K182" s="19">
        <f t="shared" si="52"/>
        <v>8.6130619684082624E-4</v>
      </c>
      <c r="L182" s="19">
        <f t="shared" si="53"/>
        <v>0.53893159173754557</v>
      </c>
      <c r="M182" s="19">
        <f t="shared" si="54"/>
        <v>1.8456561360874849E-5</v>
      </c>
      <c r="N182" s="19">
        <f t="shared" si="31"/>
        <v>1.8728799615228837E-2</v>
      </c>
      <c r="O182" s="19">
        <v>130.36000000000001</v>
      </c>
      <c r="P182" s="19">
        <f t="shared" si="55"/>
        <v>0.10197250151883354</v>
      </c>
      <c r="Q182" s="19">
        <f t="shared" si="56"/>
        <v>6.2752308626974488E-3</v>
      </c>
      <c r="R182" s="19">
        <f t="shared" si="57"/>
        <v>19.379389428918593</v>
      </c>
      <c r="S182" s="19">
        <f t="shared" si="58"/>
        <v>1.6405832320777645E-14</v>
      </c>
      <c r="T182" s="83">
        <f t="shared" si="59"/>
        <v>64.100759666252301</v>
      </c>
    </row>
    <row r="183" spans="1:20">
      <c r="A183" s="9" t="s">
        <v>1147</v>
      </c>
      <c r="B183" s="9" t="s">
        <v>11</v>
      </c>
      <c r="C183">
        <v>66</v>
      </c>
      <c r="D183">
        <v>1.1000000000000001</v>
      </c>
      <c r="E183">
        <v>2.3E-2</v>
      </c>
      <c r="F183">
        <v>1.1000000000000001</v>
      </c>
      <c r="G183" s="1">
        <f t="shared" si="48"/>
        <v>4.1169999999999997E-6</v>
      </c>
      <c r="H183" s="19">
        <f t="shared" si="49"/>
        <v>-9.9779890643985393E-6</v>
      </c>
      <c r="I183" s="1">
        <f t="shared" si="50"/>
        <v>3.0589999999999998E-8</v>
      </c>
      <c r="J183" s="1">
        <f t="shared" si="51"/>
        <v>6.1180000000000005E-6</v>
      </c>
      <c r="K183" s="19">
        <f t="shared" si="52"/>
        <v>4.406682867557716E-4</v>
      </c>
      <c r="L183" s="19">
        <f t="shared" si="53"/>
        <v>0.27573244228432564</v>
      </c>
      <c r="M183" s="19">
        <f t="shared" si="54"/>
        <v>9.4428918590522476E-6</v>
      </c>
      <c r="N183" s="19">
        <f t="shared" si="31"/>
        <v>1.8728799615228837E-2</v>
      </c>
      <c r="O183" s="19">
        <v>131.36000000000001</v>
      </c>
      <c r="P183" s="19">
        <f t="shared" si="55"/>
        <v>5.2171977521263666E-2</v>
      </c>
      <c r="Q183" s="19">
        <f t="shared" si="56"/>
        <v>3.2105832320777645E-3</v>
      </c>
      <c r="R183" s="19">
        <f t="shared" si="57"/>
        <v>9.9150364520048608</v>
      </c>
      <c r="S183" s="19">
        <f t="shared" si="58"/>
        <v>8.3936816524908875E-15</v>
      </c>
      <c r="T183" s="83">
        <f t="shared" si="59"/>
        <v>47.804714069544019</v>
      </c>
    </row>
    <row r="184" spans="1:20">
      <c r="A184" s="9" t="s">
        <v>1148</v>
      </c>
      <c r="B184" s="9" t="s">
        <v>11</v>
      </c>
      <c r="C184">
        <v>375</v>
      </c>
      <c r="D184">
        <v>1.05</v>
      </c>
      <c r="E184">
        <v>5.7000000000000002E-2</v>
      </c>
      <c r="F184">
        <v>1.05</v>
      </c>
      <c r="G184" s="1">
        <f t="shared" si="48"/>
        <v>1.0203E-5</v>
      </c>
      <c r="H184" s="19">
        <f t="shared" si="49"/>
        <v>-5.6693119684082605E-5</v>
      </c>
      <c r="I184" s="1">
        <f t="shared" si="50"/>
        <v>7.5810000000000002E-8</v>
      </c>
      <c r="J184" s="1">
        <f t="shared" si="51"/>
        <v>1.5162000000000002E-5</v>
      </c>
      <c r="K184" s="19">
        <f t="shared" si="52"/>
        <v>2.5037970838396113E-3</v>
      </c>
      <c r="L184" s="19">
        <f t="shared" si="53"/>
        <v>1.566661603888214</v>
      </c>
      <c r="M184" s="19">
        <f t="shared" si="54"/>
        <v>5.365279465370595E-5</v>
      </c>
      <c r="N184" s="19">
        <f t="shared" si="31"/>
        <v>1.8728799615228837E-2</v>
      </c>
      <c r="O184" s="19">
        <v>132.36000000000001</v>
      </c>
      <c r="P184" s="19">
        <f t="shared" si="55"/>
        <v>0.29643169046172541</v>
      </c>
      <c r="Q184" s="19">
        <f t="shared" si="56"/>
        <v>1.8241950182260026E-2</v>
      </c>
      <c r="R184" s="19">
        <f t="shared" si="57"/>
        <v>56.335434386391256</v>
      </c>
      <c r="S184" s="19">
        <f t="shared" si="58"/>
        <v>4.7691373025516408E-14</v>
      </c>
      <c r="T184" s="83">
        <f t="shared" si="59"/>
        <v>128.99396852068466</v>
      </c>
    </row>
    <row r="185" spans="1:20">
      <c r="A185" s="9" t="s">
        <v>1149</v>
      </c>
      <c r="B185" s="9" t="s">
        <v>11</v>
      </c>
      <c r="C185">
        <v>288</v>
      </c>
      <c r="D185">
        <v>1.05</v>
      </c>
      <c r="E185">
        <v>5.7000000000000002E-2</v>
      </c>
      <c r="F185">
        <v>1.05</v>
      </c>
      <c r="G185" s="1">
        <f t="shared" si="48"/>
        <v>1.0203E-5</v>
      </c>
      <c r="H185" s="19">
        <f t="shared" si="49"/>
        <v>-4.3540315917375444E-5</v>
      </c>
      <c r="I185" s="1">
        <f t="shared" si="50"/>
        <v>7.5810000000000002E-8</v>
      </c>
      <c r="J185" s="1">
        <f t="shared" si="51"/>
        <v>1.5162000000000002E-5</v>
      </c>
      <c r="K185" s="19">
        <f t="shared" si="52"/>
        <v>1.9229161603888214E-3</v>
      </c>
      <c r="L185" s="19">
        <f t="shared" si="53"/>
        <v>1.2031961117861483</v>
      </c>
      <c r="M185" s="19">
        <f t="shared" si="54"/>
        <v>4.1205346294046169E-5</v>
      </c>
      <c r="N185" s="19">
        <f t="shared" si="31"/>
        <v>1.8728799615228837E-2</v>
      </c>
      <c r="O185" s="19">
        <v>133.36000000000001</v>
      </c>
      <c r="P185" s="19">
        <f t="shared" si="55"/>
        <v>0.22765953827460511</v>
      </c>
      <c r="Q185" s="19">
        <f t="shared" si="56"/>
        <v>1.40098177399757E-2</v>
      </c>
      <c r="R185" s="19">
        <f t="shared" si="57"/>
        <v>43.265613608748481</v>
      </c>
      <c r="S185" s="19">
        <f t="shared" si="58"/>
        <v>3.66269744835966E-14</v>
      </c>
      <c r="T185" s="83">
        <f t="shared" si="59"/>
        <v>106.60700420877323</v>
      </c>
    </row>
    <row r="186" spans="1:20">
      <c r="A186" s="9" t="s">
        <v>1150</v>
      </c>
      <c r="B186" s="9" t="s">
        <v>11</v>
      </c>
      <c r="C186">
        <v>67</v>
      </c>
      <c r="D186">
        <v>1.1000000000000001</v>
      </c>
      <c r="E186">
        <v>2.3E-2</v>
      </c>
      <c r="F186">
        <v>1.1000000000000001</v>
      </c>
      <c r="G186" s="1">
        <f t="shared" si="48"/>
        <v>4.1169999999999997E-6</v>
      </c>
      <c r="H186" s="19">
        <f t="shared" si="49"/>
        <v>-1.0129170716889426E-5</v>
      </c>
      <c r="I186" s="1">
        <f t="shared" si="50"/>
        <v>3.0589999999999998E-8</v>
      </c>
      <c r="J186" s="1">
        <f t="shared" si="51"/>
        <v>6.1180000000000005E-6</v>
      </c>
      <c r="K186" s="19">
        <f t="shared" si="52"/>
        <v>4.4734507897934388E-4</v>
      </c>
      <c r="L186" s="19">
        <f t="shared" si="53"/>
        <v>0.2799102065613609</v>
      </c>
      <c r="M186" s="19">
        <f t="shared" si="54"/>
        <v>9.5859659781287975E-6</v>
      </c>
      <c r="N186" s="19">
        <f t="shared" si="31"/>
        <v>1.8728799615228837E-2</v>
      </c>
      <c r="O186" s="19">
        <v>134.36000000000001</v>
      </c>
      <c r="P186" s="19">
        <f t="shared" si="55"/>
        <v>5.2962462029161606E-2</v>
      </c>
      <c r="Q186" s="19">
        <f t="shared" si="56"/>
        <v>3.2592284325637911E-3</v>
      </c>
      <c r="R186" s="19">
        <f t="shared" si="57"/>
        <v>10.065264277035238</v>
      </c>
      <c r="S186" s="19">
        <f t="shared" si="58"/>
        <v>8.5208586472255979E-15</v>
      </c>
      <c r="T186" s="83">
        <f t="shared" si="59"/>
        <v>48.754679176577461</v>
      </c>
    </row>
    <row r="187" spans="1:20">
      <c r="A187" s="9" t="s">
        <v>1151</v>
      </c>
      <c r="B187" s="9" t="s">
        <v>11</v>
      </c>
      <c r="C187">
        <v>347</v>
      </c>
      <c r="D187">
        <v>1.05</v>
      </c>
      <c r="E187">
        <v>6.9000000000000006E-2</v>
      </c>
      <c r="F187">
        <v>1.05</v>
      </c>
      <c r="G187" s="1">
        <f t="shared" si="48"/>
        <v>1.2351000000000001E-5</v>
      </c>
      <c r="H187" s="19">
        <f t="shared" si="49"/>
        <v>-5.2460033414337773E-5</v>
      </c>
      <c r="I187" s="1">
        <f t="shared" si="50"/>
        <v>9.1770000000000007E-8</v>
      </c>
      <c r="J187" s="1">
        <f t="shared" si="51"/>
        <v>1.8354000000000004E-5</v>
      </c>
      <c r="K187" s="19">
        <f t="shared" si="52"/>
        <v>2.316846901579587E-3</v>
      </c>
      <c r="L187" s="19">
        <f t="shared" si="53"/>
        <v>1.4496842041312272</v>
      </c>
      <c r="M187" s="19">
        <f t="shared" si="54"/>
        <v>4.9646719319562579E-5</v>
      </c>
      <c r="N187" s="19">
        <f t="shared" si="31"/>
        <v>1.8728799615228837E-2</v>
      </c>
      <c r="O187" s="19">
        <v>135.36000000000001</v>
      </c>
      <c r="P187" s="19">
        <f t="shared" si="55"/>
        <v>0.27429812424058325</v>
      </c>
      <c r="Q187" s="19">
        <f t="shared" si="56"/>
        <v>1.6879884568651277E-2</v>
      </c>
      <c r="R187" s="19">
        <f t="shared" si="57"/>
        <v>52.129055285540709</v>
      </c>
      <c r="S187" s="19">
        <f t="shared" si="58"/>
        <v>4.4130417172944517E-14</v>
      </c>
      <c r="T187" s="83">
        <f t="shared" si="59"/>
        <v>122.62731130414767</v>
      </c>
    </row>
    <row r="188" spans="1:20">
      <c r="A188" s="9" t="s">
        <v>1152</v>
      </c>
      <c r="B188" s="9" t="s">
        <v>11</v>
      </c>
      <c r="C188">
        <v>466</v>
      </c>
      <c r="D188">
        <v>1.05</v>
      </c>
      <c r="E188">
        <v>0.1</v>
      </c>
      <c r="F188">
        <v>1.05</v>
      </c>
      <c r="G188" s="1">
        <f t="shared" si="48"/>
        <v>1.7899999999999998E-5</v>
      </c>
      <c r="H188" s="19">
        <f t="shared" si="49"/>
        <v>-7.0450650060753319E-5</v>
      </c>
      <c r="I188" s="1">
        <f t="shared" si="50"/>
        <v>1.3300000000000001E-7</v>
      </c>
      <c r="J188" s="1">
        <f t="shared" si="51"/>
        <v>2.6600000000000003E-5</v>
      </c>
      <c r="K188" s="19">
        <f t="shared" si="52"/>
        <v>3.11138517618469E-3</v>
      </c>
      <c r="L188" s="19">
        <f t="shared" si="53"/>
        <v>1.9468381530984205</v>
      </c>
      <c r="M188" s="19">
        <f t="shared" si="54"/>
        <v>6.6672539489671931E-5</v>
      </c>
      <c r="N188" s="19">
        <f t="shared" si="31"/>
        <v>1.8728799615228837E-2</v>
      </c>
      <c r="O188" s="19">
        <v>136.36000000000001</v>
      </c>
      <c r="P188" s="19">
        <f t="shared" si="55"/>
        <v>0.3683657806804374</v>
      </c>
      <c r="Q188" s="19">
        <f t="shared" si="56"/>
        <v>2.2668663426488458E-2</v>
      </c>
      <c r="R188" s="19">
        <f t="shared" si="57"/>
        <v>70.006166464155541</v>
      </c>
      <c r="S188" s="19">
        <f t="shared" si="58"/>
        <v>5.9264479546375059E-14</v>
      </c>
      <c r="T188" s="83">
        <f t="shared" si="59"/>
        <v>154.36760397382997</v>
      </c>
    </row>
    <row r="189" spans="1:20">
      <c r="A189" s="9" t="s">
        <v>1153</v>
      </c>
      <c r="B189" s="9" t="s">
        <v>11</v>
      </c>
      <c r="C189">
        <v>38</v>
      </c>
      <c r="D189">
        <v>1.3</v>
      </c>
      <c r="E189">
        <v>1.7000000000000001E-2</v>
      </c>
      <c r="F189">
        <v>1.3</v>
      </c>
      <c r="G189" s="1">
        <f t="shared" si="48"/>
        <v>3.0429999999999999E-6</v>
      </c>
      <c r="H189" s="19">
        <f t="shared" si="49"/>
        <v>-5.744902794653704E-6</v>
      </c>
      <c r="I189" s="1">
        <f t="shared" si="50"/>
        <v>2.2610000000000002E-8</v>
      </c>
      <c r="J189" s="1">
        <f t="shared" si="51"/>
        <v>4.5220000000000009E-6</v>
      </c>
      <c r="K189" s="19">
        <f t="shared" si="52"/>
        <v>2.5371810449574729E-4</v>
      </c>
      <c r="L189" s="19">
        <f t="shared" si="53"/>
        <v>0.15875504252733902</v>
      </c>
      <c r="M189" s="19">
        <f t="shared" si="54"/>
        <v>5.4368165249088702E-6</v>
      </c>
      <c r="N189" s="19">
        <f t="shared" si="31"/>
        <v>1.8728799615228837E-2</v>
      </c>
      <c r="O189" s="19">
        <v>137.36000000000001</v>
      </c>
      <c r="P189" s="19">
        <f t="shared" si="55"/>
        <v>3.0038411300121505E-2</v>
      </c>
      <c r="Q189" s="19">
        <f t="shared" si="56"/>
        <v>1.8485176184690158E-3</v>
      </c>
      <c r="R189" s="19">
        <f t="shared" si="57"/>
        <v>5.7086573511543142</v>
      </c>
      <c r="S189" s="19">
        <f t="shared" si="58"/>
        <v>4.8327257999189957E-15</v>
      </c>
      <c r="T189" s="83">
        <f t="shared" si="59"/>
        <v>41.794508182407</v>
      </c>
    </row>
    <row r="190" spans="1:20">
      <c r="A190" s="9" t="s">
        <v>1154</v>
      </c>
      <c r="B190" s="9" t="s">
        <v>11</v>
      </c>
      <c r="C190">
        <v>171</v>
      </c>
      <c r="D190">
        <v>1.1000000000000001</v>
      </c>
      <c r="E190">
        <v>3.4000000000000002E-2</v>
      </c>
      <c r="F190">
        <v>1.1000000000000001</v>
      </c>
      <c r="G190" s="1">
        <f t="shared" si="48"/>
        <v>6.0859999999999998E-6</v>
      </c>
      <c r="H190" s="19">
        <f t="shared" si="49"/>
        <v>-2.5852062575941667E-5</v>
      </c>
      <c r="I190" s="1">
        <f t="shared" si="50"/>
        <v>4.5220000000000004E-8</v>
      </c>
      <c r="J190" s="1">
        <f t="shared" si="51"/>
        <v>9.0440000000000018E-6</v>
      </c>
      <c r="K190" s="19">
        <f t="shared" si="52"/>
        <v>1.1417314702308627E-3</v>
      </c>
      <c r="L190" s="19">
        <f t="shared" si="53"/>
        <v>0.71439769137302556</v>
      </c>
      <c r="M190" s="19">
        <f t="shared" si="54"/>
        <v>2.4465674362089916E-5</v>
      </c>
      <c r="N190" s="19">
        <f t="shared" si="31"/>
        <v>1.8728799615228837E-2</v>
      </c>
      <c r="O190" s="19">
        <v>138.36000000000001</v>
      </c>
      <c r="P190" s="19">
        <f t="shared" si="55"/>
        <v>0.13517285085054678</v>
      </c>
      <c r="Q190" s="19">
        <f t="shared" si="56"/>
        <v>8.3183292831105708E-3</v>
      </c>
      <c r="R190" s="19">
        <f t="shared" si="57"/>
        <v>25.688958080194414</v>
      </c>
      <c r="S190" s="19">
        <f t="shared" si="58"/>
        <v>2.1747266099635482E-14</v>
      </c>
      <c r="T190" s="83">
        <f t="shared" si="59"/>
        <v>76.914885606757835</v>
      </c>
    </row>
    <row r="191" spans="1:20">
      <c r="A191" s="9" t="s">
        <v>1155</v>
      </c>
      <c r="B191" s="9" t="s">
        <v>11</v>
      </c>
      <c r="C191">
        <v>263</v>
      </c>
      <c r="D191">
        <v>1.05</v>
      </c>
      <c r="E191">
        <v>5.5E-2</v>
      </c>
      <c r="F191">
        <v>1.05</v>
      </c>
      <c r="G191" s="1">
        <f t="shared" si="48"/>
        <v>9.8449999999999998E-6</v>
      </c>
      <c r="H191" s="19">
        <f t="shared" si="49"/>
        <v>-3.9760774605103271E-5</v>
      </c>
      <c r="I191" s="1">
        <f t="shared" si="50"/>
        <v>7.3150000000000003E-8</v>
      </c>
      <c r="J191" s="1">
        <f t="shared" si="51"/>
        <v>1.4630000000000001E-5</v>
      </c>
      <c r="K191" s="19">
        <f t="shared" si="52"/>
        <v>1.7559963547995139E-3</v>
      </c>
      <c r="L191" s="19">
        <f t="shared" si="53"/>
        <v>1.0987520048602675</v>
      </c>
      <c r="M191" s="19">
        <f t="shared" si="54"/>
        <v>3.7628493317132444E-5</v>
      </c>
      <c r="N191" s="19">
        <f t="shared" si="31"/>
        <v>1.8728799615228837E-2</v>
      </c>
      <c r="O191" s="19">
        <v>139.36000000000001</v>
      </c>
      <c r="P191" s="19">
        <f t="shared" si="55"/>
        <v>0.20789742557715674</v>
      </c>
      <c r="Q191" s="19">
        <f t="shared" si="56"/>
        <v>1.2793687727825031E-2</v>
      </c>
      <c r="R191" s="19">
        <f t="shared" si="57"/>
        <v>39.509917982989066</v>
      </c>
      <c r="S191" s="19">
        <f t="shared" si="58"/>
        <v>3.3447549615228838E-14</v>
      </c>
      <c r="T191" s="83">
        <f t="shared" si="59"/>
        <v>101.4508155695366</v>
      </c>
    </row>
    <row r="192" spans="1:20">
      <c r="A192" s="9" t="s">
        <v>1156</v>
      </c>
      <c r="B192" s="9" t="s">
        <v>11</v>
      </c>
      <c r="C192">
        <v>54</v>
      </c>
      <c r="D192">
        <v>1.2</v>
      </c>
      <c r="E192">
        <v>1.9E-2</v>
      </c>
      <c r="F192">
        <v>1.2</v>
      </c>
      <c r="G192" s="1">
        <f t="shared" si="48"/>
        <v>3.4009999999999997E-6</v>
      </c>
      <c r="H192" s="19">
        <f t="shared" si="49"/>
        <v>-8.1638092345078961E-6</v>
      </c>
      <c r="I192" s="1">
        <f t="shared" si="50"/>
        <v>2.5269999999999997E-8</v>
      </c>
      <c r="J192" s="1">
        <f t="shared" si="51"/>
        <v>5.0540000000000002E-6</v>
      </c>
      <c r="K192" s="19">
        <f t="shared" si="52"/>
        <v>3.60546780072904E-4</v>
      </c>
      <c r="L192" s="19">
        <f t="shared" si="53"/>
        <v>0.22559927095990281</v>
      </c>
      <c r="M192" s="19">
        <f t="shared" si="54"/>
        <v>7.7260024301336567E-6</v>
      </c>
      <c r="N192" s="19">
        <f t="shared" si="31"/>
        <v>1.8728799615228837E-2</v>
      </c>
      <c r="O192" s="19">
        <v>140.36000000000001</v>
      </c>
      <c r="P192" s="19">
        <f t="shared" si="55"/>
        <v>4.2686163426488455E-2</v>
      </c>
      <c r="Q192" s="19">
        <f t="shared" si="56"/>
        <v>2.6268408262454437E-3</v>
      </c>
      <c r="R192" s="19">
        <f t="shared" si="57"/>
        <v>8.1123025516403402</v>
      </c>
      <c r="S192" s="19">
        <f t="shared" si="58"/>
        <v>6.8675577156743628E-15</v>
      </c>
      <c r="T192" s="83">
        <f t="shared" si="59"/>
        <v>46.681010858342432</v>
      </c>
    </row>
    <row r="193" spans="1:20">
      <c r="A193" s="9" t="s">
        <v>1157</v>
      </c>
      <c r="B193" s="9" t="s">
        <v>11</v>
      </c>
      <c r="C193">
        <v>155</v>
      </c>
      <c r="D193">
        <v>1.1000000000000001</v>
      </c>
      <c r="E193">
        <v>3.7999999999999999E-2</v>
      </c>
      <c r="F193">
        <v>1.1000000000000001</v>
      </c>
      <c r="G193" s="1">
        <f t="shared" si="48"/>
        <v>6.8019999999999994E-6</v>
      </c>
      <c r="H193" s="19">
        <f t="shared" si="49"/>
        <v>-2.3433156136087479E-5</v>
      </c>
      <c r="I193" s="1">
        <f t="shared" si="50"/>
        <v>5.0539999999999995E-8</v>
      </c>
      <c r="J193" s="1">
        <f t="shared" si="51"/>
        <v>1.0108E-5</v>
      </c>
      <c r="K193" s="19">
        <f t="shared" si="52"/>
        <v>1.034902794653706E-3</v>
      </c>
      <c r="L193" s="19">
        <f t="shared" si="53"/>
        <v>0.64755346294046179</v>
      </c>
      <c r="M193" s="19">
        <f t="shared" si="54"/>
        <v>2.2176488456865127E-5</v>
      </c>
      <c r="N193" s="19">
        <f t="shared" si="31"/>
        <v>1.8728799615228837E-2</v>
      </c>
      <c r="O193" s="19">
        <v>141.36000000000001</v>
      </c>
      <c r="P193" s="19">
        <f t="shared" si="55"/>
        <v>0.12252509872417983</v>
      </c>
      <c r="Q193" s="19">
        <f t="shared" si="56"/>
        <v>7.5400060753341436E-3</v>
      </c>
      <c r="R193" s="19">
        <f t="shared" si="57"/>
        <v>23.285312879708385</v>
      </c>
      <c r="S193" s="19">
        <f t="shared" si="58"/>
        <v>1.9712434183880116E-14</v>
      </c>
      <c r="T193" s="83">
        <f t="shared" si="59"/>
        <v>73.519565821022411</v>
      </c>
    </row>
    <row r="194" spans="1:20">
      <c r="A194" s="9" t="s">
        <v>1158</v>
      </c>
      <c r="B194" s="9" t="s">
        <v>11</v>
      </c>
      <c r="C194">
        <v>295</v>
      </c>
      <c r="D194">
        <v>1.05</v>
      </c>
      <c r="E194">
        <v>6.8000000000000005E-2</v>
      </c>
      <c r="F194">
        <v>1.05</v>
      </c>
      <c r="G194" s="1">
        <f t="shared" si="48"/>
        <v>1.2172E-5</v>
      </c>
      <c r="H194" s="19">
        <f t="shared" si="49"/>
        <v>-4.4598587484811648E-5</v>
      </c>
      <c r="I194" s="1">
        <f t="shared" si="50"/>
        <v>9.0440000000000008E-8</v>
      </c>
      <c r="J194" s="1">
        <f t="shared" si="51"/>
        <v>1.8088000000000004E-5</v>
      </c>
      <c r="K194" s="19">
        <f t="shared" si="52"/>
        <v>1.9696537059538275E-3</v>
      </c>
      <c r="L194" s="19">
        <f t="shared" si="53"/>
        <v>1.232440461725395</v>
      </c>
      <c r="M194" s="19">
        <f t="shared" si="54"/>
        <v>4.2206865127582015E-5</v>
      </c>
      <c r="N194" s="19">
        <f t="shared" si="31"/>
        <v>1.8728799615228837E-2</v>
      </c>
      <c r="O194" s="19">
        <v>142.36000000000001</v>
      </c>
      <c r="P194" s="19">
        <f t="shared" si="55"/>
        <v>0.23319292982989065</v>
      </c>
      <c r="Q194" s="19">
        <f t="shared" si="56"/>
        <v>1.4350334143377885E-2</v>
      </c>
      <c r="R194" s="19">
        <f t="shared" si="57"/>
        <v>44.317208383961123</v>
      </c>
      <c r="S194" s="19">
        <f t="shared" si="58"/>
        <v>3.7517213446739571E-14</v>
      </c>
      <c r="T194" s="83">
        <f t="shared" si="59"/>
        <v>110.7005952567075</v>
      </c>
    </row>
    <row r="195" spans="1:20">
      <c r="A195" s="9" t="s">
        <v>1159</v>
      </c>
      <c r="B195" s="9" t="s">
        <v>11</v>
      </c>
      <c r="C195">
        <v>1496</v>
      </c>
      <c r="D195">
        <v>1.01</v>
      </c>
      <c r="E195">
        <v>0.20699999999999999</v>
      </c>
      <c r="F195">
        <v>1.01</v>
      </c>
      <c r="G195" s="1">
        <f t="shared" ref="G195:G258" si="60">E195*0.000179</f>
        <v>3.7052999999999992E-5</v>
      </c>
      <c r="H195" s="19">
        <f t="shared" si="49"/>
        <v>-2.2616775212636688E-4</v>
      </c>
      <c r="I195" s="1">
        <f t="shared" si="50"/>
        <v>2.7530999999999999E-7</v>
      </c>
      <c r="J195" s="1">
        <f t="shared" si="51"/>
        <v>5.5062000000000002E-5</v>
      </c>
      <c r="K195" s="19">
        <f t="shared" si="52"/>
        <v>9.9884811664641554E-3</v>
      </c>
      <c r="L195" s="19">
        <f t="shared" si="53"/>
        <v>6.2499353584447146</v>
      </c>
      <c r="M195" s="19">
        <f t="shared" si="54"/>
        <v>2.1403888213851761E-4</v>
      </c>
      <c r="N195" s="19">
        <f t="shared" si="31"/>
        <v>1.8728799615228837E-2</v>
      </c>
      <c r="O195" s="19">
        <v>143.36000000000001</v>
      </c>
      <c r="P195" s="19">
        <f t="shared" si="55"/>
        <v>1.1825648238153099</v>
      </c>
      <c r="Q195" s="19">
        <f t="shared" si="56"/>
        <v>7.2773219927095997E-2</v>
      </c>
      <c r="R195" s="19">
        <f t="shared" si="57"/>
        <v>224.74082624544351</v>
      </c>
      <c r="S195" s="19">
        <f t="shared" si="58"/>
        <v>1.9025678412312679E-13</v>
      </c>
      <c r="T195" s="83">
        <f t="shared" si="59"/>
        <v>425.72442576019887</v>
      </c>
    </row>
    <row r="196" spans="1:20">
      <c r="A196" s="9" t="s">
        <v>1160</v>
      </c>
      <c r="B196" s="9" t="s">
        <v>11</v>
      </c>
      <c r="C196">
        <v>426</v>
      </c>
      <c r="D196">
        <v>1.03</v>
      </c>
      <c r="E196">
        <v>6.2E-2</v>
      </c>
      <c r="F196">
        <v>1.03</v>
      </c>
      <c r="G196" s="1">
        <f t="shared" si="60"/>
        <v>1.1097999999999999E-5</v>
      </c>
      <c r="H196" s="19">
        <f t="shared" ref="H196:H255" si="61">CO2_YLL_charfact*C196</f>
        <v>-6.4403383961117837E-5</v>
      </c>
      <c r="I196" s="1">
        <f t="shared" ref="I196:I255" si="62">E196*0.00000133</f>
        <v>8.2459999999999999E-8</v>
      </c>
      <c r="J196" s="1">
        <f t="shared" ref="J196:J255" si="63">E196*0.000266</f>
        <v>1.6492000000000001E-5</v>
      </c>
      <c r="K196" s="19">
        <f t="shared" ref="K196:K255" si="64">CO2_severewasting_charfact*C196</f>
        <v>2.8443134872417983E-3</v>
      </c>
      <c r="L196" s="19">
        <f t="shared" ref="L196:L255" si="65">CO2_workingcapacity_charfact*C196</f>
        <v>1.7797275820170111</v>
      </c>
      <c r="M196" s="19">
        <f t="shared" ref="M196:M255" si="66">CO2_diarrhea_charfact*C196</f>
        <v>6.094957472660996E-5</v>
      </c>
      <c r="N196" s="19">
        <f t="shared" si="31"/>
        <v>1.8728799615228837E-2</v>
      </c>
      <c r="O196" s="19">
        <v>145.36000000000001</v>
      </c>
      <c r="P196" s="19">
        <f t="shared" ref="P196:P255" si="67">CO2_meat_charfact*C196</f>
        <v>0.33674640036452003</v>
      </c>
      <c r="Q196" s="19">
        <f t="shared" ref="Q196:Q255" si="68">CO2_fish_charfact*C196</f>
        <v>2.0722855407047387E-2</v>
      </c>
      <c r="R196" s="19">
        <f t="shared" ref="R196:R255" si="69">CO2_drinkingwater_charfact*C196</f>
        <v>63.997053462940464</v>
      </c>
      <c r="S196" s="19">
        <f t="shared" ref="S196:S255" si="70">CO2_NEX_charfact*C196</f>
        <v>5.4177399756986637E-14</v>
      </c>
      <c r="T196" s="83">
        <f t="shared" ref="T196:T255" si="71">(G196+H196)*YLLvalue+I196*skincancervalue+J196*Lowvisionvalue+K196*severe_wasting_value+L196*working_capacity+M196*diarrhea_value+N196*cropvalue+O196*woodvalue+P196*meatvalue+Q196*fishvalue+R196*drinkingwatervalue+S196*speciesvalue</f>
        <v>145.3348413878914</v>
      </c>
    </row>
    <row r="197" spans="1:20">
      <c r="A197" s="9" t="s">
        <v>1161</v>
      </c>
      <c r="B197" s="9" t="s">
        <v>11</v>
      </c>
      <c r="C197">
        <v>267</v>
      </c>
      <c r="D197">
        <v>1.05</v>
      </c>
      <c r="E197">
        <v>3.9E-2</v>
      </c>
      <c r="F197">
        <v>1.05</v>
      </c>
      <c r="G197" s="1">
        <f t="shared" si="60"/>
        <v>6.9809999999999997E-6</v>
      </c>
      <c r="H197" s="19">
        <f t="shared" si="61"/>
        <v>-4.0365501215066816E-5</v>
      </c>
      <c r="I197" s="1">
        <f t="shared" si="62"/>
        <v>5.1870000000000001E-8</v>
      </c>
      <c r="J197" s="1">
        <f t="shared" si="63"/>
        <v>1.0374000000000001E-5</v>
      </c>
      <c r="K197" s="19">
        <f t="shared" si="64"/>
        <v>1.7827035236938032E-3</v>
      </c>
      <c r="L197" s="19">
        <f t="shared" si="65"/>
        <v>1.1154630619684083</v>
      </c>
      <c r="M197" s="19">
        <f t="shared" si="66"/>
        <v>3.8200789793438637E-5</v>
      </c>
      <c r="N197" s="19">
        <f t="shared" si="31"/>
        <v>1.8728799615228837E-2</v>
      </c>
      <c r="O197" s="19">
        <v>146.36000000000001</v>
      </c>
      <c r="P197" s="19">
        <f t="shared" si="67"/>
        <v>0.21105936360874847</v>
      </c>
      <c r="Q197" s="19">
        <f t="shared" si="68"/>
        <v>1.2988268529769137E-2</v>
      </c>
      <c r="R197" s="19">
        <f t="shared" si="69"/>
        <v>40.110829283110576</v>
      </c>
      <c r="S197" s="19">
        <f t="shared" si="70"/>
        <v>3.395625759416768E-14</v>
      </c>
      <c r="T197" s="83">
        <f t="shared" si="71"/>
        <v>103.80418829047046</v>
      </c>
    </row>
    <row r="198" spans="1:20">
      <c r="A198" s="9" t="s">
        <v>1162</v>
      </c>
      <c r="B198" s="9" t="s">
        <v>11</v>
      </c>
      <c r="C198">
        <v>240</v>
      </c>
      <c r="D198">
        <v>1.05</v>
      </c>
      <c r="E198">
        <v>2.8000000000000001E-2</v>
      </c>
      <c r="F198">
        <v>1.05</v>
      </c>
      <c r="G198" s="1">
        <f t="shared" si="60"/>
        <v>5.0119999999999996E-6</v>
      </c>
      <c r="H198" s="19">
        <f t="shared" si="61"/>
        <v>-3.6283596597812871E-5</v>
      </c>
      <c r="I198" s="1">
        <f t="shared" si="62"/>
        <v>3.7240000000000001E-8</v>
      </c>
      <c r="J198" s="1">
        <f t="shared" si="63"/>
        <v>7.4480000000000005E-6</v>
      </c>
      <c r="K198" s="19">
        <f t="shared" si="64"/>
        <v>1.6024301336573512E-3</v>
      </c>
      <c r="L198" s="19">
        <f t="shared" si="65"/>
        <v>1.0026634264884569</v>
      </c>
      <c r="M198" s="19">
        <f t="shared" si="66"/>
        <v>3.4337788578371812E-5</v>
      </c>
      <c r="N198" s="19">
        <f t="shared" si="31"/>
        <v>1.8728799615228837E-2</v>
      </c>
      <c r="O198" s="19">
        <v>147.36000000000001</v>
      </c>
      <c r="P198" s="19">
        <f t="shared" si="67"/>
        <v>0.18971628189550424</v>
      </c>
      <c r="Q198" s="19">
        <f t="shared" si="68"/>
        <v>1.1674848116646416E-2</v>
      </c>
      <c r="R198" s="19">
        <f t="shared" si="69"/>
        <v>36.054678007290406</v>
      </c>
      <c r="S198" s="19">
        <f t="shared" si="70"/>
        <v>3.0522478736330501E-14</v>
      </c>
      <c r="T198" s="83">
        <f t="shared" si="71"/>
        <v>96.811295101866904</v>
      </c>
    </row>
    <row r="199" spans="1:20">
      <c r="A199" s="9" t="s">
        <v>1163</v>
      </c>
      <c r="B199" s="9" t="s">
        <v>11</v>
      </c>
      <c r="C199">
        <v>348</v>
      </c>
      <c r="D199">
        <v>1.04</v>
      </c>
      <c r="E199">
        <v>3.5000000000000003E-2</v>
      </c>
      <c r="F199">
        <v>1.04</v>
      </c>
      <c r="G199" s="1">
        <f t="shared" si="60"/>
        <v>6.2650000000000002E-6</v>
      </c>
      <c r="H199" s="19">
        <f t="shared" si="61"/>
        <v>-5.261121506682866E-5</v>
      </c>
      <c r="I199" s="1">
        <f t="shared" si="62"/>
        <v>4.6550000000000003E-8</v>
      </c>
      <c r="J199" s="1">
        <f t="shared" si="63"/>
        <v>9.3100000000000006E-6</v>
      </c>
      <c r="K199" s="19">
        <f t="shared" si="64"/>
        <v>2.3235236938031591E-3</v>
      </c>
      <c r="L199" s="19">
        <f t="shared" si="65"/>
        <v>1.4538619684082625</v>
      </c>
      <c r="M199" s="19">
        <f t="shared" si="66"/>
        <v>4.9789793438639125E-5</v>
      </c>
      <c r="N199" s="19">
        <f t="shared" si="31"/>
        <v>1.8728799615228837E-2</v>
      </c>
      <c r="O199" s="19">
        <v>148.36000000000001</v>
      </c>
      <c r="P199" s="19">
        <f t="shared" si="67"/>
        <v>0.27508860874848118</v>
      </c>
      <c r="Q199" s="19">
        <f t="shared" si="68"/>
        <v>1.6928529769137304E-2</v>
      </c>
      <c r="R199" s="19">
        <f t="shared" si="69"/>
        <v>52.279283110571086</v>
      </c>
      <c r="S199" s="19">
        <f t="shared" si="70"/>
        <v>4.4257594167679223E-14</v>
      </c>
      <c r="T199" s="83">
        <f t="shared" si="71"/>
        <v>125.24724003338116</v>
      </c>
    </row>
    <row r="200" spans="1:20">
      <c r="A200" s="9" t="s">
        <v>1164</v>
      </c>
      <c r="B200" s="9" t="s">
        <v>11</v>
      </c>
      <c r="C200">
        <v>645</v>
      </c>
      <c r="D200">
        <v>1.03</v>
      </c>
      <c r="E200">
        <v>4.4999999999999998E-2</v>
      </c>
      <c r="F200">
        <v>1.03</v>
      </c>
      <c r="G200" s="1">
        <f t="shared" si="60"/>
        <v>8.055E-6</v>
      </c>
      <c r="H200" s="19">
        <f t="shared" si="61"/>
        <v>-9.7512165856622081E-5</v>
      </c>
      <c r="I200" s="1">
        <f t="shared" si="62"/>
        <v>5.9849999999999997E-8</v>
      </c>
      <c r="J200" s="1">
        <f t="shared" si="63"/>
        <v>1.1970000000000001E-5</v>
      </c>
      <c r="K200" s="19">
        <f t="shared" si="64"/>
        <v>4.3065309842041316E-3</v>
      </c>
      <c r="L200" s="19">
        <f t="shared" si="65"/>
        <v>2.6946579586877282</v>
      </c>
      <c r="M200" s="19">
        <f t="shared" si="66"/>
        <v>9.228280680437424E-5</v>
      </c>
      <c r="N200" s="19">
        <f t="shared" si="31"/>
        <v>1.8728799615228837E-2</v>
      </c>
      <c r="O200" s="19">
        <v>149.36000000000001</v>
      </c>
      <c r="P200" s="19">
        <f t="shared" si="67"/>
        <v>0.50986250759416762</v>
      </c>
      <c r="Q200" s="19">
        <f t="shared" si="68"/>
        <v>3.1376154313487239E-2</v>
      </c>
      <c r="R200" s="19">
        <f t="shared" si="69"/>
        <v>96.896947144592957</v>
      </c>
      <c r="S200" s="19">
        <f t="shared" si="70"/>
        <v>8.2029161603888218E-14</v>
      </c>
      <c r="T200" s="83">
        <f t="shared" si="71"/>
        <v>202.87218163932027</v>
      </c>
    </row>
    <row r="201" spans="1:20">
      <c r="A201" s="9" t="s">
        <v>1165</v>
      </c>
      <c r="B201" s="9" t="s">
        <v>11</v>
      </c>
      <c r="C201">
        <v>185</v>
      </c>
      <c r="D201">
        <v>1.07</v>
      </c>
      <c r="E201">
        <v>2.5000000000000001E-2</v>
      </c>
      <c r="F201">
        <v>1.07</v>
      </c>
      <c r="G201" s="1">
        <f t="shared" si="60"/>
        <v>4.4749999999999995E-6</v>
      </c>
      <c r="H201" s="19">
        <f t="shared" si="61"/>
        <v>-2.7968605710814087E-5</v>
      </c>
      <c r="I201" s="1">
        <f t="shared" si="62"/>
        <v>3.3250000000000003E-8</v>
      </c>
      <c r="J201" s="1">
        <f t="shared" si="63"/>
        <v>6.6500000000000007E-6</v>
      </c>
      <c r="K201" s="19">
        <f t="shared" si="64"/>
        <v>1.2352065613608749E-3</v>
      </c>
      <c r="L201" s="19">
        <f t="shared" si="65"/>
        <v>0.77288639125151892</v>
      </c>
      <c r="M201" s="19">
        <f t="shared" si="66"/>
        <v>2.6468712029161605E-5</v>
      </c>
      <c r="N201" s="19">
        <f t="shared" si="31"/>
        <v>1.8728799615228837E-2</v>
      </c>
      <c r="O201" s="19">
        <v>150.36000000000001</v>
      </c>
      <c r="P201" s="19">
        <f t="shared" si="67"/>
        <v>0.14623963396111786</v>
      </c>
      <c r="Q201" s="19">
        <f t="shared" si="68"/>
        <v>8.9993620899149456E-3</v>
      </c>
      <c r="R201" s="19">
        <f t="shared" si="69"/>
        <v>27.792147630619688</v>
      </c>
      <c r="S201" s="19">
        <f t="shared" si="70"/>
        <v>2.3527744025921427E-14</v>
      </c>
      <c r="T201" s="83">
        <f t="shared" si="71"/>
        <v>83.147622769926357</v>
      </c>
    </row>
    <row r="202" spans="1:20">
      <c r="A202" s="9" t="s">
        <v>1166</v>
      </c>
      <c r="B202" s="9" t="s">
        <v>11</v>
      </c>
      <c r="C202">
        <v>108</v>
      </c>
      <c r="D202">
        <v>1.1000000000000001</v>
      </c>
      <c r="E202">
        <v>0.02</v>
      </c>
      <c r="F202">
        <v>1.1000000000000001</v>
      </c>
      <c r="G202" s="1">
        <f t="shared" si="60"/>
        <v>3.5799999999999996E-6</v>
      </c>
      <c r="H202" s="19">
        <f t="shared" si="61"/>
        <v>-1.6327618469015792E-5</v>
      </c>
      <c r="I202" s="1">
        <f t="shared" si="62"/>
        <v>2.66E-8</v>
      </c>
      <c r="J202" s="1">
        <f t="shared" si="63"/>
        <v>5.3200000000000007E-6</v>
      </c>
      <c r="K202" s="19">
        <f t="shared" si="64"/>
        <v>7.2109356014580801E-4</v>
      </c>
      <c r="L202" s="19">
        <f t="shared" si="65"/>
        <v>0.45119854191980563</v>
      </c>
      <c r="M202" s="19">
        <f t="shared" si="66"/>
        <v>1.5452004860267313E-5</v>
      </c>
      <c r="N202" s="19">
        <f t="shared" si="31"/>
        <v>1.8728799615228837E-2</v>
      </c>
      <c r="O202" s="19">
        <v>151.36000000000001</v>
      </c>
      <c r="P202" s="19">
        <f t="shared" si="67"/>
        <v>8.537232685297691E-2</v>
      </c>
      <c r="Q202" s="19">
        <f t="shared" si="68"/>
        <v>5.2536816524908873E-3</v>
      </c>
      <c r="R202" s="19">
        <f t="shared" si="69"/>
        <v>16.22460510328068</v>
      </c>
      <c r="S202" s="19">
        <f t="shared" si="70"/>
        <v>1.3735115431348726E-14</v>
      </c>
      <c r="T202" s="83">
        <f t="shared" si="71"/>
        <v>63.267657119849545</v>
      </c>
    </row>
    <row r="203" spans="1:20">
      <c r="A203" s="9" t="s">
        <v>1167</v>
      </c>
      <c r="B203" s="9" t="s">
        <v>11</v>
      </c>
      <c r="C203">
        <v>834</v>
      </c>
      <c r="D203">
        <v>1.03</v>
      </c>
      <c r="E203">
        <v>5.3999999999999999E-2</v>
      </c>
      <c r="F203">
        <v>1.03</v>
      </c>
      <c r="G203" s="1">
        <f t="shared" si="60"/>
        <v>9.6659999999999986E-6</v>
      </c>
      <c r="H203" s="19">
        <f t="shared" si="61"/>
        <v>-1.2608549817739971E-4</v>
      </c>
      <c r="I203" s="1">
        <f t="shared" si="62"/>
        <v>7.1820000000000004E-8</v>
      </c>
      <c r="J203" s="1">
        <f t="shared" si="63"/>
        <v>1.4364E-5</v>
      </c>
      <c r="K203" s="19">
        <f t="shared" si="64"/>
        <v>5.5684447144592952E-3</v>
      </c>
      <c r="L203" s="19">
        <f t="shared" si="65"/>
        <v>3.4842554070473879</v>
      </c>
      <c r="M203" s="19">
        <f t="shared" si="66"/>
        <v>1.1932381530984204E-4</v>
      </c>
      <c r="N203" s="19">
        <f t="shared" si="31"/>
        <v>1.8728799615228837E-2</v>
      </c>
      <c r="O203" s="19">
        <v>152.36000000000001</v>
      </c>
      <c r="P203" s="19">
        <f t="shared" si="67"/>
        <v>0.65926407958687727</v>
      </c>
      <c r="Q203" s="19">
        <f t="shared" si="68"/>
        <v>4.0570097205346295E-2</v>
      </c>
      <c r="R203" s="19">
        <f t="shared" si="69"/>
        <v>125.29000607533415</v>
      </c>
      <c r="S203" s="19">
        <f t="shared" si="70"/>
        <v>1.0606561360874848E-13</v>
      </c>
      <c r="T203" s="83">
        <f t="shared" si="71"/>
        <v>252.86236120394514</v>
      </c>
    </row>
    <row r="204" spans="1:20">
      <c r="A204" s="9" t="s">
        <v>1168</v>
      </c>
      <c r="B204" s="9" t="s">
        <v>11</v>
      </c>
      <c r="C204">
        <v>615</v>
      </c>
      <c r="D204">
        <v>1.03</v>
      </c>
      <c r="E204">
        <v>6.3E-2</v>
      </c>
      <c r="F204">
        <v>1.03</v>
      </c>
      <c r="G204" s="1">
        <f t="shared" si="60"/>
        <v>1.1276999999999999E-5</v>
      </c>
      <c r="H204" s="19">
        <f t="shared" si="61"/>
        <v>-9.2976716281895476E-5</v>
      </c>
      <c r="I204" s="1">
        <f t="shared" si="62"/>
        <v>8.3789999999999998E-8</v>
      </c>
      <c r="J204" s="1">
        <f t="shared" si="63"/>
        <v>1.6758000000000001E-5</v>
      </c>
      <c r="K204" s="19">
        <f t="shared" si="64"/>
        <v>4.1062272174969628E-3</v>
      </c>
      <c r="L204" s="19">
        <f t="shared" si="65"/>
        <v>2.569325030376671</v>
      </c>
      <c r="M204" s="19">
        <f t="shared" si="66"/>
        <v>8.7990583232077762E-5</v>
      </c>
      <c r="N204" s="19">
        <f t="shared" si="31"/>
        <v>1.8728799615228837E-2</v>
      </c>
      <c r="O204" s="19">
        <v>153.36000000000001</v>
      </c>
      <c r="P204" s="19">
        <f t="shared" si="67"/>
        <v>0.48614797235722962</v>
      </c>
      <c r="Q204" s="19">
        <f t="shared" si="68"/>
        <v>2.9916798298906439E-2</v>
      </c>
      <c r="R204" s="19">
        <f t="shared" si="69"/>
        <v>92.390112393681662</v>
      </c>
      <c r="S204" s="19">
        <f t="shared" si="70"/>
        <v>7.8213851761846909E-14</v>
      </c>
      <c r="T204" s="83">
        <f t="shared" si="71"/>
        <v>196.3267770989163</v>
      </c>
    </row>
    <row r="205" spans="1:20">
      <c r="A205" s="9" t="s">
        <v>1169</v>
      </c>
      <c r="B205" s="9" t="s">
        <v>11</v>
      </c>
      <c r="C205">
        <v>178</v>
      </c>
      <c r="D205">
        <v>1.08</v>
      </c>
      <c r="E205">
        <v>2.4E-2</v>
      </c>
      <c r="F205">
        <v>1.08</v>
      </c>
      <c r="G205" s="1">
        <f t="shared" si="60"/>
        <v>4.296E-6</v>
      </c>
      <c r="H205" s="19">
        <f t="shared" si="61"/>
        <v>-2.6910334143377879E-5</v>
      </c>
      <c r="I205" s="1">
        <f t="shared" si="62"/>
        <v>3.1919999999999997E-8</v>
      </c>
      <c r="J205" s="1">
        <f t="shared" si="63"/>
        <v>6.3840000000000002E-6</v>
      </c>
      <c r="K205" s="19">
        <f t="shared" si="64"/>
        <v>1.1884690157958689E-3</v>
      </c>
      <c r="L205" s="19">
        <f t="shared" si="65"/>
        <v>0.74364204131227218</v>
      </c>
      <c r="M205" s="19">
        <f t="shared" si="66"/>
        <v>2.5467193195625759E-5</v>
      </c>
      <c r="N205" s="19">
        <f t="shared" si="31"/>
        <v>1.8728799615228837E-2</v>
      </c>
      <c r="O205" s="19">
        <v>154.36000000000001</v>
      </c>
      <c r="P205" s="19">
        <f t="shared" si="67"/>
        <v>0.14070624240583232</v>
      </c>
      <c r="Q205" s="19">
        <f t="shared" si="68"/>
        <v>8.6588456865127582E-3</v>
      </c>
      <c r="R205" s="19">
        <f t="shared" si="69"/>
        <v>26.740552855407049</v>
      </c>
      <c r="S205" s="19">
        <f t="shared" si="70"/>
        <v>2.2637505062778453E-14</v>
      </c>
      <c r="T205" s="83">
        <f t="shared" si="71"/>
        <v>82.229336538992101</v>
      </c>
    </row>
    <row r="206" spans="1:20">
      <c r="A206" s="9" t="s">
        <v>1170</v>
      </c>
      <c r="B206" s="9" t="s">
        <v>11</v>
      </c>
      <c r="C206">
        <v>508</v>
      </c>
      <c r="D206">
        <v>1.04</v>
      </c>
      <c r="E206">
        <v>3.9E-2</v>
      </c>
      <c r="F206">
        <v>1.04</v>
      </c>
      <c r="G206" s="1">
        <f t="shared" si="60"/>
        <v>6.9809999999999997E-6</v>
      </c>
      <c r="H206" s="19">
        <f t="shared" si="61"/>
        <v>-7.6800279465370574E-5</v>
      </c>
      <c r="I206" s="1">
        <f t="shared" si="62"/>
        <v>5.1870000000000001E-8</v>
      </c>
      <c r="J206" s="1">
        <f t="shared" si="63"/>
        <v>1.0374000000000001E-5</v>
      </c>
      <c r="K206" s="19">
        <f t="shared" si="64"/>
        <v>3.3918104495747267E-3</v>
      </c>
      <c r="L206" s="19">
        <f t="shared" si="65"/>
        <v>2.1223042527339007</v>
      </c>
      <c r="M206" s="19">
        <f t="shared" si="66"/>
        <v>7.2681652490886995E-5</v>
      </c>
      <c r="N206" s="19">
        <f t="shared" si="31"/>
        <v>1.8728799615228837E-2</v>
      </c>
      <c r="O206" s="19">
        <v>155.36000000000001</v>
      </c>
      <c r="P206" s="19">
        <f t="shared" si="67"/>
        <v>0.40156613001215063</v>
      </c>
      <c r="Q206" s="19">
        <f t="shared" si="68"/>
        <v>2.4711761846901579E-2</v>
      </c>
      <c r="R206" s="19">
        <f t="shared" si="69"/>
        <v>76.315735115431352</v>
      </c>
      <c r="S206" s="19">
        <f t="shared" si="70"/>
        <v>6.4605913325232886E-14</v>
      </c>
      <c r="T206" s="83">
        <f t="shared" si="71"/>
        <v>168.52577908553553</v>
      </c>
    </row>
    <row r="207" spans="1:20">
      <c r="A207" s="9" t="s">
        <v>1171</v>
      </c>
      <c r="B207" s="9" t="s">
        <v>11</v>
      </c>
      <c r="C207">
        <v>55</v>
      </c>
      <c r="D207">
        <v>1.2</v>
      </c>
      <c r="E207">
        <v>1.4E-2</v>
      </c>
      <c r="F207">
        <v>1.2</v>
      </c>
      <c r="G207" s="1">
        <f t="shared" si="60"/>
        <v>2.5059999999999998E-6</v>
      </c>
      <c r="H207" s="19">
        <f t="shared" si="61"/>
        <v>-8.3149908869987825E-6</v>
      </c>
      <c r="I207" s="1">
        <f t="shared" si="62"/>
        <v>1.8620000000000001E-8</v>
      </c>
      <c r="J207" s="1">
        <f t="shared" si="63"/>
        <v>3.7240000000000003E-6</v>
      </c>
      <c r="K207" s="19">
        <f t="shared" si="64"/>
        <v>3.6722357229647629E-4</v>
      </c>
      <c r="L207" s="19">
        <f t="shared" si="65"/>
        <v>0.22977703523693804</v>
      </c>
      <c r="M207" s="19">
        <f t="shared" si="66"/>
        <v>7.8690765492102066E-6</v>
      </c>
      <c r="N207" s="19">
        <f t="shared" si="31"/>
        <v>1.8728799615228837E-2</v>
      </c>
      <c r="O207" s="19">
        <v>156.36000000000001</v>
      </c>
      <c r="P207" s="19">
        <f t="shared" si="67"/>
        <v>4.3476647934386388E-2</v>
      </c>
      <c r="Q207" s="19">
        <f t="shared" si="68"/>
        <v>2.6754860267314703E-3</v>
      </c>
      <c r="R207" s="19">
        <f t="shared" si="69"/>
        <v>8.2625303766707177</v>
      </c>
      <c r="S207" s="19">
        <f t="shared" si="70"/>
        <v>6.9947347104090732E-15</v>
      </c>
      <c r="T207" s="83">
        <f t="shared" si="71"/>
        <v>50.52832355687589</v>
      </c>
    </row>
    <row r="208" spans="1:20">
      <c r="A208" s="9" t="s">
        <v>1172</v>
      </c>
      <c r="B208" s="9" t="s">
        <v>11</v>
      </c>
      <c r="C208">
        <v>228</v>
      </c>
      <c r="D208">
        <v>1.07</v>
      </c>
      <c r="E208">
        <v>2.5999999999999999E-2</v>
      </c>
      <c r="F208">
        <v>1.07</v>
      </c>
      <c r="G208" s="1">
        <f t="shared" si="60"/>
        <v>4.6539999999999998E-6</v>
      </c>
      <c r="H208" s="19">
        <f t="shared" si="61"/>
        <v>-3.4469416767922228E-5</v>
      </c>
      <c r="I208" s="1">
        <f t="shared" si="62"/>
        <v>3.4579999999999996E-8</v>
      </c>
      <c r="J208" s="1">
        <f t="shared" si="63"/>
        <v>6.9160000000000004E-6</v>
      </c>
      <c r="K208" s="19">
        <f t="shared" si="64"/>
        <v>1.5223086269744836E-3</v>
      </c>
      <c r="L208" s="19">
        <f t="shared" si="65"/>
        <v>0.95253025516403411</v>
      </c>
      <c r="M208" s="19">
        <f t="shared" si="66"/>
        <v>3.2620899149453219E-5</v>
      </c>
      <c r="N208" s="19">
        <f t="shared" si="31"/>
        <v>1.8728799615228837E-2</v>
      </c>
      <c r="O208" s="19">
        <v>157.36000000000001</v>
      </c>
      <c r="P208" s="19">
        <f t="shared" si="67"/>
        <v>0.18023046780072904</v>
      </c>
      <c r="Q208" s="19">
        <f t="shared" si="68"/>
        <v>1.1091105710814095E-2</v>
      </c>
      <c r="R208" s="19">
        <f t="shared" si="69"/>
        <v>34.251944106925883</v>
      </c>
      <c r="S208" s="19">
        <f t="shared" si="70"/>
        <v>2.8996354799513976E-14</v>
      </c>
      <c r="T208" s="83">
        <f t="shared" si="71"/>
        <v>95.954652854065344</v>
      </c>
    </row>
    <row r="209" spans="1:20">
      <c r="A209" s="9" t="s">
        <v>1173</v>
      </c>
      <c r="B209" s="9" t="s">
        <v>11</v>
      </c>
      <c r="C209">
        <v>485</v>
      </c>
      <c r="D209">
        <v>1.04</v>
      </c>
      <c r="E209">
        <v>5.1999999999999998E-2</v>
      </c>
      <c r="F209">
        <v>1.04</v>
      </c>
      <c r="G209" s="1">
        <f t="shared" si="60"/>
        <v>9.3079999999999997E-6</v>
      </c>
      <c r="H209" s="19">
        <f t="shared" si="61"/>
        <v>-7.3323101458080167E-5</v>
      </c>
      <c r="I209" s="1">
        <f t="shared" si="62"/>
        <v>6.9159999999999992E-8</v>
      </c>
      <c r="J209" s="1">
        <f t="shared" si="63"/>
        <v>1.3832000000000001E-5</v>
      </c>
      <c r="K209" s="19">
        <f t="shared" si="64"/>
        <v>3.238244228432564E-3</v>
      </c>
      <c r="L209" s="19">
        <f t="shared" si="65"/>
        <v>2.0262156743620903</v>
      </c>
      <c r="M209" s="19">
        <f t="shared" si="66"/>
        <v>6.939094775212637E-5</v>
      </c>
      <c r="N209" s="19">
        <f t="shared" si="31"/>
        <v>1.8728799615228837E-2</v>
      </c>
      <c r="O209" s="19">
        <v>158.36000000000001</v>
      </c>
      <c r="P209" s="19">
        <f t="shared" si="67"/>
        <v>0.38338498633049817</v>
      </c>
      <c r="Q209" s="19">
        <f t="shared" si="68"/>
        <v>2.3592922235722964E-2</v>
      </c>
      <c r="R209" s="19">
        <f t="shared" si="69"/>
        <v>72.860495139732691</v>
      </c>
      <c r="S209" s="19">
        <f t="shared" si="70"/>
        <v>6.1680842446334555E-14</v>
      </c>
      <c r="T209" s="83">
        <f t="shared" si="71"/>
        <v>163.47747788586585</v>
      </c>
    </row>
    <row r="210" spans="1:20">
      <c r="A210" s="9" t="s">
        <v>1174</v>
      </c>
      <c r="B210" s="9" t="s">
        <v>11</v>
      </c>
      <c r="C210">
        <v>3402</v>
      </c>
      <c r="D210">
        <v>1.01</v>
      </c>
      <c r="E210">
        <v>0.13200000000000001</v>
      </c>
      <c r="F210">
        <v>1.01</v>
      </c>
      <c r="G210" s="1">
        <f t="shared" si="60"/>
        <v>2.3627999999999998E-5</v>
      </c>
      <c r="H210" s="19">
        <f t="shared" si="61"/>
        <v>-5.1431998177399745E-4</v>
      </c>
      <c r="I210" s="1">
        <f t="shared" si="62"/>
        <v>1.7555999999999999E-7</v>
      </c>
      <c r="J210" s="1">
        <f t="shared" si="63"/>
        <v>3.5112000000000005E-5</v>
      </c>
      <c r="K210" s="19">
        <f t="shared" si="64"/>
        <v>2.2714447144592954E-2</v>
      </c>
      <c r="L210" s="19">
        <f t="shared" si="65"/>
        <v>14.212754070473878</v>
      </c>
      <c r="M210" s="19">
        <f t="shared" si="66"/>
        <v>4.867381530984204E-4</v>
      </c>
      <c r="N210" s="19">
        <f t="shared" si="31"/>
        <v>1.8728799615228837E-2</v>
      </c>
      <c r="O210" s="19">
        <v>159.36000000000001</v>
      </c>
      <c r="P210" s="19">
        <f t="shared" si="67"/>
        <v>2.6892282958687725</v>
      </c>
      <c r="Q210" s="19">
        <f t="shared" si="68"/>
        <v>0.16549097205346294</v>
      </c>
      <c r="R210" s="19">
        <f t="shared" si="69"/>
        <v>511.07506075334146</v>
      </c>
      <c r="S210" s="19">
        <f t="shared" si="70"/>
        <v>4.3265613608748484E-13</v>
      </c>
      <c r="T210" s="83">
        <f t="shared" si="71"/>
        <v>923.50813363848317</v>
      </c>
    </row>
    <row r="211" spans="1:20">
      <c r="A211" s="9" t="s">
        <v>1175</v>
      </c>
      <c r="B211" s="9" t="s">
        <v>11</v>
      </c>
      <c r="C211">
        <v>2230</v>
      </c>
      <c r="D211">
        <v>1.01</v>
      </c>
      <c r="E211">
        <v>0.215</v>
      </c>
      <c r="F211">
        <v>1.01</v>
      </c>
      <c r="G211" s="1">
        <f t="shared" si="60"/>
        <v>3.8484999999999995E-5</v>
      </c>
      <c r="H211" s="19">
        <f t="shared" si="61"/>
        <v>-3.3713508505467789E-4</v>
      </c>
      <c r="I211" s="1">
        <f t="shared" si="62"/>
        <v>2.8594999999999999E-7</v>
      </c>
      <c r="J211" s="1">
        <f t="shared" si="63"/>
        <v>5.719E-5</v>
      </c>
      <c r="K211" s="19">
        <f t="shared" si="64"/>
        <v>1.4889246658566221E-2</v>
      </c>
      <c r="L211" s="19">
        <f t="shared" si="65"/>
        <v>9.3164143377885793</v>
      </c>
      <c r="M211" s="19">
        <f t="shared" si="66"/>
        <v>3.1905528554070474E-4</v>
      </c>
      <c r="N211" s="19">
        <f t="shared" si="31"/>
        <v>1.8728799615228837E-2</v>
      </c>
      <c r="O211" s="19">
        <v>160.36000000000001</v>
      </c>
      <c r="P211" s="19">
        <f t="shared" si="67"/>
        <v>1.7627804526123936</v>
      </c>
      <c r="Q211" s="19">
        <f t="shared" si="68"/>
        <v>0.10847879708383962</v>
      </c>
      <c r="R211" s="19">
        <f t="shared" si="69"/>
        <v>335.00804981774002</v>
      </c>
      <c r="S211" s="19">
        <f t="shared" si="70"/>
        <v>2.8360469825840425E-13</v>
      </c>
      <c r="T211" s="83">
        <f t="shared" si="71"/>
        <v>620.59705817636211</v>
      </c>
    </row>
    <row r="212" spans="1:20">
      <c r="A212" s="9" t="s">
        <v>1176</v>
      </c>
      <c r="B212" s="9" t="s">
        <v>11</v>
      </c>
      <c r="C212">
        <v>716</v>
      </c>
      <c r="D212">
        <v>1.03</v>
      </c>
      <c r="E212">
        <v>1.7999999999999999E-2</v>
      </c>
      <c r="F212">
        <v>1.03</v>
      </c>
      <c r="G212" s="1">
        <f t="shared" si="60"/>
        <v>3.2219999999999994E-6</v>
      </c>
      <c r="H212" s="19">
        <f t="shared" si="61"/>
        <v>-1.0824606318347506E-4</v>
      </c>
      <c r="I212" s="1">
        <f t="shared" si="62"/>
        <v>2.3939999999999998E-8</v>
      </c>
      <c r="J212" s="1">
        <f t="shared" si="63"/>
        <v>4.7879999999999997E-6</v>
      </c>
      <c r="K212" s="19">
        <f t="shared" si="64"/>
        <v>4.7805832320777647E-3</v>
      </c>
      <c r="L212" s="19">
        <f t="shared" si="65"/>
        <v>2.99127922235723</v>
      </c>
      <c r="M212" s="19">
        <f t="shared" si="66"/>
        <v>1.0244106925880924E-4</v>
      </c>
      <c r="N212" s="19">
        <f t="shared" si="31"/>
        <v>1.8728799615228837E-2</v>
      </c>
      <c r="O212" s="19">
        <v>162.36000000000001</v>
      </c>
      <c r="P212" s="19">
        <f t="shared" si="67"/>
        <v>0.56598690765492099</v>
      </c>
      <c r="Q212" s="19">
        <f t="shared" si="68"/>
        <v>3.4829963547995141E-2</v>
      </c>
      <c r="R212" s="19">
        <f t="shared" si="69"/>
        <v>107.56312272174971</v>
      </c>
      <c r="S212" s="19">
        <f t="shared" si="70"/>
        <v>9.105872823005266E-14</v>
      </c>
      <c r="T212" s="83">
        <f t="shared" si="71"/>
        <v>223.8193812327963</v>
      </c>
    </row>
    <row r="213" spans="1:20">
      <c r="A213" s="9" t="s">
        <v>1177</v>
      </c>
      <c r="B213" s="9" t="s">
        <v>11</v>
      </c>
      <c r="C213">
        <v>618</v>
      </c>
      <c r="D213">
        <v>1.03</v>
      </c>
      <c r="E213">
        <v>1.7000000000000001E-2</v>
      </c>
      <c r="F213">
        <v>1.03</v>
      </c>
      <c r="G213" s="1">
        <f t="shared" si="60"/>
        <v>3.0429999999999999E-6</v>
      </c>
      <c r="H213" s="19">
        <f t="shared" si="61"/>
        <v>-9.3430261239368142E-5</v>
      </c>
      <c r="I213" s="1">
        <f t="shared" si="62"/>
        <v>2.2610000000000002E-8</v>
      </c>
      <c r="J213" s="1">
        <f t="shared" si="63"/>
        <v>4.5220000000000009E-6</v>
      </c>
      <c r="K213" s="19">
        <f t="shared" si="64"/>
        <v>4.126257594167679E-3</v>
      </c>
      <c r="L213" s="19">
        <f t="shared" si="65"/>
        <v>2.5818583232077765</v>
      </c>
      <c r="M213" s="19">
        <f t="shared" si="66"/>
        <v>8.8419805589307415E-5</v>
      </c>
      <c r="N213" s="19">
        <f t="shared" si="31"/>
        <v>1.8728799615228837E-2</v>
      </c>
      <c r="O213" s="19">
        <v>163.36000000000001</v>
      </c>
      <c r="P213" s="19">
        <f t="shared" si="67"/>
        <v>0.48851942588092345</v>
      </c>
      <c r="Q213" s="19">
        <f t="shared" si="68"/>
        <v>3.006273390036452E-2</v>
      </c>
      <c r="R213" s="19">
        <f t="shared" si="69"/>
        <v>92.840795868772787</v>
      </c>
      <c r="S213" s="19">
        <f t="shared" si="70"/>
        <v>7.8595382746051039E-14</v>
      </c>
      <c r="T213" s="83">
        <f t="shared" si="71"/>
        <v>198.55427026181667</v>
      </c>
    </row>
    <row r="214" spans="1:20">
      <c r="A214" s="9" t="s">
        <v>1178</v>
      </c>
      <c r="B214" s="9" t="s">
        <v>11</v>
      </c>
      <c r="C214">
        <v>764</v>
      </c>
      <c r="D214">
        <v>1.03</v>
      </c>
      <c r="E214">
        <v>1.7999999999999999E-2</v>
      </c>
      <c r="F214">
        <v>1.03</v>
      </c>
      <c r="G214" s="1">
        <f t="shared" si="60"/>
        <v>3.2219999999999994E-6</v>
      </c>
      <c r="H214" s="19">
        <f t="shared" si="61"/>
        <v>-1.1550278250303763E-4</v>
      </c>
      <c r="I214" s="1">
        <f t="shared" si="62"/>
        <v>2.3939999999999998E-8</v>
      </c>
      <c r="J214" s="1">
        <f t="shared" si="63"/>
        <v>4.7879999999999997E-6</v>
      </c>
      <c r="K214" s="19">
        <f t="shared" si="64"/>
        <v>5.1010692588092342E-3</v>
      </c>
      <c r="L214" s="19">
        <f t="shared" si="65"/>
        <v>3.1918119076549214</v>
      </c>
      <c r="M214" s="19">
        <f t="shared" si="66"/>
        <v>1.0930862697448359E-4</v>
      </c>
      <c r="N214" s="19">
        <f t="shared" si="31"/>
        <v>1.8728799615228837E-2</v>
      </c>
      <c r="O214" s="19">
        <v>164.36</v>
      </c>
      <c r="P214" s="19">
        <f t="shared" si="67"/>
        <v>0.60393016403402189</v>
      </c>
      <c r="Q214" s="19">
        <f t="shared" si="68"/>
        <v>3.7164933171324424E-2</v>
      </c>
      <c r="R214" s="19">
        <f t="shared" si="69"/>
        <v>114.77405832320778</v>
      </c>
      <c r="S214" s="19">
        <f t="shared" si="70"/>
        <v>9.7163223977318759E-14</v>
      </c>
      <c r="T214" s="83">
        <f t="shared" si="71"/>
        <v>236.75770637040259</v>
      </c>
    </row>
    <row r="215" spans="1:20">
      <c r="A215" s="9" t="s">
        <v>1179</v>
      </c>
      <c r="B215" s="9" t="s">
        <v>11</v>
      </c>
      <c r="C215">
        <v>377</v>
      </c>
      <c r="D215">
        <v>1.05</v>
      </c>
      <c r="E215">
        <v>1.4E-2</v>
      </c>
      <c r="F215">
        <v>1.05</v>
      </c>
      <c r="G215" s="1">
        <f t="shared" si="60"/>
        <v>2.5059999999999998E-6</v>
      </c>
      <c r="H215" s="19">
        <f t="shared" si="61"/>
        <v>-5.6995482989064378E-5</v>
      </c>
      <c r="I215" s="1">
        <f t="shared" si="62"/>
        <v>1.8620000000000001E-8</v>
      </c>
      <c r="J215" s="1">
        <f t="shared" si="63"/>
        <v>3.7240000000000003E-6</v>
      </c>
      <c r="K215" s="19">
        <f t="shared" si="64"/>
        <v>2.5171506682867559E-3</v>
      </c>
      <c r="L215" s="19">
        <f t="shared" si="65"/>
        <v>1.5750171324422844</v>
      </c>
      <c r="M215" s="19">
        <f t="shared" si="66"/>
        <v>5.393894289185905E-5</v>
      </c>
      <c r="N215" s="19">
        <f t="shared" si="31"/>
        <v>1.8728799615228837E-2</v>
      </c>
      <c r="O215" s="19">
        <v>165.36</v>
      </c>
      <c r="P215" s="19">
        <f t="shared" si="67"/>
        <v>0.29801265947752126</v>
      </c>
      <c r="Q215" s="19">
        <f t="shared" si="68"/>
        <v>1.8339240583232077E-2</v>
      </c>
      <c r="R215" s="19">
        <f t="shared" si="69"/>
        <v>56.635890036452011</v>
      </c>
      <c r="S215" s="19">
        <f t="shared" si="70"/>
        <v>4.7945727014985826E-14</v>
      </c>
      <c r="T215" s="83">
        <f t="shared" si="71"/>
        <v>136.30708802165159</v>
      </c>
    </row>
    <row r="216" spans="1:20">
      <c r="A216" s="9" t="s">
        <v>1180</v>
      </c>
      <c r="B216" s="9" t="s">
        <v>11</v>
      </c>
      <c r="C216">
        <v>1448</v>
      </c>
      <c r="D216">
        <v>1.02</v>
      </c>
      <c r="E216">
        <v>2.1000000000000001E-2</v>
      </c>
      <c r="F216">
        <v>1.02</v>
      </c>
      <c r="G216" s="1">
        <f t="shared" si="60"/>
        <v>3.7589999999999999E-6</v>
      </c>
      <c r="H216" s="19">
        <f t="shared" si="61"/>
        <v>-2.189110328068043E-4</v>
      </c>
      <c r="I216" s="1">
        <f t="shared" si="62"/>
        <v>2.7930000000000003E-8</v>
      </c>
      <c r="J216" s="1">
        <f t="shared" si="63"/>
        <v>5.5860000000000004E-6</v>
      </c>
      <c r="K216" s="19">
        <f t="shared" si="64"/>
        <v>9.6679951397326859E-3</v>
      </c>
      <c r="L216" s="19">
        <f t="shared" si="65"/>
        <v>6.0494026731470232</v>
      </c>
      <c r="M216" s="19">
        <f t="shared" si="66"/>
        <v>2.0717132442284324E-4</v>
      </c>
      <c r="N216" s="19">
        <f t="shared" si="31"/>
        <v>1.8728799615228837E-2</v>
      </c>
      <c r="O216" s="19">
        <v>166.36</v>
      </c>
      <c r="P216" s="19">
        <f t="shared" si="67"/>
        <v>1.144621567436209</v>
      </c>
      <c r="Q216" s="19">
        <f t="shared" si="68"/>
        <v>7.0438250303766714E-2</v>
      </c>
      <c r="R216" s="19">
        <f t="shared" si="69"/>
        <v>217.52989064398542</v>
      </c>
      <c r="S216" s="19">
        <f t="shared" si="70"/>
        <v>1.8415228837586069E-13</v>
      </c>
      <c r="T216" s="83">
        <f t="shared" si="71"/>
        <v>415.08943102639267</v>
      </c>
    </row>
    <row r="217" spans="1:20">
      <c r="A217" s="9" t="s">
        <v>1181</v>
      </c>
      <c r="B217" s="9" t="s">
        <v>11</v>
      </c>
      <c r="C217">
        <v>620</v>
      </c>
      <c r="D217">
        <v>1.03</v>
      </c>
      <c r="E217">
        <v>1.7000000000000001E-2</v>
      </c>
      <c r="F217">
        <v>1.03</v>
      </c>
      <c r="G217" s="1">
        <f t="shared" si="60"/>
        <v>3.0429999999999999E-6</v>
      </c>
      <c r="H217" s="19">
        <f t="shared" si="61"/>
        <v>-9.3732624544349915E-5</v>
      </c>
      <c r="I217" s="1">
        <f t="shared" si="62"/>
        <v>2.2610000000000002E-8</v>
      </c>
      <c r="J217" s="1">
        <f t="shared" si="63"/>
        <v>4.5220000000000009E-6</v>
      </c>
      <c r="K217" s="19">
        <f t="shared" si="64"/>
        <v>4.139611178614824E-3</v>
      </c>
      <c r="L217" s="19">
        <f t="shared" si="65"/>
        <v>2.5902138517618472</v>
      </c>
      <c r="M217" s="19">
        <f t="shared" si="66"/>
        <v>8.8705953827460508E-5</v>
      </c>
      <c r="N217" s="19">
        <f t="shared" si="31"/>
        <v>1.8728799615228837E-2</v>
      </c>
      <c r="O217" s="19">
        <v>167.36</v>
      </c>
      <c r="P217" s="19">
        <f t="shared" si="67"/>
        <v>0.4901003948967193</v>
      </c>
      <c r="Q217" s="19">
        <f t="shared" si="68"/>
        <v>3.0160024301336574E-2</v>
      </c>
      <c r="R217" s="19">
        <f t="shared" si="69"/>
        <v>93.141251518833542</v>
      </c>
      <c r="S217" s="19">
        <f t="shared" si="70"/>
        <v>7.8849736735520463E-14</v>
      </c>
      <c r="T217" s="83">
        <f t="shared" si="71"/>
        <v>199.99420047588362</v>
      </c>
    </row>
    <row r="218" spans="1:20">
      <c r="A218" s="9" t="s">
        <v>1182</v>
      </c>
      <c r="B218" s="9" t="s">
        <v>11</v>
      </c>
      <c r="C218">
        <v>605</v>
      </c>
      <c r="D218">
        <v>1.03</v>
      </c>
      <c r="E218">
        <v>1.7000000000000001E-2</v>
      </c>
      <c r="F218">
        <v>1.03</v>
      </c>
      <c r="G218" s="1">
        <f t="shared" si="60"/>
        <v>3.0429999999999999E-6</v>
      </c>
      <c r="H218" s="19">
        <f t="shared" si="61"/>
        <v>-9.1464899756986599E-5</v>
      </c>
      <c r="I218" s="1">
        <f t="shared" si="62"/>
        <v>2.2610000000000002E-8</v>
      </c>
      <c r="J218" s="1">
        <f t="shared" si="63"/>
        <v>4.5220000000000009E-6</v>
      </c>
      <c r="K218" s="19">
        <f t="shared" si="64"/>
        <v>4.0394592952612395E-3</v>
      </c>
      <c r="L218" s="19">
        <f t="shared" si="65"/>
        <v>2.5275473876063184</v>
      </c>
      <c r="M218" s="19">
        <f t="shared" si="66"/>
        <v>8.6559842041312269E-5</v>
      </c>
      <c r="N218" s="19">
        <f t="shared" si="31"/>
        <v>1.8728799615228837E-2</v>
      </c>
      <c r="O218" s="19">
        <v>168.36</v>
      </c>
      <c r="P218" s="19">
        <f t="shared" si="67"/>
        <v>0.4782431272782503</v>
      </c>
      <c r="Q218" s="19">
        <f t="shared" si="68"/>
        <v>2.9430346294046172E-2</v>
      </c>
      <c r="R218" s="19">
        <f t="shared" si="69"/>
        <v>90.887834143377887</v>
      </c>
      <c r="S218" s="19">
        <f t="shared" si="70"/>
        <v>7.6942081814499802E-14</v>
      </c>
      <c r="T218" s="83">
        <f t="shared" si="71"/>
        <v>196.32472387038163</v>
      </c>
    </row>
    <row r="219" spans="1:20">
      <c r="A219" s="9" t="s">
        <v>1183</v>
      </c>
      <c r="B219" s="9" t="s">
        <v>11</v>
      </c>
      <c r="C219">
        <v>315</v>
      </c>
      <c r="D219">
        <v>1.07</v>
      </c>
      <c r="E219">
        <v>1.2E-2</v>
      </c>
      <c r="F219">
        <v>1.07</v>
      </c>
      <c r="G219" s="1">
        <f t="shared" si="60"/>
        <v>2.148E-6</v>
      </c>
      <c r="H219" s="19">
        <f t="shared" si="61"/>
        <v>-4.7622220534629389E-5</v>
      </c>
      <c r="I219" s="1">
        <f t="shared" si="62"/>
        <v>1.5959999999999999E-8</v>
      </c>
      <c r="J219" s="1">
        <f t="shared" si="63"/>
        <v>3.1920000000000001E-6</v>
      </c>
      <c r="K219" s="19">
        <f t="shared" si="64"/>
        <v>2.1031895504252736E-3</v>
      </c>
      <c r="L219" s="19">
        <f t="shared" si="65"/>
        <v>1.3159957472660997</v>
      </c>
      <c r="M219" s="19">
        <f t="shared" si="66"/>
        <v>4.5068347509113001E-5</v>
      </c>
      <c r="N219" s="19">
        <f t="shared" si="31"/>
        <v>1.8728799615228837E-2</v>
      </c>
      <c r="O219" s="19">
        <v>169.36</v>
      </c>
      <c r="P219" s="19">
        <f t="shared" si="67"/>
        <v>0.24900261998784934</v>
      </c>
      <c r="Q219" s="19">
        <f t="shared" si="68"/>
        <v>1.5323238153098421E-2</v>
      </c>
      <c r="R219" s="19">
        <f t="shared" si="69"/>
        <v>47.321764884568658</v>
      </c>
      <c r="S219" s="19">
        <f t="shared" si="70"/>
        <v>4.0060753341433779E-14</v>
      </c>
      <c r="T219" s="83">
        <f t="shared" si="71"/>
        <v>121.07219042217682</v>
      </c>
    </row>
    <row r="220" spans="1:20">
      <c r="A220" s="9" t="s">
        <v>1184</v>
      </c>
      <c r="B220" s="9" t="s">
        <v>11</v>
      </c>
      <c r="C220">
        <v>5327</v>
      </c>
      <c r="D220">
        <v>1.01</v>
      </c>
      <c r="E220">
        <v>5.0999999999999997E-2</v>
      </c>
      <c r="F220">
        <v>1.01</v>
      </c>
      <c r="G220" s="1">
        <f t="shared" si="60"/>
        <v>9.1289999999999985E-6</v>
      </c>
      <c r="H220" s="19">
        <f t="shared" si="61"/>
        <v>-8.0534466281895483E-4</v>
      </c>
      <c r="I220" s="1">
        <f t="shared" si="62"/>
        <v>6.7829999999999993E-8</v>
      </c>
      <c r="J220" s="1">
        <f t="shared" si="63"/>
        <v>1.3566E-5</v>
      </c>
      <c r="K220" s="19">
        <f t="shared" si="64"/>
        <v>3.5567272174969626E-2</v>
      </c>
      <c r="L220" s="19">
        <f t="shared" si="65"/>
        <v>22.254950303766709</v>
      </c>
      <c r="M220" s="19">
        <f t="shared" si="66"/>
        <v>7.6215583232077766E-4</v>
      </c>
      <c r="N220" s="19">
        <f t="shared" si="31"/>
        <v>1.8728799615228837E-2</v>
      </c>
      <c r="O220" s="19">
        <v>170.36</v>
      </c>
      <c r="P220" s="19">
        <f t="shared" si="67"/>
        <v>4.2109109735722967</v>
      </c>
      <c r="Q220" s="19">
        <f t="shared" si="68"/>
        <v>0.2591329829890644</v>
      </c>
      <c r="R220" s="19">
        <f t="shared" si="69"/>
        <v>800.26362393681654</v>
      </c>
      <c r="S220" s="19">
        <f t="shared" si="70"/>
        <v>6.7747185095180236E-13</v>
      </c>
      <c r="T220" s="83">
        <f t="shared" si="71"/>
        <v>1424.9699956602037</v>
      </c>
    </row>
    <row r="221" spans="1:20">
      <c r="A221" s="9" t="s">
        <v>1185</v>
      </c>
      <c r="B221" s="9" t="s">
        <v>11</v>
      </c>
      <c r="C221">
        <v>51</v>
      </c>
      <c r="D221">
        <v>1.1200000000000001</v>
      </c>
      <c r="E221">
        <v>1.2E-2</v>
      </c>
      <c r="F221">
        <v>1.1200000000000001</v>
      </c>
      <c r="G221" s="1">
        <f t="shared" si="60"/>
        <v>2.148E-6</v>
      </c>
      <c r="H221" s="19">
        <f t="shared" si="61"/>
        <v>-7.7102642770352353E-6</v>
      </c>
      <c r="I221" s="1">
        <f t="shared" si="62"/>
        <v>1.5959999999999999E-8</v>
      </c>
      <c r="J221" s="1">
        <f t="shared" si="63"/>
        <v>3.1920000000000001E-6</v>
      </c>
      <c r="K221" s="19">
        <f t="shared" si="64"/>
        <v>3.4051640340218711E-4</v>
      </c>
      <c r="L221" s="19">
        <f t="shared" si="65"/>
        <v>0.2130659781287971</v>
      </c>
      <c r="M221" s="19">
        <f t="shared" si="66"/>
        <v>7.2967800729040093E-6</v>
      </c>
      <c r="N221" s="19">
        <f t="shared" si="31"/>
        <v>1.8728799615228837E-2</v>
      </c>
      <c r="O221" s="19">
        <v>172.36</v>
      </c>
      <c r="P221" s="19">
        <f t="shared" si="67"/>
        <v>4.0314709902794656E-2</v>
      </c>
      <c r="Q221" s="19">
        <f t="shared" si="68"/>
        <v>2.4809052247873635E-3</v>
      </c>
      <c r="R221" s="19">
        <f t="shared" si="69"/>
        <v>7.6616190765492105</v>
      </c>
      <c r="S221" s="19">
        <f t="shared" si="70"/>
        <v>6.4860267314702316E-15</v>
      </c>
      <c r="T221" s="83">
        <f t="shared" si="71"/>
        <v>53.131402165342038</v>
      </c>
    </row>
    <row r="222" spans="1:20">
      <c r="A222" s="9" t="s">
        <v>1186</v>
      </c>
      <c r="B222" s="9" t="s">
        <v>11</v>
      </c>
      <c r="C222">
        <v>22</v>
      </c>
      <c r="D222">
        <v>1.3</v>
      </c>
      <c r="E222">
        <v>0.02</v>
      </c>
      <c r="F222">
        <v>1.3</v>
      </c>
      <c r="G222" s="1">
        <f t="shared" si="60"/>
        <v>3.5799999999999996E-6</v>
      </c>
      <c r="H222" s="19">
        <f t="shared" si="61"/>
        <v>-3.3259963547995128E-6</v>
      </c>
      <c r="I222" s="1">
        <f t="shared" si="62"/>
        <v>2.66E-8</v>
      </c>
      <c r="J222" s="1">
        <f t="shared" si="63"/>
        <v>5.3200000000000007E-6</v>
      </c>
      <c r="K222" s="19">
        <f t="shared" si="64"/>
        <v>1.4688942891859051E-4</v>
      </c>
      <c r="L222" s="19">
        <f t="shared" si="65"/>
        <v>9.1910814094775223E-2</v>
      </c>
      <c r="M222" s="19">
        <f t="shared" si="66"/>
        <v>3.1476306196840828E-6</v>
      </c>
      <c r="N222" s="19">
        <f t="shared" si="31"/>
        <v>1.8728799615228837E-2</v>
      </c>
      <c r="O222" s="19">
        <v>173.36</v>
      </c>
      <c r="P222" s="19">
        <f t="shared" si="67"/>
        <v>1.7390659173754555E-2</v>
      </c>
      <c r="Q222" s="19">
        <f t="shared" si="68"/>
        <v>1.070194410692588E-3</v>
      </c>
      <c r="R222" s="19">
        <f t="shared" si="69"/>
        <v>3.3050121506682872</v>
      </c>
      <c r="S222" s="19">
        <f t="shared" si="70"/>
        <v>2.797893884163629E-15</v>
      </c>
      <c r="T222" s="83">
        <f t="shared" si="71"/>
        <v>45.970657914971561</v>
      </c>
    </row>
    <row r="223" spans="1:20">
      <c r="A223" s="9" t="s">
        <v>1187</v>
      </c>
      <c r="B223" s="9" t="s">
        <v>11</v>
      </c>
      <c r="C223">
        <v>302</v>
      </c>
      <c r="D223">
        <v>1.03</v>
      </c>
      <c r="E223">
        <v>0.112</v>
      </c>
      <c r="F223">
        <v>1.03</v>
      </c>
      <c r="G223" s="1">
        <f t="shared" si="60"/>
        <v>2.0047999999999998E-5</v>
      </c>
      <c r="H223" s="19">
        <f t="shared" si="61"/>
        <v>-4.565685905224786E-5</v>
      </c>
      <c r="I223" s="1">
        <f t="shared" si="62"/>
        <v>1.4896000000000001E-7</v>
      </c>
      <c r="J223" s="1">
        <f t="shared" si="63"/>
        <v>2.9792000000000002E-5</v>
      </c>
      <c r="K223" s="19">
        <f t="shared" si="64"/>
        <v>2.0163912515188337E-3</v>
      </c>
      <c r="L223" s="19">
        <f t="shared" si="65"/>
        <v>1.2616848116646417</v>
      </c>
      <c r="M223" s="19">
        <f t="shared" si="66"/>
        <v>4.3208383961117861E-5</v>
      </c>
      <c r="N223" s="19">
        <f t="shared" si="31"/>
        <v>1.8728799615228837E-2</v>
      </c>
      <c r="O223" s="19">
        <v>174.36</v>
      </c>
      <c r="P223" s="19">
        <f t="shared" si="67"/>
        <v>0.23872632138517619</v>
      </c>
      <c r="Q223" s="19">
        <f t="shared" si="68"/>
        <v>1.4690850546780073E-2</v>
      </c>
      <c r="R223" s="19">
        <f t="shared" si="69"/>
        <v>45.368803159173758</v>
      </c>
      <c r="S223" s="19">
        <f t="shared" si="70"/>
        <v>3.8407452409882548E-14</v>
      </c>
      <c r="T223" s="83">
        <f t="shared" si="71"/>
        <v>120.69569220074176</v>
      </c>
    </row>
    <row r="224" spans="1:20">
      <c r="A224" s="9" t="s">
        <v>1188</v>
      </c>
      <c r="B224" s="9" t="s">
        <v>11</v>
      </c>
      <c r="C224">
        <v>29</v>
      </c>
      <c r="D224">
        <v>1.3</v>
      </c>
      <c r="E224">
        <v>0.02</v>
      </c>
      <c r="F224">
        <v>1.3</v>
      </c>
      <c r="G224" s="1">
        <f t="shared" si="60"/>
        <v>3.5799999999999996E-6</v>
      </c>
      <c r="H224" s="19">
        <f t="shared" si="61"/>
        <v>-4.3842679222357216E-6</v>
      </c>
      <c r="I224" s="1">
        <f t="shared" si="62"/>
        <v>2.66E-8</v>
      </c>
      <c r="J224" s="1">
        <f t="shared" si="63"/>
        <v>5.3200000000000007E-6</v>
      </c>
      <c r="K224" s="19">
        <f t="shared" si="64"/>
        <v>1.9362697448359659E-4</v>
      </c>
      <c r="L224" s="19">
        <f t="shared" si="65"/>
        <v>0.12115516403402188</v>
      </c>
      <c r="M224" s="19">
        <f t="shared" si="66"/>
        <v>4.1491494532199274E-6</v>
      </c>
      <c r="N224" s="19">
        <f t="shared" si="31"/>
        <v>1.8728799615228837E-2</v>
      </c>
      <c r="O224" s="19">
        <v>175.36</v>
      </c>
      <c r="P224" s="19">
        <f t="shared" si="67"/>
        <v>2.2924050729040097E-2</v>
      </c>
      <c r="Q224" s="19">
        <f t="shared" si="68"/>
        <v>1.4107108140947752E-3</v>
      </c>
      <c r="R224" s="19">
        <f t="shared" si="69"/>
        <v>4.3566069258809241</v>
      </c>
      <c r="S224" s="19">
        <f t="shared" si="70"/>
        <v>3.6881328473066022E-15</v>
      </c>
      <c r="T224" s="83">
        <f t="shared" si="71"/>
        <v>48.250413664205816</v>
      </c>
    </row>
    <row r="225" spans="1:20">
      <c r="A225" s="9" t="s">
        <v>1189</v>
      </c>
      <c r="B225" s="9" t="s">
        <v>11</v>
      </c>
      <c r="C225">
        <v>452</v>
      </c>
      <c r="D225">
        <v>1.03</v>
      </c>
      <c r="E225">
        <v>0.16300000000000001</v>
      </c>
      <c r="F225">
        <v>1.03</v>
      </c>
      <c r="G225" s="1">
        <f t="shared" si="60"/>
        <v>2.9176999999999999E-5</v>
      </c>
      <c r="H225" s="19">
        <f t="shared" si="61"/>
        <v>-6.8334106925880896E-5</v>
      </c>
      <c r="I225" s="1">
        <f t="shared" si="62"/>
        <v>2.1679E-7</v>
      </c>
      <c r="J225" s="1">
        <f t="shared" si="63"/>
        <v>4.3358000000000001E-5</v>
      </c>
      <c r="K225" s="19">
        <f t="shared" si="64"/>
        <v>3.0179100850546781E-3</v>
      </c>
      <c r="L225" s="19">
        <f t="shared" si="65"/>
        <v>1.8883494532199272</v>
      </c>
      <c r="M225" s="19">
        <f t="shared" si="66"/>
        <v>6.4669501822600239E-5</v>
      </c>
      <c r="N225" s="19">
        <f t="shared" si="31"/>
        <v>1.8728799615228837E-2</v>
      </c>
      <c r="O225" s="19">
        <v>176.36</v>
      </c>
      <c r="P225" s="19">
        <f t="shared" si="67"/>
        <v>0.35729899756986633</v>
      </c>
      <c r="Q225" s="19">
        <f t="shared" si="68"/>
        <v>2.1987630619684083E-2</v>
      </c>
      <c r="R225" s="19">
        <f t="shared" si="69"/>
        <v>67.902976913730257</v>
      </c>
      <c r="S225" s="19">
        <f t="shared" si="70"/>
        <v>5.7484001620089104E-14</v>
      </c>
      <c r="T225" s="83">
        <f t="shared" si="71"/>
        <v>161.09551282246153</v>
      </c>
    </row>
    <row r="226" spans="1:20">
      <c r="A226" s="9" t="s">
        <v>1190</v>
      </c>
      <c r="B226" s="9" t="s">
        <v>11</v>
      </c>
      <c r="C226">
        <v>17</v>
      </c>
      <c r="D226">
        <v>1.3</v>
      </c>
      <c r="E226">
        <v>1.4E-2</v>
      </c>
      <c r="F226">
        <v>1.3</v>
      </c>
      <c r="G226" s="1">
        <f t="shared" si="60"/>
        <v>2.5059999999999998E-6</v>
      </c>
      <c r="H226" s="19">
        <f t="shared" si="61"/>
        <v>-2.570088092345078E-6</v>
      </c>
      <c r="I226" s="1">
        <f t="shared" si="62"/>
        <v>1.8620000000000001E-8</v>
      </c>
      <c r="J226" s="1">
        <f t="shared" si="63"/>
        <v>3.7240000000000003E-6</v>
      </c>
      <c r="K226" s="19">
        <f t="shared" si="64"/>
        <v>1.1350546780072904E-4</v>
      </c>
      <c r="L226" s="19">
        <f t="shared" si="65"/>
        <v>7.1021992709599038E-2</v>
      </c>
      <c r="M226" s="19">
        <f t="shared" si="66"/>
        <v>2.4322600243013364E-6</v>
      </c>
      <c r="N226" s="19">
        <f t="shared" si="31"/>
        <v>1.8728799615228837E-2</v>
      </c>
      <c r="O226" s="19">
        <v>177.36</v>
      </c>
      <c r="P226" s="19">
        <f t="shared" si="67"/>
        <v>1.3438236634264885E-2</v>
      </c>
      <c r="Q226" s="19">
        <f t="shared" si="68"/>
        <v>8.2696840826245442E-4</v>
      </c>
      <c r="R226" s="19">
        <f t="shared" si="69"/>
        <v>2.5538730255164035</v>
      </c>
      <c r="S226" s="19">
        <f t="shared" si="70"/>
        <v>2.1620089104900771E-15</v>
      </c>
      <c r="T226" s="83">
        <f t="shared" si="71"/>
        <v>45.479649489604235</v>
      </c>
    </row>
    <row r="227" spans="1:20">
      <c r="A227" s="9" t="s">
        <v>1191</v>
      </c>
      <c r="B227" s="9" t="s">
        <v>11</v>
      </c>
      <c r="C227">
        <v>19</v>
      </c>
      <c r="D227">
        <v>1.3</v>
      </c>
      <c r="E227">
        <v>1.4E-2</v>
      </c>
      <c r="F227">
        <v>1.3</v>
      </c>
      <c r="G227" s="1">
        <f t="shared" si="60"/>
        <v>2.5059999999999998E-6</v>
      </c>
      <c r="H227" s="19">
        <f t="shared" si="61"/>
        <v>-2.872451397326852E-6</v>
      </c>
      <c r="I227" s="1">
        <f t="shared" si="62"/>
        <v>1.8620000000000001E-8</v>
      </c>
      <c r="J227" s="1">
        <f t="shared" si="63"/>
        <v>3.7240000000000003E-6</v>
      </c>
      <c r="K227" s="19">
        <f t="shared" si="64"/>
        <v>1.2685905224787364E-4</v>
      </c>
      <c r="L227" s="19">
        <f t="shared" si="65"/>
        <v>7.9377521263669509E-2</v>
      </c>
      <c r="M227" s="19">
        <f t="shared" si="66"/>
        <v>2.7184082624544351E-6</v>
      </c>
      <c r="N227" s="19">
        <f t="shared" si="31"/>
        <v>1.8728799615228837E-2</v>
      </c>
      <c r="O227" s="19">
        <v>178.36</v>
      </c>
      <c r="P227" s="19">
        <f t="shared" si="67"/>
        <v>1.5019205650060753E-2</v>
      </c>
      <c r="Q227" s="19">
        <f t="shared" si="68"/>
        <v>9.2425880923450792E-4</v>
      </c>
      <c r="R227" s="19">
        <f t="shared" si="69"/>
        <v>2.8543286755771571</v>
      </c>
      <c r="S227" s="19">
        <f t="shared" si="70"/>
        <v>2.4163628999594979E-15</v>
      </c>
      <c r="T227" s="83">
        <f t="shared" si="71"/>
        <v>46.229579703671149</v>
      </c>
    </row>
    <row r="228" spans="1:20">
      <c r="A228" s="9" t="s">
        <v>1192</v>
      </c>
      <c r="B228" s="9" t="s">
        <v>11</v>
      </c>
      <c r="C228">
        <v>26</v>
      </c>
      <c r="D228">
        <v>1.3</v>
      </c>
      <c r="E228">
        <v>1.9E-2</v>
      </c>
      <c r="F228">
        <v>1.3</v>
      </c>
      <c r="G228" s="1">
        <f t="shared" si="60"/>
        <v>3.4009999999999997E-6</v>
      </c>
      <c r="H228" s="19">
        <f t="shared" si="61"/>
        <v>-3.9307229647630608E-6</v>
      </c>
      <c r="I228" s="1">
        <f t="shared" si="62"/>
        <v>2.5269999999999997E-8</v>
      </c>
      <c r="J228" s="1">
        <f t="shared" si="63"/>
        <v>5.0540000000000002E-6</v>
      </c>
      <c r="K228" s="19">
        <f t="shared" si="64"/>
        <v>1.7359659781287972E-4</v>
      </c>
      <c r="L228" s="19">
        <f t="shared" si="65"/>
        <v>0.10862187120291616</v>
      </c>
      <c r="M228" s="19">
        <f t="shared" si="66"/>
        <v>3.7199270959902792E-6</v>
      </c>
      <c r="N228" s="19">
        <f t="shared" si="31"/>
        <v>1.8728799615228837E-2</v>
      </c>
      <c r="O228" s="19">
        <v>179.36</v>
      </c>
      <c r="P228" s="19">
        <f t="shared" si="67"/>
        <v>2.0552597205346294E-2</v>
      </c>
      <c r="Q228" s="19">
        <f t="shared" si="68"/>
        <v>1.264775212636695E-3</v>
      </c>
      <c r="R228" s="19">
        <f t="shared" si="69"/>
        <v>3.9059234507897935</v>
      </c>
      <c r="S228" s="19">
        <f t="shared" si="70"/>
        <v>3.306601863102471E-15</v>
      </c>
      <c r="T228" s="83">
        <f t="shared" si="71"/>
        <v>48.371987861405415</v>
      </c>
    </row>
    <row r="229" spans="1:20">
      <c r="A229" s="9" t="s">
        <v>1193</v>
      </c>
      <c r="B229" s="9" t="s">
        <v>11</v>
      </c>
      <c r="C229">
        <v>10</v>
      </c>
      <c r="D229">
        <v>1.4</v>
      </c>
      <c r="E229">
        <v>1.0999999999999999E-2</v>
      </c>
      <c r="F229">
        <v>1.4</v>
      </c>
      <c r="G229" s="1">
        <f t="shared" si="60"/>
        <v>1.9689999999999997E-6</v>
      </c>
      <c r="H229" s="19">
        <f t="shared" si="61"/>
        <v>-1.5118165249088696E-6</v>
      </c>
      <c r="I229" s="1">
        <f t="shared" si="62"/>
        <v>1.4629999999999999E-8</v>
      </c>
      <c r="J229" s="1">
        <f t="shared" si="63"/>
        <v>2.926E-6</v>
      </c>
      <c r="K229" s="19">
        <f t="shared" si="64"/>
        <v>6.6767922235722962E-5</v>
      </c>
      <c r="L229" s="19">
        <f t="shared" si="65"/>
        <v>4.1777642770352369E-2</v>
      </c>
      <c r="M229" s="19">
        <f t="shared" si="66"/>
        <v>1.4307411907654921E-6</v>
      </c>
      <c r="N229" s="19">
        <f t="shared" si="31"/>
        <v>1.8728799615228837E-2</v>
      </c>
      <c r="O229" s="19">
        <v>180.36</v>
      </c>
      <c r="P229" s="19">
        <f t="shared" si="67"/>
        <v>7.9048450789793445E-3</v>
      </c>
      <c r="Q229" s="19">
        <f t="shared" si="68"/>
        <v>4.8645200486026731E-4</v>
      </c>
      <c r="R229" s="19">
        <f t="shared" si="69"/>
        <v>1.5022782503037668</v>
      </c>
      <c r="S229" s="19">
        <f t="shared" si="70"/>
        <v>1.2717699473471041E-15</v>
      </c>
      <c r="T229" s="83">
        <f t="shared" si="71"/>
        <v>44.294302295269972</v>
      </c>
    </row>
    <row r="230" spans="1:20">
      <c r="A230" s="9" t="s">
        <v>1194</v>
      </c>
      <c r="B230" s="9" t="s">
        <v>11</v>
      </c>
      <c r="C230">
        <v>40</v>
      </c>
      <c r="D230">
        <v>1.2</v>
      </c>
      <c r="E230">
        <v>2.7E-2</v>
      </c>
      <c r="F230">
        <v>1.2</v>
      </c>
      <c r="G230" s="1">
        <f t="shared" si="60"/>
        <v>4.8329999999999993E-6</v>
      </c>
      <c r="H230" s="19">
        <f t="shared" si="61"/>
        <v>-6.0472660996354785E-6</v>
      </c>
      <c r="I230" s="1">
        <f t="shared" si="62"/>
        <v>3.5910000000000002E-8</v>
      </c>
      <c r="J230" s="1">
        <f t="shared" si="63"/>
        <v>7.182E-6</v>
      </c>
      <c r="K230" s="19">
        <f t="shared" si="64"/>
        <v>2.6707168894289185E-4</v>
      </c>
      <c r="L230" s="19">
        <f t="shared" si="65"/>
        <v>0.16711057108140948</v>
      </c>
      <c r="M230" s="19">
        <f t="shared" si="66"/>
        <v>5.7229647630619684E-6</v>
      </c>
      <c r="N230" s="19">
        <f t="shared" si="31"/>
        <v>1.8728799615228837E-2</v>
      </c>
      <c r="O230" s="19">
        <v>181.36</v>
      </c>
      <c r="P230" s="19">
        <f t="shared" si="67"/>
        <v>3.1619380315917378E-2</v>
      </c>
      <c r="Q230" s="19">
        <f t="shared" si="68"/>
        <v>1.9458080194410692E-3</v>
      </c>
      <c r="R230" s="19">
        <f t="shared" si="69"/>
        <v>6.0091130012150673</v>
      </c>
      <c r="S230" s="19">
        <f t="shared" si="70"/>
        <v>5.0870797893884165E-15</v>
      </c>
      <c r="T230" s="83">
        <f t="shared" si="71"/>
        <v>52.619743213473924</v>
      </c>
    </row>
    <row r="231" spans="1:20">
      <c r="A231" s="9" t="s">
        <v>1195</v>
      </c>
      <c r="B231" s="9" t="s">
        <v>11</v>
      </c>
      <c r="C231">
        <v>19</v>
      </c>
      <c r="D231">
        <v>1.3</v>
      </c>
      <c r="E231">
        <v>1.4E-2</v>
      </c>
      <c r="F231">
        <v>1.3</v>
      </c>
      <c r="G231" s="1">
        <f t="shared" si="60"/>
        <v>2.5059999999999998E-6</v>
      </c>
      <c r="H231" s="19">
        <f t="shared" si="61"/>
        <v>-2.872451397326852E-6</v>
      </c>
      <c r="I231" s="1">
        <f t="shared" si="62"/>
        <v>1.8620000000000001E-8</v>
      </c>
      <c r="J231" s="1">
        <f t="shared" si="63"/>
        <v>3.7240000000000003E-6</v>
      </c>
      <c r="K231" s="19">
        <f t="shared" si="64"/>
        <v>1.2685905224787364E-4</v>
      </c>
      <c r="L231" s="19">
        <f t="shared" si="65"/>
        <v>7.9377521263669509E-2</v>
      </c>
      <c r="M231" s="19">
        <f t="shared" si="66"/>
        <v>2.7184082624544351E-6</v>
      </c>
      <c r="N231" s="19">
        <f t="shared" si="31"/>
        <v>1.8728799615228837E-2</v>
      </c>
      <c r="O231" s="19">
        <v>182.36</v>
      </c>
      <c r="P231" s="19">
        <f t="shared" si="67"/>
        <v>1.5019205650060753E-2</v>
      </c>
      <c r="Q231" s="19">
        <f t="shared" si="68"/>
        <v>9.2425880923450792E-4</v>
      </c>
      <c r="R231" s="19">
        <f t="shared" si="69"/>
        <v>2.8543286755771571</v>
      </c>
      <c r="S231" s="19">
        <f t="shared" si="70"/>
        <v>2.4163628999594979E-15</v>
      </c>
      <c r="T231" s="83">
        <f t="shared" si="71"/>
        <v>47.149579703671151</v>
      </c>
    </row>
    <row r="232" spans="1:20">
      <c r="A232" s="9" t="s">
        <v>1196</v>
      </c>
      <c r="B232" s="9" t="s">
        <v>11</v>
      </c>
      <c r="C232">
        <v>69</v>
      </c>
      <c r="D232">
        <v>1.2</v>
      </c>
      <c r="E232">
        <v>3.6999999999999998E-2</v>
      </c>
      <c r="F232">
        <v>1.2</v>
      </c>
      <c r="G232" s="1">
        <f t="shared" si="60"/>
        <v>6.6229999999999991E-6</v>
      </c>
      <c r="H232" s="19">
        <f t="shared" si="61"/>
        <v>-1.04315340218712E-5</v>
      </c>
      <c r="I232" s="1">
        <f t="shared" si="62"/>
        <v>4.9209999999999995E-8</v>
      </c>
      <c r="J232" s="1">
        <f t="shared" si="63"/>
        <v>9.842E-6</v>
      </c>
      <c r="K232" s="19">
        <f t="shared" si="64"/>
        <v>4.6069866342648844E-4</v>
      </c>
      <c r="L232" s="19">
        <f t="shared" si="65"/>
        <v>0.28826573511543135</v>
      </c>
      <c r="M232" s="19">
        <f t="shared" si="66"/>
        <v>9.8721142162818957E-6</v>
      </c>
      <c r="N232" s="19">
        <f t="shared" si="31"/>
        <v>1.8728799615228837E-2</v>
      </c>
      <c r="O232" s="19">
        <v>183.36</v>
      </c>
      <c r="P232" s="19">
        <f t="shared" si="67"/>
        <v>5.4543431044957472E-2</v>
      </c>
      <c r="Q232" s="19">
        <f t="shared" si="68"/>
        <v>3.3565188335358447E-3</v>
      </c>
      <c r="R232" s="19">
        <f t="shared" si="69"/>
        <v>10.365719927095991</v>
      </c>
      <c r="S232" s="19">
        <f t="shared" si="70"/>
        <v>8.7752126366950187E-15</v>
      </c>
      <c r="T232" s="83">
        <f t="shared" si="71"/>
        <v>60.804036134444402</v>
      </c>
    </row>
    <row r="233" spans="1:20">
      <c r="A233" s="9" t="s">
        <v>1197</v>
      </c>
      <c r="B233" s="9" t="s">
        <v>11</v>
      </c>
      <c r="C233">
        <v>92</v>
      </c>
      <c r="D233">
        <v>1.1000000000000001</v>
      </c>
      <c r="E233">
        <v>3.9E-2</v>
      </c>
      <c r="F233">
        <v>1.1000000000000001</v>
      </c>
      <c r="G233" s="1">
        <f t="shared" si="60"/>
        <v>6.9809999999999997E-6</v>
      </c>
      <c r="H233" s="19">
        <f t="shared" si="61"/>
        <v>-1.39087120291616E-5</v>
      </c>
      <c r="I233" s="1">
        <f t="shared" si="62"/>
        <v>5.1870000000000001E-8</v>
      </c>
      <c r="J233" s="1">
        <f t="shared" si="63"/>
        <v>1.0374000000000001E-5</v>
      </c>
      <c r="K233" s="19">
        <f t="shared" si="64"/>
        <v>6.1426488456865129E-4</v>
      </c>
      <c r="L233" s="19">
        <f t="shared" si="65"/>
        <v>0.38435431348724181</v>
      </c>
      <c r="M233" s="19">
        <f t="shared" si="66"/>
        <v>1.3162818955042528E-5</v>
      </c>
      <c r="N233" s="19">
        <f t="shared" ref="N233:N292" si="72">CO2_crop_charfact</f>
        <v>1.8728799615228837E-2</v>
      </c>
      <c r="O233" s="19">
        <v>185.36</v>
      </c>
      <c r="P233" s="19">
        <f t="shared" si="67"/>
        <v>7.2724574726609967E-2</v>
      </c>
      <c r="Q233" s="19">
        <f t="shared" si="68"/>
        <v>4.4753584447144593E-3</v>
      </c>
      <c r="R233" s="19">
        <f t="shared" si="69"/>
        <v>13.820959902794655</v>
      </c>
      <c r="S233" s="19">
        <f t="shared" si="70"/>
        <v>1.1700283515593358E-14</v>
      </c>
      <c r="T233" s="83">
        <f t="shared" si="71"/>
        <v>67.280294559614092</v>
      </c>
    </row>
    <row r="234" spans="1:20">
      <c r="A234" s="9" t="s">
        <v>1198</v>
      </c>
      <c r="B234" s="9" t="s">
        <v>11</v>
      </c>
      <c r="C234">
        <v>78</v>
      </c>
      <c r="D234">
        <v>1.1000000000000001</v>
      </c>
      <c r="E234">
        <v>3.4000000000000002E-2</v>
      </c>
      <c r="F234">
        <v>1.1000000000000001</v>
      </c>
      <c r="G234" s="1">
        <f t="shared" si="60"/>
        <v>6.0859999999999998E-6</v>
      </c>
      <c r="H234" s="19">
        <f t="shared" si="61"/>
        <v>-1.1792168894289183E-5</v>
      </c>
      <c r="I234" s="1">
        <f t="shared" si="62"/>
        <v>4.5220000000000004E-8</v>
      </c>
      <c r="J234" s="1">
        <f t="shared" si="63"/>
        <v>9.0440000000000018E-6</v>
      </c>
      <c r="K234" s="19">
        <f t="shared" si="64"/>
        <v>5.2078979343863914E-4</v>
      </c>
      <c r="L234" s="19">
        <f t="shared" si="65"/>
        <v>0.32586561360874849</v>
      </c>
      <c r="M234" s="19">
        <f t="shared" si="66"/>
        <v>1.1159781287970839E-5</v>
      </c>
      <c r="N234" s="19">
        <f t="shared" si="72"/>
        <v>1.8728799615228837E-2</v>
      </c>
      <c r="O234" s="19">
        <v>186.36</v>
      </c>
      <c r="P234" s="19">
        <f t="shared" si="67"/>
        <v>6.1657791616038883E-2</v>
      </c>
      <c r="Q234" s="19">
        <f t="shared" si="68"/>
        <v>3.7943256379100853E-3</v>
      </c>
      <c r="R234" s="19">
        <f t="shared" si="69"/>
        <v>11.717770352369381</v>
      </c>
      <c r="S234" s="19">
        <f t="shared" si="70"/>
        <v>9.9198055893074122E-15</v>
      </c>
      <c r="T234" s="83">
        <f t="shared" si="71"/>
        <v>63.778130652645594</v>
      </c>
    </row>
    <row r="235" spans="1:20">
      <c r="A235" s="9" t="s">
        <v>1199</v>
      </c>
      <c r="B235" s="9" t="s">
        <v>11</v>
      </c>
      <c r="C235">
        <v>610</v>
      </c>
      <c r="D235">
        <v>1.03</v>
      </c>
      <c r="E235">
        <v>0.125</v>
      </c>
      <c r="F235">
        <v>1.03</v>
      </c>
      <c r="G235" s="1">
        <f t="shared" si="60"/>
        <v>2.2374999999999998E-5</v>
      </c>
      <c r="H235" s="19">
        <f t="shared" si="61"/>
        <v>-9.2220808019441037E-5</v>
      </c>
      <c r="I235" s="1">
        <f t="shared" si="62"/>
        <v>1.6625E-7</v>
      </c>
      <c r="J235" s="1">
        <f t="shared" si="63"/>
        <v>3.3250000000000002E-5</v>
      </c>
      <c r="K235" s="19">
        <f t="shared" si="64"/>
        <v>4.0728432563791007E-3</v>
      </c>
      <c r="L235" s="19">
        <f t="shared" si="65"/>
        <v>2.5484362089914949</v>
      </c>
      <c r="M235" s="19">
        <f t="shared" si="66"/>
        <v>8.7275212636695016E-5</v>
      </c>
      <c r="N235" s="19">
        <f t="shared" si="72"/>
        <v>1.8728799615228837E-2</v>
      </c>
      <c r="O235" s="19">
        <v>187.36</v>
      </c>
      <c r="P235" s="19">
        <f t="shared" si="67"/>
        <v>0.48219554981773999</v>
      </c>
      <c r="Q235" s="19">
        <f t="shared" si="68"/>
        <v>2.9673572296476308E-2</v>
      </c>
      <c r="R235" s="19">
        <f t="shared" si="69"/>
        <v>91.638973268529782</v>
      </c>
      <c r="S235" s="19">
        <f t="shared" si="70"/>
        <v>7.7577966788173356E-14</v>
      </c>
      <c r="T235" s="83">
        <f t="shared" si="71"/>
        <v>203.99584142914898</v>
      </c>
    </row>
    <row r="236" spans="1:20">
      <c r="A236" s="9" t="s">
        <v>1200</v>
      </c>
      <c r="B236" s="9" t="s">
        <v>11</v>
      </c>
      <c r="C236">
        <v>100</v>
      </c>
      <c r="D236">
        <v>1.1000000000000001</v>
      </c>
      <c r="E236">
        <v>3.3000000000000002E-2</v>
      </c>
      <c r="F236">
        <v>1.1000000000000001</v>
      </c>
      <c r="G236" s="1">
        <f t="shared" si="60"/>
        <v>5.9069999999999995E-6</v>
      </c>
      <c r="H236" s="19">
        <f t="shared" si="61"/>
        <v>-1.5118165249088694E-5</v>
      </c>
      <c r="I236" s="1">
        <f t="shared" si="62"/>
        <v>4.3889999999999998E-8</v>
      </c>
      <c r="J236" s="1">
        <f t="shared" si="63"/>
        <v>8.7780000000000013E-6</v>
      </c>
      <c r="K236" s="19">
        <f t="shared" si="64"/>
        <v>6.6767922235722965E-4</v>
      </c>
      <c r="L236" s="19">
        <f t="shared" si="65"/>
        <v>0.41777642770352375</v>
      </c>
      <c r="M236" s="19">
        <f t="shared" si="66"/>
        <v>1.430741190765492E-5</v>
      </c>
      <c r="N236" s="19">
        <f t="shared" si="72"/>
        <v>1.8728799615228837E-2</v>
      </c>
      <c r="O236" s="19">
        <v>188.36</v>
      </c>
      <c r="P236" s="19">
        <f t="shared" si="67"/>
        <v>7.9048450789793431E-2</v>
      </c>
      <c r="Q236" s="19">
        <f t="shared" si="68"/>
        <v>4.8645200486026729E-3</v>
      </c>
      <c r="R236" s="19">
        <f t="shared" si="69"/>
        <v>15.022782503037668</v>
      </c>
      <c r="S236" s="19">
        <f t="shared" si="70"/>
        <v>1.2717699473471042E-14</v>
      </c>
      <c r="T236" s="83">
        <f t="shared" si="71"/>
        <v>69.938832525681832</v>
      </c>
    </row>
    <row r="237" spans="1:20">
      <c r="A237" s="9" t="s">
        <v>1201</v>
      </c>
      <c r="B237" s="9" t="s">
        <v>11</v>
      </c>
      <c r="C237">
        <v>46</v>
      </c>
      <c r="D237">
        <v>1.2</v>
      </c>
      <c r="E237">
        <v>2.1000000000000001E-2</v>
      </c>
      <c r="F237">
        <v>1.2</v>
      </c>
      <c r="G237" s="1">
        <f t="shared" si="60"/>
        <v>3.7589999999999999E-6</v>
      </c>
      <c r="H237" s="19">
        <f t="shared" si="61"/>
        <v>-6.9543560145808001E-6</v>
      </c>
      <c r="I237" s="1">
        <f t="shared" si="62"/>
        <v>2.7930000000000003E-8</v>
      </c>
      <c r="J237" s="1">
        <f t="shared" si="63"/>
        <v>5.5860000000000004E-6</v>
      </c>
      <c r="K237" s="19">
        <f t="shared" si="64"/>
        <v>3.0713244228432565E-4</v>
      </c>
      <c r="L237" s="19">
        <f t="shared" si="65"/>
        <v>0.1921771567436209</v>
      </c>
      <c r="M237" s="19">
        <f t="shared" si="66"/>
        <v>6.5814094775212638E-6</v>
      </c>
      <c r="N237" s="19">
        <f t="shared" si="72"/>
        <v>1.8728799615228837E-2</v>
      </c>
      <c r="O237" s="19">
        <v>189.36</v>
      </c>
      <c r="P237" s="19">
        <f t="shared" si="67"/>
        <v>3.6362287363304983E-2</v>
      </c>
      <c r="Q237" s="19">
        <f t="shared" si="68"/>
        <v>2.2376792223572296E-3</v>
      </c>
      <c r="R237" s="19">
        <f t="shared" si="69"/>
        <v>6.9104799513973276</v>
      </c>
      <c r="S237" s="19">
        <f t="shared" si="70"/>
        <v>5.8501417577966789E-15</v>
      </c>
      <c r="T237" s="83">
        <f t="shared" si="71"/>
        <v>55.90835096547471</v>
      </c>
    </row>
    <row r="238" spans="1:20">
      <c r="A238" s="9" t="s">
        <v>1202</v>
      </c>
      <c r="B238" s="9" t="s">
        <v>11</v>
      </c>
      <c r="C238">
        <v>657</v>
      </c>
      <c r="D238">
        <v>1.03</v>
      </c>
      <c r="E238">
        <v>0.125</v>
      </c>
      <c r="F238">
        <v>1.03</v>
      </c>
      <c r="G238" s="1">
        <f t="shared" si="60"/>
        <v>2.2374999999999998E-5</v>
      </c>
      <c r="H238" s="19">
        <f t="shared" si="61"/>
        <v>-9.9326345686512731E-5</v>
      </c>
      <c r="I238" s="1">
        <f t="shared" si="62"/>
        <v>1.6625E-7</v>
      </c>
      <c r="J238" s="1">
        <f t="shared" si="63"/>
        <v>3.3250000000000002E-5</v>
      </c>
      <c r="K238" s="19">
        <f t="shared" si="64"/>
        <v>4.386652490886999E-3</v>
      </c>
      <c r="L238" s="19">
        <f t="shared" si="65"/>
        <v>2.744791130012151</v>
      </c>
      <c r="M238" s="19">
        <f t="shared" si="66"/>
        <v>9.3999696233292826E-5</v>
      </c>
      <c r="N238" s="19">
        <f t="shared" si="72"/>
        <v>1.8728799615228837E-2</v>
      </c>
      <c r="O238" s="19">
        <v>190.36</v>
      </c>
      <c r="P238" s="19">
        <f t="shared" si="67"/>
        <v>0.51934832168894285</v>
      </c>
      <c r="Q238" s="19">
        <f t="shared" si="68"/>
        <v>3.1959896719319564E-2</v>
      </c>
      <c r="R238" s="19">
        <f t="shared" si="69"/>
        <v>98.699681044957487</v>
      </c>
      <c r="S238" s="19">
        <f t="shared" si="70"/>
        <v>8.3555285540704749E-14</v>
      </c>
      <c r="T238" s="83">
        <f t="shared" si="71"/>
        <v>216.90420145972183</v>
      </c>
    </row>
    <row r="239" spans="1:20">
      <c r="A239" s="9" t="s">
        <v>1203</v>
      </c>
      <c r="B239" s="9" t="s">
        <v>11</v>
      </c>
      <c r="C239">
        <v>52</v>
      </c>
      <c r="D239">
        <v>1.2</v>
      </c>
      <c r="E239">
        <v>2.1999999999999999E-2</v>
      </c>
      <c r="F239">
        <v>1.2</v>
      </c>
      <c r="G239" s="1">
        <f t="shared" si="60"/>
        <v>3.9379999999999994E-6</v>
      </c>
      <c r="H239" s="19">
        <f t="shared" si="61"/>
        <v>-7.8614459295261217E-6</v>
      </c>
      <c r="I239" s="1">
        <f t="shared" si="62"/>
        <v>2.9259999999999999E-8</v>
      </c>
      <c r="J239" s="1">
        <f t="shared" si="63"/>
        <v>5.852E-6</v>
      </c>
      <c r="K239" s="19">
        <f t="shared" si="64"/>
        <v>3.4719319562575944E-4</v>
      </c>
      <c r="L239" s="19">
        <f t="shared" si="65"/>
        <v>0.21724374240583233</v>
      </c>
      <c r="M239" s="19">
        <f t="shared" si="66"/>
        <v>7.4398541919805584E-6</v>
      </c>
      <c r="N239" s="19">
        <f t="shared" si="72"/>
        <v>1.8728799615228837E-2</v>
      </c>
      <c r="O239" s="19">
        <v>191.36</v>
      </c>
      <c r="P239" s="19">
        <f t="shared" si="67"/>
        <v>4.1105194410692589E-2</v>
      </c>
      <c r="Q239" s="19">
        <f t="shared" si="68"/>
        <v>2.5295504252733901E-3</v>
      </c>
      <c r="R239" s="19">
        <f t="shared" si="69"/>
        <v>7.8118469015795871</v>
      </c>
      <c r="S239" s="19">
        <f t="shared" si="70"/>
        <v>6.613203726204942E-15</v>
      </c>
      <c r="T239" s="83">
        <f t="shared" si="71"/>
        <v>57.946672089375504</v>
      </c>
    </row>
    <row r="240" spans="1:20">
      <c r="A240" s="9" t="s">
        <v>1204</v>
      </c>
      <c r="B240" s="9" t="s">
        <v>11</v>
      </c>
      <c r="C240">
        <v>1027</v>
      </c>
      <c r="D240">
        <v>1.02</v>
      </c>
      <c r="E240">
        <v>0.20599999999999999</v>
      </c>
      <c r="F240">
        <v>1.02</v>
      </c>
      <c r="G240" s="1">
        <f t="shared" si="60"/>
        <v>3.6873999999999993E-5</v>
      </c>
      <c r="H240" s="19">
        <f t="shared" si="61"/>
        <v>-1.5526355710814089E-4</v>
      </c>
      <c r="I240" s="1">
        <f t="shared" si="62"/>
        <v>2.7397999999999997E-7</v>
      </c>
      <c r="J240" s="1">
        <f t="shared" si="63"/>
        <v>5.4796000000000002E-5</v>
      </c>
      <c r="K240" s="19">
        <f t="shared" si="64"/>
        <v>6.8570656136087487E-3</v>
      </c>
      <c r="L240" s="19">
        <f t="shared" si="65"/>
        <v>4.2905639125151884</v>
      </c>
      <c r="M240" s="19">
        <f t="shared" si="66"/>
        <v>1.4693712029161603E-4</v>
      </c>
      <c r="N240" s="19">
        <f t="shared" si="72"/>
        <v>1.8728799615228837E-2</v>
      </c>
      <c r="O240" s="19">
        <v>192.36</v>
      </c>
      <c r="P240" s="19">
        <f t="shared" si="67"/>
        <v>0.81182758961117862</v>
      </c>
      <c r="Q240" s="19">
        <f t="shared" si="68"/>
        <v>4.9958620899149452E-2</v>
      </c>
      <c r="R240" s="19">
        <f t="shared" si="69"/>
        <v>154.28397630619685</v>
      </c>
      <c r="S240" s="19">
        <f t="shared" si="70"/>
        <v>1.306107735925476E-13</v>
      </c>
      <c r="T240" s="83">
        <f t="shared" si="71"/>
        <v>315.05226007980389</v>
      </c>
    </row>
    <row r="241" spans="1:20">
      <c r="A241" s="9" t="s">
        <v>1205</v>
      </c>
      <c r="B241" s="9" t="s">
        <v>11</v>
      </c>
      <c r="C241">
        <v>64</v>
      </c>
      <c r="D241">
        <v>1.2</v>
      </c>
      <c r="E241">
        <v>2.4E-2</v>
      </c>
      <c r="F241">
        <v>1.2</v>
      </c>
      <c r="G241" s="1">
        <f t="shared" si="60"/>
        <v>4.296E-6</v>
      </c>
      <c r="H241" s="19">
        <f t="shared" si="61"/>
        <v>-9.6756257594167649E-6</v>
      </c>
      <c r="I241" s="1">
        <f t="shared" si="62"/>
        <v>3.1919999999999997E-8</v>
      </c>
      <c r="J241" s="1">
        <f t="shared" si="63"/>
        <v>6.3840000000000002E-6</v>
      </c>
      <c r="K241" s="19">
        <f t="shared" si="64"/>
        <v>4.2731470230862698E-4</v>
      </c>
      <c r="L241" s="19">
        <f t="shared" si="65"/>
        <v>0.26737691373025518</v>
      </c>
      <c r="M241" s="19">
        <f t="shared" si="66"/>
        <v>9.1567436208991494E-6</v>
      </c>
      <c r="N241" s="19">
        <f t="shared" si="72"/>
        <v>1.8728799615228837E-2</v>
      </c>
      <c r="O241" s="19">
        <v>193.36</v>
      </c>
      <c r="P241" s="19">
        <f t="shared" si="67"/>
        <v>5.0591008505467799E-2</v>
      </c>
      <c r="Q241" s="19">
        <f t="shared" si="68"/>
        <v>3.1132928311057109E-3</v>
      </c>
      <c r="R241" s="19">
        <f t="shared" si="69"/>
        <v>9.6145808019441077</v>
      </c>
      <c r="S241" s="19">
        <f t="shared" si="70"/>
        <v>8.1393276630214667E-15</v>
      </c>
      <c r="T241" s="83">
        <f t="shared" si="71"/>
        <v>61.56331433717709</v>
      </c>
    </row>
    <row r="242" spans="1:20">
      <c r="A242" s="9" t="s">
        <v>1206</v>
      </c>
      <c r="B242" s="9" t="s">
        <v>11</v>
      </c>
      <c r="C242">
        <v>29</v>
      </c>
      <c r="D242">
        <v>1.3</v>
      </c>
      <c r="E242">
        <v>1.4999999999999999E-2</v>
      </c>
      <c r="F242">
        <v>1.3</v>
      </c>
      <c r="G242" s="1">
        <f t="shared" si="60"/>
        <v>2.6849999999999997E-6</v>
      </c>
      <c r="H242" s="19">
        <f t="shared" si="61"/>
        <v>-4.3842679222357216E-6</v>
      </c>
      <c r="I242" s="1">
        <f t="shared" si="62"/>
        <v>1.995E-8</v>
      </c>
      <c r="J242" s="1">
        <f t="shared" si="63"/>
        <v>3.9899999999999999E-6</v>
      </c>
      <c r="K242" s="19">
        <f t="shared" si="64"/>
        <v>1.9362697448359659E-4</v>
      </c>
      <c r="L242" s="19">
        <f t="shared" si="65"/>
        <v>0.12115516403402188</v>
      </c>
      <c r="M242" s="19">
        <f t="shared" si="66"/>
        <v>4.1491494532199274E-6</v>
      </c>
      <c r="N242" s="19">
        <f t="shared" si="72"/>
        <v>1.8728799615228837E-2</v>
      </c>
      <c r="O242" s="19">
        <v>194.36</v>
      </c>
      <c r="P242" s="19">
        <f t="shared" si="67"/>
        <v>2.2924050729040097E-2</v>
      </c>
      <c r="Q242" s="19">
        <f t="shared" si="68"/>
        <v>1.4107108140947752E-3</v>
      </c>
      <c r="R242" s="19">
        <f t="shared" si="69"/>
        <v>4.3566069258809241</v>
      </c>
      <c r="S242" s="19">
        <f t="shared" si="70"/>
        <v>3.6881328473066022E-15</v>
      </c>
      <c r="T242" s="83">
        <f t="shared" si="71"/>
        <v>52.527761255705812</v>
      </c>
    </row>
    <row r="243" spans="1:20">
      <c r="A243" s="9" t="s">
        <v>1207</v>
      </c>
      <c r="B243" s="9" t="s">
        <v>11</v>
      </c>
      <c r="C243">
        <v>68</v>
      </c>
      <c r="D243">
        <v>1.2</v>
      </c>
      <c r="E243">
        <v>2.3E-2</v>
      </c>
      <c r="F243">
        <v>0.2</v>
      </c>
      <c r="G243" s="1">
        <f t="shared" si="60"/>
        <v>4.1169999999999997E-6</v>
      </c>
      <c r="H243" s="19">
        <f t="shared" si="61"/>
        <v>-1.0280352369380312E-5</v>
      </c>
      <c r="I243" s="1">
        <f t="shared" si="62"/>
        <v>3.0589999999999998E-8</v>
      </c>
      <c r="J243" s="1">
        <f t="shared" si="63"/>
        <v>6.1180000000000005E-6</v>
      </c>
      <c r="K243" s="19">
        <f t="shared" si="64"/>
        <v>4.5402187120291616E-4</v>
      </c>
      <c r="L243" s="19">
        <f t="shared" si="65"/>
        <v>0.28408797083839615</v>
      </c>
      <c r="M243" s="19">
        <f t="shared" si="66"/>
        <v>9.7290400972053458E-6</v>
      </c>
      <c r="N243" s="19">
        <f t="shared" si="72"/>
        <v>1.8728799615228837E-2</v>
      </c>
      <c r="O243" s="19">
        <v>195.36</v>
      </c>
      <c r="P243" s="19">
        <f t="shared" si="67"/>
        <v>5.3752946537059539E-2</v>
      </c>
      <c r="Q243" s="19">
        <f t="shared" si="68"/>
        <v>3.3078736330498177E-3</v>
      </c>
      <c r="R243" s="19">
        <f t="shared" si="69"/>
        <v>10.215492102065614</v>
      </c>
      <c r="S243" s="19">
        <f t="shared" si="70"/>
        <v>8.6480356419603083E-15</v>
      </c>
      <c r="T243" s="83">
        <f t="shared" si="71"/>
        <v>63.044644283610943</v>
      </c>
    </row>
    <row r="244" spans="1:20">
      <c r="A244" s="9" t="s">
        <v>1208</v>
      </c>
      <c r="B244" s="9" t="s">
        <v>11</v>
      </c>
      <c r="C244">
        <v>44</v>
      </c>
      <c r="D244">
        <v>1.2</v>
      </c>
      <c r="E244">
        <v>1.7000000000000001E-2</v>
      </c>
      <c r="F244">
        <v>1.2</v>
      </c>
      <c r="G244" s="1">
        <f t="shared" si="60"/>
        <v>3.0429999999999999E-6</v>
      </c>
      <c r="H244" s="19">
        <f t="shared" si="61"/>
        <v>-6.6519927095990256E-6</v>
      </c>
      <c r="I244" s="1">
        <f t="shared" si="62"/>
        <v>2.2610000000000002E-8</v>
      </c>
      <c r="J244" s="1">
        <f t="shared" si="63"/>
        <v>4.5220000000000009E-6</v>
      </c>
      <c r="K244" s="19">
        <f t="shared" si="64"/>
        <v>2.9377885783718103E-4</v>
      </c>
      <c r="L244" s="19">
        <f t="shared" si="65"/>
        <v>0.18382162818955045</v>
      </c>
      <c r="M244" s="19">
        <f t="shared" si="66"/>
        <v>6.2952612393681656E-6</v>
      </c>
      <c r="N244" s="19">
        <f t="shared" si="72"/>
        <v>1.8728799615228837E-2</v>
      </c>
      <c r="O244" s="19">
        <v>196.36</v>
      </c>
      <c r="P244" s="19">
        <f t="shared" si="67"/>
        <v>3.478131834750911E-2</v>
      </c>
      <c r="Q244" s="19">
        <f t="shared" si="68"/>
        <v>2.140388821385176E-3</v>
      </c>
      <c r="R244" s="19">
        <f t="shared" si="69"/>
        <v>6.6100243013365745</v>
      </c>
      <c r="S244" s="19">
        <f t="shared" si="70"/>
        <v>5.5957877683272581E-15</v>
      </c>
      <c r="T244" s="83">
        <f t="shared" si="71"/>
        <v>56.924298824607774</v>
      </c>
    </row>
    <row r="245" spans="1:20">
      <c r="A245" s="9" t="s">
        <v>1209</v>
      </c>
      <c r="B245" s="9" t="s">
        <v>11</v>
      </c>
      <c r="C245">
        <v>29</v>
      </c>
      <c r="D245">
        <v>1.3</v>
      </c>
      <c r="E245">
        <v>1.4999999999999999E-2</v>
      </c>
      <c r="F245">
        <v>1.3</v>
      </c>
      <c r="G245" s="1">
        <f t="shared" si="60"/>
        <v>2.6849999999999997E-6</v>
      </c>
      <c r="H245" s="19">
        <f t="shared" si="61"/>
        <v>-4.3842679222357216E-6</v>
      </c>
      <c r="I245" s="1">
        <f t="shared" si="62"/>
        <v>1.995E-8</v>
      </c>
      <c r="J245" s="1">
        <f t="shared" si="63"/>
        <v>3.9899999999999999E-6</v>
      </c>
      <c r="K245" s="19">
        <f t="shared" si="64"/>
        <v>1.9362697448359659E-4</v>
      </c>
      <c r="L245" s="19">
        <f t="shared" si="65"/>
        <v>0.12115516403402188</v>
      </c>
      <c r="M245" s="19">
        <f t="shared" si="66"/>
        <v>4.1491494532199274E-6</v>
      </c>
      <c r="N245" s="19">
        <f t="shared" si="72"/>
        <v>1.8728799615228837E-2</v>
      </c>
      <c r="O245" s="19">
        <v>197.36</v>
      </c>
      <c r="P245" s="19">
        <f t="shared" si="67"/>
        <v>2.2924050729040097E-2</v>
      </c>
      <c r="Q245" s="19">
        <f t="shared" si="68"/>
        <v>1.4107108140947752E-3</v>
      </c>
      <c r="R245" s="19">
        <f t="shared" si="69"/>
        <v>4.3566069258809241</v>
      </c>
      <c r="S245" s="19">
        <f t="shared" si="70"/>
        <v>3.6881328473066022E-15</v>
      </c>
      <c r="T245" s="83">
        <f t="shared" si="71"/>
        <v>53.217761255705817</v>
      </c>
    </row>
    <row r="246" spans="1:20">
      <c r="A246" s="9" t="s">
        <v>1210</v>
      </c>
      <c r="B246" s="9" t="s">
        <v>11</v>
      </c>
      <c r="C246">
        <v>68</v>
      </c>
      <c r="D246">
        <v>1.2</v>
      </c>
      <c r="E246">
        <v>2.5000000000000001E-2</v>
      </c>
      <c r="F246">
        <v>1.2</v>
      </c>
      <c r="G246" s="1">
        <f t="shared" si="60"/>
        <v>4.4749999999999995E-6</v>
      </c>
      <c r="H246" s="19">
        <f t="shared" si="61"/>
        <v>-1.0280352369380312E-5</v>
      </c>
      <c r="I246" s="1">
        <f t="shared" si="62"/>
        <v>3.3250000000000003E-8</v>
      </c>
      <c r="J246" s="1">
        <f t="shared" si="63"/>
        <v>6.6500000000000007E-6</v>
      </c>
      <c r="K246" s="19">
        <f t="shared" si="64"/>
        <v>4.5402187120291616E-4</v>
      </c>
      <c r="L246" s="19">
        <f t="shared" si="65"/>
        <v>0.28408797083839615</v>
      </c>
      <c r="M246" s="19">
        <f t="shared" si="66"/>
        <v>9.7290400972053458E-6</v>
      </c>
      <c r="N246" s="19">
        <f t="shared" si="72"/>
        <v>1.8728799615228837E-2</v>
      </c>
      <c r="O246" s="19">
        <v>198.36</v>
      </c>
      <c r="P246" s="19">
        <f t="shared" si="67"/>
        <v>5.3752946537059539E-2</v>
      </c>
      <c r="Q246" s="19">
        <f t="shared" si="68"/>
        <v>3.3078736330498177E-3</v>
      </c>
      <c r="R246" s="19">
        <f t="shared" si="69"/>
        <v>10.215492102065614</v>
      </c>
      <c r="S246" s="19">
        <f t="shared" si="70"/>
        <v>8.6480356419603083E-15</v>
      </c>
      <c r="T246" s="83">
        <f t="shared" si="71"/>
        <v>63.771705247010942</v>
      </c>
    </row>
    <row r="247" spans="1:20">
      <c r="A247" s="9" t="s">
        <v>1211</v>
      </c>
      <c r="B247" s="9" t="s">
        <v>11</v>
      </c>
      <c r="C247">
        <v>98</v>
      </c>
      <c r="D247">
        <v>1.2</v>
      </c>
      <c r="E247">
        <v>3.4000000000000002E-2</v>
      </c>
      <c r="F247">
        <v>1.2</v>
      </c>
      <c r="G247" s="1">
        <f t="shared" si="60"/>
        <v>6.0859999999999998E-6</v>
      </c>
      <c r="H247" s="19">
        <f t="shared" si="61"/>
        <v>-1.4815801944106922E-5</v>
      </c>
      <c r="I247" s="1">
        <f t="shared" si="62"/>
        <v>4.5220000000000004E-8</v>
      </c>
      <c r="J247" s="1">
        <f t="shared" si="63"/>
        <v>9.0440000000000018E-6</v>
      </c>
      <c r="K247" s="19">
        <f t="shared" si="64"/>
        <v>6.5432563791008509E-4</v>
      </c>
      <c r="L247" s="19">
        <f t="shared" si="65"/>
        <v>0.40942089914945323</v>
      </c>
      <c r="M247" s="19">
        <f t="shared" si="66"/>
        <v>1.4021263669501822E-5</v>
      </c>
      <c r="N247" s="19">
        <f t="shared" si="72"/>
        <v>1.8728799615228837E-2</v>
      </c>
      <c r="O247" s="19">
        <v>199.36</v>
      </c>
      <c r="P247" s="19">
        <f t="shared" si="67"/>
        <v>7.7467481773997565E-2</v>
      </c>
      <c r="Q247" s="19">
        <f t="shared" si="68"/>
        <v>4.7672296476306197E-3</v>
      </c>
      <c r="R247" s="19">
        <f t="shared" si="69"/>
        <v>14.722326852976915</v>
      </c>
      <c r="S247" s="19">
        <f t="shared" si="70"/>
        <v>1.2463345484001622E-14</v>
      </c>
      <c r="T247" s="83">
        <f t="shared" si="71"/>
        <v>71.967432793314885</v>
      </c>
    </row>
    <row r="248" spans="1:20">
      <c r="A248" s="9" t="s">
        <v>1212</v>
      </c>
      <c r="B248" s="9" t="s">
        <v>11</v>
      </c>
      <c r="C248">
        <v>37</v>
      </c>
      <c r="D248">
        <v>1.3</v>
      </c>
      <c r="E248">
        <v>1.4999999999999999E-2</v>
      </c>
      <c r="F248">
        <v>1.2</v>
      </c>
      <c r="G248" s="1">
        <f t="shared" si="60"/>
        <v>2.6849999999999997E-6</v>
      </c>
      <c r="H248" s="19">
        <f t="shared" si="61"/>
        <v>-5.5937211421628168E-6</v>
      </c>
      <c r="I248" s="1">
        <f t="shared" si="62"/>
        <v>1.995E-8</v>
      </c>
      <c r="J248" s="1">
        <f t="shared" si="63"/>
        <v>3.9899999999999999E-6</v>
      </c>
      <c r="K248" s="19">
        <f t="shared" si="64"/>
        <v>2.4704131227217495E-4</v>
      </c>
      <c r="L248" s="19">
        <f t="shared" si="65"/>
        <v>0.15457727825030379</v>
      </c>
      <c r="M248" s="19">
        <f t="shared" si="66"/>
        <v>5.2937424058323211E-6</v>
      </c>
      <c r="N248" s="19">
        <f t="shared" si="72"/>
        <v>1.8728799615228837E-2</v>
      </c>
      <c r="O248" s="19">
        <v>200.36</v>
      </c>
      <c r="P248" s="19">
        <f t="shared" si="67"/>
        <v>2.9247926792223572E-2</v>
      </c>
      <c r="Q248" s="19">
        <f t="shared" si="68"/>
        <v>1.799872417982989E-3</v>
      </c>
      <c r="R248" s="19">
        <f t="shared" si="69"/>
        <v>5.5584295261239376</v>
      </c>
      <c r="S248" s="19">
        <f t="shared" si="70"/>
        <v>4.7055488051842853E-15</v>
      </c>
      <c r="T248" s="83">
        <f t="shared" si="71"/>
        <v>55.987482111973527</v>
      </c>
    </row>
    <row r="249" spans="1:20">
      <c r="A249" s="9" t="s">
        <v>1213</v>
      </c>
      <c r="B249" s="9" t="s">
        <v>11</v>
      </c>
      <c r="C249">
        <v>108</v>
      </c>
      <c r="D249">
        <v>1.2</v>
      </c>
      <c r="E249">
        <v>3.1E-2</v>
      </c>
      <c r="F249">
        <v>1.2</v>
      </c>
      <c r="G249" s="1">
        <f t="shared" si="60"/>
        <v>5.5489999999999997E-6</v>
      </c>
      <c r="H249" s="19">
        <f t="shared" si="61"/>
        <v>-1.6327618469015792E-5</v>
      </c>
      <c r="I249" s="1">
        <f t="shared" si="62"/>
        <v>4.1229999999999999E-8</v>
      </c>
      <c r="J249" s="1">
        <f t="shared" si="63"/>
        <v>8.2460000000000003E-6</v>
      </c>
      <c r="K249" s="19">
        <f t="shared" si="64"/>
        <v>7.2109356014580801E-4</v>
      </c>
      <c r="L249" s="19">
        <f t="shared" si="65"/>
        <v>0.45119854191980563</v>
      </c>
      <c r="M249" s="19">
        <f t="shared" si="66"/>
        <v>1.5452004860267313E-5</v>
      </c>
      <c r="N249" s="19">
        <f t="shared" si="72"/>
        <v>1.8728799615228837E-2</v>
      </c>
      <c r="O249" s="19">
        <v>201.36</v>
      </c>
      <c r="P249" s="19">
        <f t="shared" si="67"/>
        <v>8.537232685297691E-2</v>
      </c>
      <c r="Q249" s="19">
        <f t="shared" si="68"/>
        <v>5.2536816524908873E-3</v>
      </c>
      <c r="R249" s="19">
        <f t="shared" si="69"/>
        <v>16.22460510328068</v>
      </c>
      <c r="S249" s="19">
        <f t="shared" si="70"/>
        <v>1.3735115431348726E-14</v>
      </c>
      <c r="T249" s="83">
        <f t="shared" si="71"/>
        <v>74.971492418549545</v>
      </c>
    </row>
    <row r="250" spans="1:20">
      <c r="A250" s="9" t="s">
        <v>1214</v>
      </c>
      <c r="B250" s="9" t="s">
        <v>11</v>
      </c>
      <c r="C250">
        <v>168</v>
      </c>
      <c r="D250">
        <v>1.1000000000000001</v>
      </c>
      <c r="E250">
        <v>3.5999999999999997E-2</v>
      </c>
      <c r="F250">
        <v>1.1000000000000001</v>
      </c>
      <c r="G250" s="1">
        <f t="shared" si="60"/>
        <v>6.4439999999999988E-6</v>
      </c>
      <c r="H250" s="19">
        <f t="shared" si="61"/>
        <v>-2.5398517618469008E-5</v>
      </c>
      <c r="I250" s="1">
        <f t="shared" si="62"/>
        <v>4.7879999999999996E-8</v>
      </c>
      <c r="J250" s="1">
        <f t="shared" si="63"/>
        <v>9.5759999999999995E-6</v>
      </c>
      <c r="K250" s="19">
        <f t="shared" si="64"/>
        <v>1.1217010935601459E-3</v>
      </c>
      <c r="L250" s="19">
        <f t="shared" si="65"/>
        <v>0.70186439854191984</v>
      </c>
      <c r="M250" s="19">
        <f t="shared" si="66"/>
        <v>2.4036452004860266E-5</v>
      </c>
      <c r="N250" s="19">
        <f t="shared" si="72"/>
        <v>1.8728799615228837E-2</v>
      </c>
      <c r="O250" s="19">
        <v>203.36</v>
      </c>
      <c r="P250" s="19">
        <f t="shared" si="67"/>
        <v>0.13280139732685298</v>
      </c>
      <c r="Q250" s="19">
        <f t="shared" si="68"/>
        <v>8.1723936816524914E-3</v>
      </c>
      <c r="R250" s="19">
        <f t="shared" si="69"/>
        <v>25.238274605103282</v>
      </c>
      <c r="S250" s="19">
        <f t="shared" si="70"/>
        <v>2.1365735115431349E-14</v>
      </c>
      <c r="T250" s="83">
        <f t="shared" si="71"/>
        <v>91.122051249057435</v>
      </c>
    </row>
    <row r="251" spans="1:20">
      <c r="A251" s="9" t="s">
        <v>1215</v>
      </c>
      <c r="B251" s="9" t="s">
        <v>11</v>
      </c>
      <c r="C251">
        <v>623</v>
      </c>
      <c r="D251">
        <v>1.03</v>
      </c>
      <c r="E251">
        <v>8.5000000000000006E-2</v>
      </c>
      <c r="F251">
        <v>1.03</v>
      </c>
      <c r="G251" s="1">
        <f t="shared" si="60"/>
        <v>1.5214999999999999E-5</v>
      </c>
      <c r="H251" s="19">
        <f t="shared" si="61"/>
        <v>-9.4186169501822567E-5</v>
      </c>
      <c r="I251" s="1">
        <f t="shared" si="62"/>
        <v>1.1305000000000001E-7</v>
      </c>
      <c r="J251" s="1">
        <f t="shared" si="63"/>
        <v>2.2610000000000002E-5</v>
      </c>
      <c r="K251" s="19">
        <f t="shared" si="64"/>
        <v>4.159641555285541E-3</v>
      </c>
      <c r="L251" s="19">
        <f t="shared" si="65"/>
        <v>2.6027471445929526</v>
      </c>
      <c r="M251" s="19">
        <f t="shared" si="66"/>
        <v>8.9135176184690162E-5</v>
      </c>
      <c r="N251" s="19">
        <f t="shared" si="72"/>
        <v>1.8728799615228837E-2</v>
      </c>
      <c r="O251" s="19">
        <v>204.36</v>
      </c>
      <c r="P251" s="19">
        <f t="shared" si="67"/>
        <v>0.49247184842041308</v>
      </c>
      <c r="Q251" s="19">
        <f t="shared" si="68"/>
        <v>3.0305959902794655E-2</v>
      </c>
      <c r="R251" s="19">
        <f t="shared" si="69"/>
        <v>93.591934993924667</v>
      </c>
      <c r="S251" s="19">
        <f t="shared" si="70"/>
        <v>7.9231267719724592E-14</v>
      </c>
      <c r="T251" s="83">
        <f t="shared" si="71"/>
        <v>210.54416855258401</v>
      </c>
    </row>
    <row r="252" spans="1:20">
      <c r="A252" s="9" t="s">
        <v>1216</v>
      </c>
      <c r="B252" s="9" t="s">
        <v>11</v>
      </c>
      <c r="C252">
        <v>194</v>
      </c>
      <c r="D252">
        <v>1.05</v>
      </c>
      <c r="E252">
        <v>3.3000000000000002E-2</v>
      </c>
      <c r="F252">
        <v>1.05</v>
      </c>
      <c r="G252" s="1">
        <f t="shared" si="60"/>
        <v>5.9069999999999995E-6</v>
      </c>
      <c r="H252" s="19">
        <f t="shared" si="61"/>
        <v>-2.9329240583232067E-5</v>
      </c>
      <c r="I252" s="1">
        <f t="shared" si="62"/>
        <v>4.3889999999999998E-8</v>
      </c>
      <c r="J252" s="1">
        <f t="shared" si="63"/>
        <v>8.7780000000000013E-6</v>
      </c>
      <c r="K252" s="19">
        <f t="shared" si="64"/>
        <v>1.2952976913730256E-3</v>
      </c>
      <c r="L252" s="19">
        <f t="shared" si="65"/>
        <v>0.81048626974483606</v>
      </c>
      <c r="M252" s="19">
        <f t="shared" si="66"/>
        <v>2.7756379100850548E-5</v>
      </c>
      <c r="N252" s="19">
        <f t="shared" si="72"/>
        <v>1.8728799615228837E-2</v>
      </c>
      <c r="O252" s="19">
        <v>205.36</v>
      </c>
      <c r="P252" s="19">
        <f t="shared" si="67"/>
        <v>0.15335399453219928</v>
      </c>
      <c r="Q252" s="19">
        <f t="shared" si="68"/>
        <v>9.4371688942891854E-3</v>
      </c>
      <c r="R252" s="19">
        <f t="shared" si="69"/>
        <v>29.144198055893078</v>
      </c>
      <c r="S252" s="19">
        <f t="shared" si="70"/>
        <v>2.4672336978533823E-14</v>
      </c>
      <c r="T252" s="83">
        <f t="shared" si="71"/>
        <v>98.285552586827549</v>
      </c>
    </row>
    <row r="253" spans="1:20">
      <c r="A253" s="9" t="s">
        <v>1217</v>
      </c>
      <c r="B253" s="9" t="s">
        <v>11</v>
      </c>
      <c r="C253">
        <v>157</v>
      </c>
      <c r="D253">
        <v>1.07</v>
      </c>
      <c r="E253">
        <v>2.7E-2</v>
      </c>
      <c r="F253">
        <v>1.07</v>
      </c>
      <c r="G253" s="1">
        <f t="shared" si="60"/>
        <v>4.8329999999999993E-6</v>
      </c>
      <c r="H253" s="19">
        <f t="shared" si="61"/>
        <v>-2.3735519441069251E-5</v>
      </c>
      <c r="I253" s="1">
        <f t="shared" si="62"/>
        <v>3.5910000000000002E-8</v>
      </c>
      <c r="J253" s="1">
        <f t="shared" si="63"/>
        <v>7.182E-6</v>
      </c>
      <c r="K253" s="19">
        <f t="shared" si="64"/>
        <v>1.0482563791008506E-3</v>
      </c>
      <c r="L253" s="19">
        <f t="shared" si="65"/>
        <v>0.6559089914945323</v>
      </c>
      <c r="M253" s="19">
        <f t="shared" si="66"/>
        <v>2.2462636695018227E-5</v>
      </c>
      <c r="N253" s="19">
        <f t="shared" si="72"/>
        <v>1.8728799615228837E-2</v>
      </c>
      <c r="O253" s="19">
        <v>206.36</v>
      </c>
      <c r="P253" s="19">
        <f t="shared" si="67"/>
        <v>0.12410606773997569</v>
      </c>
      <c r="Q253" s="19">
        <f t="shared" si="68"/>
        <v>7.6372964763061968E-3</v>
      </c>
      <c r="R253" s="19">
        <f t="shared" si="69"/>
        <v>23.58576852976914</v>
      </c>
      <c r="S253" s="19">
        <f t="shared" si="70"/>
        <v>1.9966788173349536E-14</v>
      </c>
      <c r="T253" s="83">
        <f t="shared" si="71"/>
        <v>88.785660736389332</v>
      </c>
    </row>
    <row r="254" spans="1:20">
      <c r="A254" s="9" t="s">
        <v>1218</v>
      </c>
      <c r="B254" s="9" t="s">
        <v>11</v>
      </c>
      <c r="C254">
        <v>1498</v>
      </c>
      <c r="D254">
        <v>1.02</v>
      </c>
      <c r="E254">
        <v>8.7999999999999995E-2</v>
      </c>
      <c r="F254">
        <v>1.02</v>
      </c>
      <c r="G254" s="1">
        <f t="shared" si="60"/>
        <v>1.5751999999999998E-5</v>
      </c>
      <c r="H254" s="19">
        <f t="shared" si="61"/>
        <v>-2.2647011543134866E-4</v>
      </c>
      <c r="I254" s="1">
        <f t="shared" si="62"/>
        <v>1.1703999999999999E-7</v>
      </c>
      <c r="J254" s="1">
        <f t="shared" si="63"/>
        <v>2.3408E-5</v>
      </c>
      <c r="K254" s="19">
        <f t="shared" si="64"/>
        <v>1.00018347509113E-2</v>
      </c>
      <c r="L254" s="19">
        <f t="shared" si="65"/>
        <v>6.2582908869987852</v>
      </c>
      <c r="M254" s="19">
        <f t="shared" si="66"/>
        <v>2.1432503037667071E-4</v>
      </c>
      <c r="N254" s="19">
        <f t="shared" si="72"/>
        <v>1.8728799615228837E-2</v>
      </c>
      <c r="O254" s="19">
        <v>207.36</v>
      </c>
      <c r="P254" s="19">
        <f t="shared" si="67"/>
        <v>1.1841457928311057</v>
      </c>
      <c r="Q254" s="19">
        <f t="shared" si="68"/>
        <v>7.2870510328068044E-2</v>
      </c>
      <c r="R254" s="19">
        <f t="shared" si="69"/>
        <v>225.04128189550428</v>
      </c>
      <c r="S254" s="19">
        <f t="shared" si="70"/>
        <v>1.905111381125962E-13</v>
      </c>
      <c r="T254" s="83">
        <f t="shared" si="71"/>
        <v>438.75922865196588</v>
      </c>
    </row>
    <row r="255" spans="1:20">
      <c r="A255" s="9" t="s">
        <v>1219</v>
      </c>
      <c r="B255" s="9" t="s">
        <v>11</v>
      </c>
      <c r="C255">
        <v>192</v>
      </c>
      <c r="D255">
        <v>1.1000000000000001</v>
      </c>
      <c r="E255">
        <v>3.5000000000000003E-2</v>
      </c>
      <c r="F255">
        <v>1.1000000000000001</v>
      </c>
      <c r="G255" s="1">
        <f t="shared" si="60"/>
        <v>6.2650000000000002E-6</v>
      </c>
      <c r="H255" s="19">
        <f t="shared" si="61"/>
        <v>-2.9026877278250295E-5</v>
      </c>
      <c r="I255" s="1">
        <f t="shared" si="62"/>
        <v>4.6550000000000003E-8</v>
      </c>
      <c r="J255" s="1">
        <f t="shared" si="63"/>
        <v>9.3100000000000006E-6</v>
      </c>
      <c r="K255" s="19">
        <f t="shared" si="64"/>
        <v>1.281944106925881E-3</v>
      </c>
      <c r="L255" s="19">
        <f t="shared" si="65"/>
        <v>0.80213074119076555</v>
      </c>
      <c r="M255" s="19">
        <f t="shared" si="66"/>
        <v>2.7470230862697448E-5</v>
      </c>
      <c r="N255" s="19">
        <f t="shared" si="72"/>
        <v>1.8728799615228837E-2</v>
      </c>
      <c r="O255" s="19">
        <v>208.36</v>
      </c>
      <c r="P255" s="19">
        <f t="shared" si="67"/>
        <v>0.1517730255164034</v>
      </c>
      <c r="Q255" s="19">
        <f t="shared" si="68"/>
        <v>9.339878493317133E-3</v>
      </c>
      <c r="R255" s="19">
        <f t="shared" si="69"/>
        <v>28.843742405832323</v>
      </c>
      <c r="S255" s="19">
        <f t="shared" si="70"/>
        <v>2.4417982989064402E-14</v>
      </c>
      <c r="T255" s="83">
        <f t="shared" si="71"/>
        <v>98.492683336160596</v>
      </c>
    </row>
    <row r="256" spans="1:20">
      <c r="A256" s="9" t="s">
        <v>1220</v>
      </c>
      <c r="B256" s="9" t="s">
        <v>11</v>
      </c>
      <c r="C256">
        <v>78</v>
      </c>
      <c r="D256">
        <v>1.2</v>
      </c>
      <c r="E256">
        <v>0.02</v>
      </c>
      <c r="F256">
        <v>0.2</v>
      </c>
      <c r="G256" s="1">
        <f t="shared" si="60"/>
        <v>3.5799999999999996E-6</v>
      </c>
      <c r="H256" s="19">
        <f t="shared" ref="H256:H315" si="73">CO2_YLL_charfact*C256</f>
        <v>-1.1792168894289183E-5</v>
      </c>
      <c r="I256" s="1">
        <f t="shared" ref="I256:I315" si="74">E256*0.00000133</f>
        <v>2.66E-8</v>
      </c>
      <c r="J256" s="1">
        <f t="shared" ref="J256:J315" si="75">E256*0.000266</f>
        <v>5.3200000000000007E-6</v>
      </c>
      <c r="K256" s="19">
        <f t="shared" ref="K256:K315" si="76">CO2_severewasting_charfact*C256</f>
        <v>5.2078979343863914E-4</v>
      </c>
      <c r="L256" s="19">
        <f t="shared" ref="L256:L315" si="77">CO2_workingcapacity_charfact*C256</f>
        <v>0.32586561360874849</v>
      </c>
      <c r="M256" s="19">
        <f t="shared" ref="M256:M315" si="78">CO2_diarrhea_charfact*C256</f>
        <v>1.1159781287970839E-5</v>
      </c>
      <c r="N256" s="19">
        <f t="shared" si="72"/>
        <v>1.8728799615228837E-2</v>
      </c>
      <c r="O256" s="19">
        <v>209.36</v>
      </c>
      <c r="P256" s="19">
        <f t="shared" ref="P256:P315" si="79">CO2_meat_charfact*C256</f>
        <v>6.1657791616038883E-2</v>
      </c>
      <c r="Q256" s="19">
        <f t="shared" ref="Q256:Q315" si="80">CO2_fish_charfact*C256</f>
        <v>3.7943256379100853E-3</v>
      </c>
      <c r="R256" s="19">
        <f t="shared" ref="R256:R315" si="81">CO2_drinkingwater_charfact*C256</f>
        <v>11.717770352369381</v>
      </c>
      <c r="S256" s="19">
        <f t="shared" ref="S256:S315" si="82">CO2_NEX_charfact*C256</f>
        <v>9.9198055893074122E-15</v>
      </c>
      <c r="T256" s="83">
        <f t="shared" ref="T256:T315" si="83">(G256+H256)*YLLvalue+I256*skincancervalue+J256*Lowvisionvalue+K256*severe_wasting_value+L256*working_capacity+M256*diarrhea_value+N256*cropvalue+O256*woodvalue+P256*meatvalue+Q256*fishvalue+R256*drinkingwatervalue+S256*speciesvalue</f>
        <v>68.808703908845587</v>
      </c>
    </row>
    <row r="257" spans="1:20">
      <c r="A257" s="9" t="s">
        <v>1221</v>
      </c>
      <c r="B257" s="9" t="s">
        <v>11</v>
      </c>
      <c r="C257">
        <v>1437</v>
      </c>
      <c r="D257">
        <v>1.03</v>
      </c>
      <c r="E257">
        <v>0.13400000000000001</v>
      </c>
      <c r="F257">
        <v>1.03</v>
      </c>
      <c r="G257" s="1">
        <f t="shared" si="60"/>
        <v>2.3986E-5</v>
      </c>
      <c r="H257" s="19">
        <f t="shared" si="73"/>
        <v>-2.1724803462940456E-4</v>
      </c>
      <c r="I257" s="1">
        <f t="shared" si="74"/>
        <v>1.7822000000000002E-7</v>
      </c>
      <c r="J257" s="1">
        <f t="shared" si="75"/>
        <v>3.5644000000000006E-5</v>
      </c>
      <c r="K257" s="19">
        <f t="shared" si="76"/>
        <v>9.5945504252733897E-3</v>
      </c>
      <c r="L257" s="19">
        <f t="shared" si="77"/>
        <v>6.0034472660996361</v>
      </c>
      <c r="M257" s="19">
        <f t="shared" si="78"/>
        <v>2.055975091130012E-4</v>
      </c>
      <c r="N257" s="19">
        <f t="shared" si="72"/>
        <v>1.8728799615228837E-2</v>
      </c>
      <c r="O257" s="19">
        <v>210.36</v>
      </c>
      <c r="P257" s="19">
        <f t="shared" si="79"/>
        <v>1.1359262378493318</v>
      </c>
      <c r="Q257" s="19">
        <f t="shared" si="80"/>
        <v>6.990315309842042E-2</v>
      </c>
      <c r="R257" s="19">
        <f t="shared" si="81"/>
        <v>215.87738456865128</v>
      </c>
      <c r="S257" s="19">
        <f t="shared" si="82"/>
        <v>1.8275334143377886E-13</v>
      </c>
      <c r="T257" s="83">
        <f t="shared" si="83"/>
        <v>424.44375928112447</v>
      </c>
    </row>
    <row r="258" spans="1:20">
      <c r="A258" s="9" t="s">
        <v>1222</v>
      </c>
      <c r="B258" s="9" t="s">
        <v>11</v>
      </c>
      <c r="C258">
        <v>116</v>
      </c>
      <c r="D258">
        <v>1.1000000000000001</v>
      </c>
      <c r="E258">
        <v>2.1999999999999999E-2</v>
      </c>
      <c r="F258">
        <v>1.1000000000000001</v>
      </c>
      <c r="G258" s="1">
        <f t="shared" si="60"/>
        <v>3.9379999999999994E-6</v>
      </c>
      <c r="H258" s="19">
        <f t="shared" si="73"/>
        <v>-1.7537071688942887E-5</v>
      </c>
      <c r="I258" s="1">
        <f t="shared" si="74"/>
        <v>2.9259999999999999E-8</v>
      </c>
      <c r="J258" s="1">
        <f t="shared" si="75"/>
        <v>5.852E-6</v>
      </c>
      <c r="K258" s="19">
        <f t="shared" si="76"/>
        <v>7.7450789793438637E-4</v>
      </c>
      <c r="L258" s="19">
        <f t="shared" si="77"/>
        <v>0.48462065613608751</v>
      </c>
      <c r="M258" s="19">
        <f t="shared" si="78"/>
        <v>1.659659781287971E-5</v>
      </c>
      <c r="N258" s="19">
        <f t="shared" si="72"/>
        <v>1.8728799615228837E-2</v>
      </c>
      <c r="O258" s="19">
        <v>211.36</v>
      </c>
      <c r="P258" s="19">
        <f t="shared" si="79"/>
        <v>9.1696202916160388E-2</v>
      </c>
      <c r="Q258" s="19">
        <f t="shared" si="80"/>
        <v>5.6428432563791009E-3</v>
      </c>
      <c r="R258" s="19">
        <f t="shared" si="81"/>
        <v>17.426427703523697</v>
      </c>
      <c r="S258" s="19">
        <f t="shared" si="82"/>
        <v>1.4752531389226409E-14</v>
      </c>
      <c r="T258" s="83">
        <f t="shared" si="83"/>
        <v>79.184438939517264</v>
      </c>
    </row>
    <row r="259" spans="1:20">
      <c r="A259" s="9" t="s">
        <v>1223</v>
      </c>
      <c r="B259" s="9" t="s">
        <v>11</v>
      </c>
      <c r="C259">
        <v>73</v>
      </c>
      <c r="D259">
        <v>1.2</v>
      </c>
      <c r="E259">
        <v>1.7999999999999999E-2</v>
      </c>
      <c r="F259">
        <v>1.2</v>
      </c>
      <c r="G259" s="1">
        <f t="shared" ref="G259:G322" si="84">E259*0.000179</f>
        <v>3.2219999999999994E-6</v>
      </c>
      <c r="H259" s="19">
        <f t="shared" si="73"/>
        <v>-1.1036260631834747E-5</v>
      </c>
      <c r="I259" s="1">
        <f t="shared" si="74"/>
        <v>2.3939999999999998E-8</v>
      </c>
      <c r="J259" s="1">
        <f t="shared" si="75"/>
        <v>4.7879999999999997E-6</v>
      </c>
      <c r="K259" s="19">
        <f t="shared" si="76"/>
        <v>4.8740583232077767E-4</v>
      </c>
      <c r="L259" s="19">
        <f t="shared" si="77"/>
        <v>0.30497679222357232</v>
      </c>
      <c r="M259" s="19">
        <f t="shared" si="78"/>
        <v>1.0444410692588092E-5</v>
      </c>
      <c r="N259" s="19">
        <f t="shared" si="72"/>
        <v>1.8728799615228837E-2</v>
      </c>
      <c r="O259" s="19">
        <v>212.36</v>
      </c>
      <c r="P259" s="19">
        <f t="shared" si="79"/>
        <v>5.7705369076549211E-2</v>
      </c>
      <c r="Q259" s="19">
        <f t="shared" si="80"/>
        <v>3.5510996354799515E-3</v>
      </c>
      <c r="R259" s="19">
        <f t="shared" si="81"/>
        <v>10.966631227217498</v>
      </c>
      <c r="S259" s="19">
        <f t="shared" si="82"/>
        <v>9.2839206156338603E-15</v>
      </c>
      <c r="T259" s="83">
        <f t="shared" si="83"/>
        <v>68.16181741027826</v>
      </c>
    </row>
    <row r="260" spans="1:20">
      <c r="A260" s="9" t="s">
        <v>1224</v>
      </c>
      <c r="B260" s="9" t="s">
        <v>11</v>
      </c>
      <c r="C260">
        <v>151</v>
      </c>
      <c r="D260">
        <v>1.1000000000000001</v>
      </c>
      <c r="E260">
        <v>2.3E-2</v>
      </c>
      <c r="F260">
        <v>1.1000000000000001</v>
      </c>
      <c r="G260" s="1">
        <f t="shared" si="84"/>
        <v>4.1169999999999997E-6</v>
      </c>
      <c r="H260" s="19">
        <f t="shared" si="73"/>
        <v>-2.282842952612393E-5</v>
      </c>
      <c r="I260" s="1">
        <f t="shared" si="74"/>
        <v>3.0589999999999998E-8</v>
      </c>
      <c r="J260" s="1">
        <f t="shared" si="75"/>
        <v>6.1180000000000005E-6</v>
      </c>
      <c r="K260" s="19">
        <f t="shared" si="76"/>
        <v>1.0081956257594169E-3</v>
      </c>
      <c r="L260" s="19">
        <f t="shared" si="77"/>
        <v>0.63084240583232087</v>
      </c>
      <c r="M260" s="19">
        <f t="shared" si="78"/>
        <v>2.1604191980558931E-5</v>
      </c>
      <c r="N260" s="19">
        <f t="shared" si="72"/>
        <v>1.8728799615228837E-2</v>
      </c>
      <c r="O260" s="19">
        <v>213.36</v>
      </c>
      <c r="P260" s="19">
        <f t="shared" si="79"/>
        <v>0.11936316069258809</v>
      </c>
      <c r="Q260" s="19">
        <f t="shared" si="80"/>
        <v>7.3454252733900363E-3</v>
      </c>
      <c r="R260" s="19">
        <f t="shared" si="81"/>
        <v>22.684401579586879</v>
      </c>
      <c r="S260" s="19">
        <f t="shared" si="82"/>
        <v>1.9203726204941274E-14</v>
      </c>
      <c r="T260" s="83">
        <f t="shared" si="83"/>
        <v>88.761748167388561</v>
      </c>
    </row>
    <row r="261" spans="1:20">
      <c r="A261" s="9" t="s">
        <v>1225</v>
      </c>
      <c r="B261" s="9" t="s">
        <v>11</v>
      </c>
      <c r="C261">
        <v>98</v>
      </c>
      <c r="D261">
        <v>1.2</v>
      </c>
      <c r="E261">
        <v>1.9E-2</v>
      </c>
      <c r="F261">
        <v>1.2</v>
      </c>
      <c r="G261" s="1">
        <f t="shared" si="84"/>
        <v>3.4009999999999997E-6</v>
      </c>
      <c r="H261" s="19">
        <f t="shared" si="73"/>
        <v>-1.4815801944106922E-5</v>
      </c>
      <c r="I261" s="1">
        <f t="shared" si="74"/>
        <v>2.5269999999999997E-8</v>
      </c>
      <c r="J261" s="1">
        <f t="shared" si="75"/>
        <v>5.0540000000000002E-6</v>
      </c>
      <c r="K261" s="19">
        <f t="shared" si="76"/>
        <v>6.5432563791008509E-4</v>
      </c>
      <c r="L261" s="19">
        <f t="shared" si="77"/>
        <v>0.40942089914945323</v>
      </c>
      <c r="M261" s="19">
        <f t="shared" si="78"/>
        <v>1.4021263669501822E-5</v>
      </c>
      <c r="N261" s="19">
        <f t="shared" si="72"/>
        <v>1.8728799615228837E-2</v>
      </c>
      <c r="O261" s="19">
        <v>214.36</v>
      </c>
      <c r="P261" s="19">
        <f t="shared" si="79"/>
        <v>7.7467481773997565E-2</v>
      </c>
      <c r="Q261" s="19">
        <f t="shared" si="80"/>
        <v>4.7672296476306197E-3</v>
      </c>
      <c r="R261" s="19">
        <f t="shared" si="81"/>
        <v>14.722326852976915</v>
      </c>
      <c r="S261" s="19">
        <f t="shared" si="82"/>
        <v>1.2463345484001622E-14</v>
      </c>
      <c r="T261" s="83">
        <f t="shared" si="83"/>
        <v>75.139475567814884</v>
      </c>
    </row>
    <row r="262" spans="1:20">
      <c r="A262" s="9" t="s">
        <v>1226</v>
      </c>
      <c r="B262" s="9" t="s">
        <v>11</v>
      </c>
      <c r="C262">
        <v>46</v>
      </c>
      <c r="D262">
        <v>1.2</v>
      </c>
      <c r="E262">
        <v>1.4E-2</v>
      </c>
      <c r="F262">
        <v>1.2</v>
      </c>
      <c r="G262" s="1">
        <f t="shared" si="84"/>
        <v>2.5059999999999998E-6</v>
      </c>
      <c r="H262" s="19">
        <f t="shared" si="73"/>
        <v>-6.9543560145808001E-6</v>
      </c>
      <c r="I262" s="1">
        <f t="shared" si="74"/>
        <v>1.8620000000000001E-8</v>
      </c>
      <c r="J262" s="1">
        <f t="shared" si="75"/>
        <v>3.7240000000000003E-6</v>
      </c>
      <c r="K262" s="19">
        <f t="shared" si="76"/>
        <v>3.0713244228432565E-4</v>
      </c>
      <c r="L262" s="19">
        <f t="shared" si="77"/>
        <v>0.1921771567436209</v>
      </c>
      <c r="M262" s="19">
        <f t="shared" si="78"/>
        <v>6.5814094775212638E-6</v>
      </c>
      <c r="N262" s="19">
        <f t="shared" si="72"/>
        <v>1.8728799615228837E-2</v>
      </c>
      <c r="O262" s="19">
        <v>215.36</v>
      </c>
      <c r="P262" s="19">
        <f t="shared" si="79"/>
        <v>3.6362287363304983E-2</v>
      </c>
      <c r="Q262" s="19">
        <f t="shared" si="80"/>
        <v>2.2376792223572296E-3</v>
      </c>
      <c r="R262" s="19">
        <f t="shared" si="81"/>
        <v>6.9104799513973276</v>
      </c>
      <c r="S262" s="19">
        <f t="shared" si="82"/>
        <v>5.8501417577966789E-15</v>
      </c>
      <c r="T262" s="83">
        <f t="shared" si="83"/>
        <v>61.758637593574711</v>
      </c>
    </row>
    <row r="263" spans="1:20">
      <c r="A263" s="9" t="s">
        <v>1227</v>
      </c>
      <c r="B263" s="9" t="s">
        <v>11</v>
      </c>
      <c r="C263">
        <v>113</v>
      </c>
      <c r="D263">
        <v>1.1000000000000001</v>
      </c>
      <c r="E263">
        <v>0.02</v>
      </c>
      <c r="F263">
        <v>1.1000000000000001</v>
      </c>
      <c r="G263" s="1">
        <f t="shared" si="84"/>
        <v>3.5799999999999996E-6</v>
      </c>
      <c r="H263" s="19">
        <f t="shared" si="73"/>
        <v>-1.7083526731470224E-5</v>
      </c>
      <c r="I263" s="1">
        <f t="shared" si="74"/>
        <v>2.66E-8</v>
      </c>
      <c r="J263" s="1">
        <f t="shared" si="75"/>
        <v>5.3200000000000007E-6</v>
      </c>
      <c r="K263" s="19">
        <f t="shared" si="76"/>
        <v>7.5447752126366952E-4</v>
      </c>
      <c r="L263" s="19">
        <f t="shared" si="77"/>
        <v>0.4720873633049818</v>
      </c>
      <c r="M263" s="19">
        <f t="shared" si="78"/>
        <v>1.616737545565006E-5</v>
      </c>
      <c r="N263" s="19">
        <f t="shared" si="72"/>
        <v>1.8728799615228837E-2</v>
      </c>
      <c r="O263" s="19">
        <v>216.36</v>
      </c>
      <c r="P263" s="19">
        <f t="shared" si="79"/>
        <v>8.9324749392466582E-2</v>
      </c>
      <c r="Q263" s="19">
        <f t="shared" si="80"/>
        <v>5.4969076549210207E-3</v>
      </c>
      <c r="R263" s="19">
        <f t="shared" si="81"/>
        <v>16.975744228432564</v>
      </c>
      <c r="S263" s="19">
        <f t="shared" si="82"/>
        <v>1.4371000405022276E-14</v>
      </c>
      <c r="T263" s="83">
        <f t="shared" si="83"/>
        <v>79.517482655016863</v>
      </c>
    </row>
    <row r="264" spans="1:20">
      <c r="A264" s="9" t="s">
        <v>1228</v>
      </c>
      <c r="B264" s="9" t="s">
        <v>11</v>
      </c>
      <c r="C264">
        <v>159</v>
      </c>
      <c r="D264">
        <v>1.1000000000000001</v>
      </c>
      <c r="E264">
        <v>2.5999999999999999E-2</v>
      </c>
      <c r="F264">
        <v>1.1000000000000001</v>
      </c>
      <c r="G264" s="1">
        <f t="shared" si="84"/>
        <v>4.6539999999999998E-6</v>
      </c>
      <c r="H264" s="19">
        <f t="shared" si="73"/>
        <v>-2.4037882746051024E-5</v>
      </c>
      <c r="I264" s="1">
        <f t="shared" si="74"/>
        <v>3.4579999999999996E-8</v>
      </c>
      <c r="J264" s="1">
        <f t="shared" si="75"/>
        <v>6.9160000000000004E-6</v>
      </c>
      <c r="K264" s="19">
        <f t="shared" si="76"/>
        <v>1.0616099635479951E-3</v>
      </c>
      <c r="L264" s="19">
        <f t="shared" si="77"/>
        <v>0.6642645200486027</v>
      </c>
      <c r="M264" s="19">
        <f t="shared" si="78"/>
        <v>2.2748784933171324E-5</v>
      </c>
      <c r="N264" s="19">
        <f t="shared" si="72"/>
        <v>1.8728799615228837E-2</v>
      </c>
      <c r="O264" s="19">
        <v>217.36</v>
      </c>
      <c r="P264" s="19">
        <f t="shared" si="79"/>
        <v>0.12568703675577156</v>
      </c>
      <c r="Q264" s="19">
        <f t="shared" si="80"/>
        <v>7.7345868772782508E-3</v>
      </c>
      <c r="R264" s="19">
        <f t="shared" si="81"/>
        <v>23.886224179829892</v>
      </c>
      <c r="S264" s="19">
        <f t="shared" si="82"/>
        <v>2.0221142162818957E-14</v>
      </c>
      <c r="T264" s="83">
        <f t="shared" si="83"/>
        <v>91.817060468756253</v>
      </c>
    </row>
    <row r="265" spans="1:20">
      <c r="A265" s="9" t="s">
        <v>1229</v>
      </c>
      <c r="B265" s="9" t="s">
        <v>11</v>
      </c>
      <c r="C265">
        <v>34</v>
      </c>
      <c r="D265">
        <v>1.3</v>
      </c>
      <c r="E265">
        <v>1.2E-2</v>
      </c>
      <c r="F265">
        <v>1.3</v>
      </c>
      <c r="G265" s="1">
        <f t="shared" si="84"/>
        <v>2.148E-6</v>
      </c>
      <c r="H265" s="19">
        <f t="shared" si="73"/>
        <v>-5.140176184690156E-6</v>
      </c>
      <c r="I265" s="1">
        <f t="shared" si="74"/>
        <v>1.5959999999999999E-8</v>
      </c>
      <c r="J265" s="1">
        <f t="shared" si="75"/>
        <v>3.1920000000000001E-6</v>
      </c>
      <c r="K265" s="19">
        <f t="shared" si="76"/>
        <v>2.2701093560145808E-4</v>
      </c>
      <c r="L265" s="19">
        <f t="shared" si="77"/>
        <v>0.14204398541919808</v>
      </c>
      <c r="M265" s="19">
        <f t="shared" si="78"/>
        <v>4.8645200486026729E-6</v>
      </c>
      <c r="N265" s="19">
        <f t="shared" si="72"/>
        <v>1.8728799615228837E-2</v>
      </c>
      <c r="O265" s="19">
        <v>218.36</v>
      </c>
      <c r="P265" s="19">
        <f t="shared" si="79"/>
        <v>2.6876473268529769E-2</v>
      </c>
      <c r="Q265" s="19">
        <f t="shared" si="80"/>
        <v>1.6539368165249088E-3</v>
      </c>
      <c r="R265" s="19">
        <f t="shared" si="81"/>
        <v>5.107746051032807</v>
      </c>
      <c r="S265" s="19">
        <f t="shared" si="82"/>
        <v>4.3240178209801542E-15</v>
      </c>
      <c r="T265" s="83">
        <f t="shared" si="83"/>
        <v>59.291995345773131</v>
      </c>
    </row>
    <row r="266" spans="1:20">
      <c r="A266" s="9" t="s">
        <v>1230</v>
      </c>
      <c r="B266" s="9" t="s">
        <v>11</v>
      </c>
      <c r="C266">
        <v>189</v>
      </c>
      <c r="D266">
        <v>1.1000000000000001</v>
      </c>
      <c r="E266">
        <v>2.4E-2</v>
      </c>
      <c r="F266">
        <v>1.1000000000000001</v>
      </c>
      <c r="G266" s="1">
        <f t="shared" si="84"/>
        <v>4.296E-6</v>
      </c>
      <c r="H266" s="19">
        <f t="shared" si="73"/>
        <v>-2.8573332320777632E-5</v>
      </c>
      <c r="I266" s="1">
        <f t="shared" si="74"/>
        <v>3.1919999999999997E-8</v>
      </c>
      <c r="J266" s="1">
        <f t="shared" si="75"/>
        <v>6.3840000000000002E-6</v>
      </c>
      <c r="K266" s="19">
        <f t="shared" si="76"/>
        <v>1.261913730255164E-3</v>
      </c>
      <c r="L266" s="19">
        <f t="shared" si="77"/>
        <v>0.78959744835965984</v>
      </c>
      <c r="M266" s="19">
        <f t="shared" si="78"/>
        <v>2.7041008505467802E-5</v>
      </c>
      <c r="N266" s="19">
        <f t="shared" si="72"/>
        <v>1.8728799615228837E-2</v>
      </c>
      <c r="O266" s="19">
        <v>219.36</v>
      </c>
      <c r="P266" s="19">
        <f t="shared" si="79"/>
        <v>0.14940157199270959</v>
      </c>
      <c r="Q266" s="19">
        <f t="shared" si="80"/>
        <v>9.193942891859052E-3</v>
      </c>
      <c r="R266" s="19">
        <f t="shared" si="81"/>
        <v>28.393058930741194</v>
      </c>
      <c r="S266" s="19">
        <f t="shared" si="82"/>
        <v>2.4036452004860269E-14</v>
      </c>
      <c r="T266" s="83">
        <f t="shared" si="83"/>
        <v>100.03895271636021</v>
      </c>
    </row>
    <row r="267" spans="1:20">
      <c r="A267" s="9" t="s">
        <v>1231</v>
      </c>
      <c r="B267" s="9" t="s">
        <v>11</v>
      </c>
      <c r="C267">
        <v>486</v>
      </c>
      <c r="D267">
        <v>1.05</v>
      </c>
      <c r="E267">
        <v>5.6000000000000001E-2</v>
      </c>
      <c r="F267">
        <v>1.05</v>
      </c>
      <c r="G267" s="1">
        <f t="shared" si="84"/>
        <v>1.0023999999999999E-5</v>
      </c>
      <c r="H267" s="19">
        <f t="shared" si="73"/>
        <v>-7.347428311057106E-5</v>
      </c>
      <c r="I267" s="1">
        <f t="shared" si="74"/>
        <v>7.4480000000000003E-8</v>
      </c>
      <c r="J267" s="1">
        <f t="shared" si="75"/>
        <v>1.4896000000000001E-5</v>
      </c>
      <c r="K267" s="19">
        <f t="shared" si="76"/>
        <v>3.2449210206561361E-3</v>
      </c>
      <c r="L267" s="19">
        <f t="shared" si="77"/>
        <v>2.0303934386391251</v>
      </c>
      <c r="M267" s="19">
        <f t="shared" si="78"/>
        <v>6.9534021871202917E-5</v>
      </c>
      <c r="N267" s="19">
        <f t="shared" si="72"/>
        <v>1.8728799615228837E-2</v>
      </c>
      <c r="O267" s="19">
        <v>220.36</v>
      </c>
      <c r="P267" s="19">
        <f t="shared" si="79"/>
        <v>0.38417547083839609</v>
      </c>
      <c r="Q267" s="19">
        <f t="shared" si="80"/>
        <v>2.3641567436208991E-2</v>
      </c>
      <c r="R267" s="19">
        <f t="shared" si="81"/>
        <v>73.010722964763062</v>
      </c>
      <c r="S267" s="19">
        <f t="shared" si="82"/>
        <v>6.1808019441069261E-14</v>
      </c>
      <c r="T267" s="83">
        <f t="shared" si="83"/>
        <v>178.07156491969931</v>
      </c>
    </row>
    <row r="268" spans="1:20">
      <c r="A268" s="9" t="s">
        <v>1232</v>
      </c>
      <c r="B268" s="9" t="s">
        <v>11</v>
      </c>
      <c r="C268">
        <v>362</v>
      </c>
      <c r="D268">
        <v>1.05</v>
      </c>
      <c r="E268">
        <v>1.7000000000000001E-2</v>
      </c>
      <c r="F268">
        <v>1.05</v>
      </c>
      <c r="G268" s="1">
        <f t="shared" si="84"/>
        <v>3.0429999999999999E-6</v>
      </c>
      <c r="H268" s="19">
        <f t="shared" si="73"/>
        <v>-5.4727758201701076E-5</v>
      </c>
      <c r="I268" s="1">
        <f t="shared" si="74"/>
        <v>2.2610000000000002E-8</v>
      </c>
      <c r="J268" s="1">
        <f t="shared" si="75"/>
        <v>4.5220000000000009E-6</v>
      </c>
      <c r="K268" s="19">
        <f t="shared" si="76"/>
        <v>2.4169987849331715E-3</v>
      </c>
      <c r="L268" s="19">
        <f t="shared" si="77"/>
        <v>1.5123506682867558</v>
      </c>
      <c r="M268" s="19">
        <f t="shared" si="78"/>
        <v>5.1792831105710811E-5</v>
      </c>
      <c r="N268" s="19">
        <f t="shared" si="72"/>
        <v>1.8728799615228837E-2</v>
      </c>
      <c r="O268" s="19">
        <v>222.36</v>
      </c>
      <c r="P268" s="19">
        <f t="shared" si="79"/>
        <v>0.28615539185905225</v>
      </c>
      <c r="Q268" s="19">
        <f t="shared" si="80"/>
        <v>1.7609562575941679E-2</v>
      </c>
      <c r="R268" s="19">
        <f t="shared" si="81"/>
        <v>54.382472660996356</v>
      </c>
      <c r="S268" s="19">
        <f t="shared" si="82"/>
        <v>4.6038072093965172E-14</v>
      </c>
      <c r="T268" s="83">
        <f t="shared" si="83"/>
        <v>145.57320286124965</v>
      </c>
    </row>
    <row r="269" spans="1:20">
      <c r="A269" s="9" t="s">
        <v>1233</v>
      </c>
      <c r="B269" s="9" t="s">
        <v>11</v>
      </c>
      <c r="C269">
        <v>1592</v>
      </c>
      <c r="D269">
        <v>1.02</v>
      </c>
      <c r="E269">
        <v>2.7E-2</v>
      </c>
      <c r="F269">
        <v>1.02</v>
      </c>
      <c r="G269" s="1">
        <f t="shared" si="84"/>
        <v>4.8329999999999993E-6</v>
      </c>
      <c r="H269" s="19">
        <f t="shared" si="73"/>
        <v>-2.4068119076549202E-4</v>
      </c>
      <c r="I269" s="1">
        <f t="shared" si="74"/>
        <v>3.5910000000000002E-8</v>
      </c>
      <c r="J269" s="1">
        <f t="shared" si="75"/>
        <v>7.182E-6</v>
      </c>
      <c r="K269" s="19">
        <f t="shared" si="76"/>
        <v>1.0629453219927096E-2</v>
      </c>
      <c r="L269" s="19">
        <f t="shared" si="77"/>
        <v>6.6510007290400974</v>
      </c>
      <c r="M269" s="19">
        <f t="shared" si="78"/>
        <v>2.2777399756986633E-4</v>
      </c>
      <c r="N269" s="19">
        <f t="shared" si="72"/>
        <v>1.8728799615228837E-2</v>
      </c>
      <c r="O269" s="19">
        <v>223.36</v>
      </c>
      <c r="P269" s="19">
        <f t="shared" si="79"/>
        <v>1.2584513365735115</v>
      </c>
      <c r="Q269" s="19">
        <f t="shared" si="80"/>
        <v>7.7443159173754564E-2</v>
      </c>
      <c r="R269" s="19">
        <f t="shared" si="81"/>
        <v>239.16269744835967</v>
      </c>
      <c r="S269" s="19">
        <f t="shared" si="82"/>
        <v>2.0246577561765898E-13</v>
      </c>
      <c r="T269" s="83">
        <f t="shared" si="83"/>
        <v>465.74558932941153</v>
      </c>
    </row>
    <row r="270" spans="1:20">
      <c r="A270" s="9" t="s">
        <v>1234</v>
      </c>
      <c r="B270" s="9" t="s">
        <v>11</v>
      </c>
      <c r="C270">
        <v>447</v>
      </c>
      <c r="D270">
        <v>1.04</v>
      </c>
      <c r="E270">
        <v>1.7999999999999999E-2</v>
      </c>
      <c r="F270">
        <v>1.04</v>
      </c>
      <c r="G270" s="1">
        <f t="shared" si="84"/>
        <v>3.2219999999999994E-6</v>
      </c>
      <c r="H270" s="19">
        <f t="shared" si="73"/>
        <v>-6.7578198663426471E-5</v>
      </c>
      <c r="I270" s="1">
        <f t="shared" si="74"/>
        <v>2.3939999999999998E-8</v>
      </c>
      <c r="J270" s="1">
        <f t="shared" si="75"/>
        <v>4.7879999999999997E-6</v>
      </c>
      <c r="K270" s="19">
        <f t="shared" si="76"/>
        <v>2.9845261239368165E-3</v>
      </c>
      <c r="L270" s="19">
        <f t="shared" si="77"/>
        <v>1.8674606318347511</v>
      </c>
      <c r="M270" s="19">
        <f t="shared" si="78"/>
        <v>6.3954131227217492E-5</v>
      </c>
      <c r="N270" s="19">
        <f t="shared" si="72"/>
        <v>1.8728799615228837E-2</v>
      </c>
      <c r="O270" s="19">
        <v>224.36</v>
      </c>
      <c r="P270" s="19">
        <f t="shared" si="79"/>
        <v>0.35334657503037664</v>
      </c>
      <c r="Q270" s="19">
        <f t="shared" si="80"/>
        <v>2.1744404617253948E-2</v>
      </c>
      <c r="R270" s="19">
        <f t="shared" si="81"/>
        <v>67.151837788578376</v>
      </c>
      <c r="S270" s="19">
        <f t="shared" si="82"/>
        <v>5.684811664641555E-14</v>
      </c>
      <c r="T270" s="83">
        <f t="shared" si="83"/>
        <v>168.14876744079416</v>
      </c>
    </row>
    <row r="271" spans="1:20">
      <c r="A271" s="9" t="s">
        <v>1235</v>
      </c>
      <c r="B271" s="9" t="s">
        <v>11</v>
      </c>
      <c r="C271">
        <v>289</v>
      </c>
      <c r="D271">
        <v>1.05</v>
      </c>
      <c r="E271">
        <v>1.4999999999999999E-2</v>
      </c>
      <c r="F271">
        <v>1.05</v>
      </c>
      <c r="G271" s="1">
        <f t="shared" si="84"/>
        <v>2.6849999999999997E-6</v>
      </c>
      <c r="H271" s="19">
        <f t="shared" si="73"/>
        <v>-4.369149756986633E-5</v>
      </c>
      <c r="I271" s="1">
        <f t="shared" si="74"/>
        <v>1.995E-8</v>
      </c>
      <c r="J271" s="1">
        <f t="shared" si="75"/>
        <v>3.9899999999999999E-6</v>
      </c>
      <c r="K271" s="19">
        <f t="shared" si="76"/>
        <v>1.9295929526123936E-3</v>
      </c>
      <c r="L271" s="19">
        <f t="shared" si="77"/>
        <v>1.2073738760631836</v>
      </c>
      <c r="M271" s="19">
        <f t="shared" si="78"/>
        <v>4.1348420413122722E-5</v>
      </c>
      <c r="N271" s="19">
        <f t="shared" si="72"/>
        <v>1.8728799615228837E-2</v>
      </c>
      <c r="O271" s="19">
        <v>225.36</v>
      </c>
      <c r="P271" s="19">
        <f t="shared" si="79"/>
        <v>0.22845002278250304</v>
      </c>
      <c r="Q271" s="19">
        <f t="shared" si="80"/>
        <v>1.4058462940461725E-2</v>
      </c>
      <c r="R271" s="19">
        <f t="shared" si="81"/>
        <v>43.415841433778859</v>
      </c>
      <c r="S271" s="19">
        <f t="shared" si="82"/>
        <v>3.6754151478331311E-14</v>
      </c>
      <c r="T271" s="83">
        <f t="shared" si="83"/>
        <v>127.24868908440671</v>
      </c>
    </row>
    <row r="272" spans="1:20">
      <c r="A272" s="9" t="s">
        <v>1236</v>
      </c>
      <c r="B272" s="9" t="s">
        <v>11</v>
      </c>
      <c r="C272">
        <v>3369</v>
      </c>
      <c r="D272">
        <v>1.01</v>
      </c>
      <c r="E272">
        <v>3.9E-2</v>
      </c>
      <c r="F272">
        <v>1.01</v>
      </c>
      <c r="G272" s="1">
        <f t="shared" si="84"/>
        <v>6.9809999999999997E-6</v>
      </c>
      <c r="H272" s="19">
        <f t="shared" si="73"/>
        <v>-5.0933098724179819E-4</v>
      </c>
      <c r="I272" s="1">
        <f t="shared" si="74"/>
        <v>5.1870000000000001E-8</v>
      </c>
      <c r="J272" s="1">
        <f t="shared" si="75"/>
        <v>1.0374000000000001E-5</v>
      </c>
      <c r="K272" s="19">
        <f t="shared" si="76"/>
        <v>2.2494113001215066E-2</v>
      </c>
      <c r="L272" s="19">
        <f t="shared" si="77"/>
        <v>14.074887849331715</v>
      </c>
      <c r="M272" s="19">
        <f t="shared" si="78"/>
        <v>4.8201670716889429E-4</v>
      </c>
      <c r="N272" s="19">
        <f t="shared" si="72"/>
        <v>1.8728799615228837E-2</v>
      </c>
      <c r="O272" s="19">
        <v>226.36</v>
      </c>
      <c r="P272" s="19">
        <f t="shared" si="79"/>
        <v>2.6631423071081408</v>
      </c>
      <c r="Q272" s="19">
        <f t="shared" si="80"/>
        <v>0.16388568043742407</v>
      </c>
      <c r="R272" s="19">
        <f t="shared" si="81"/>
        <v>506.11754252733903</v>
      </c>
      <c r="S272" s="19">
        <f t="shared" si="82"/>
        <v>4.2845929526123941E-13</v>
      </c>
      <c r="T272" s="83">
        <f t="shared" si="83"/>
        <v>928.61595030827914</v>
      </c>
    </row>
    <row r="273" spans="1:20">
      <c r="A273" s="9" t="s">
        <v>1237</v>
      </c>
      <c r="B273" s="9" t="s">
        <v>11</v>
      </c>
      <c r="C273">
        <v>287</v>
      </c>
      <c r="D273">
        <v>1.06</v>
      </c>
      <c r="E273">
        <v>1.4999999999999999E-2</v>
      </c>
      <c r="F273">
        <v>1.06</v>
      </c>
      <c r="G273" s="1">
        <f t="shared" si="84"/>
        <v>2.6849999999999997E-6</v>
      </c>
      <c r="H273" s="19">
        <f t="shared" si="73"/>
        <v>-4.3389134264884557E-5</v>
      </c>
      <c r="I273" s="1">
        <f t="shared" si="74"/>
        <v>1.995E-8</v>
      </c>
      <c r="J273" s="1">
        <f t="shared" si="75"/>
        <v>3.9899999999999999E-6</v>
      </c>
      <c r="K273" s="19">
        <f t="shared" si="76"/>
        <v>1.9162393681652491E-3</v>
      </c>
      <c r="L273" s="19">
        <f t="shared" si="77"/>
        <v>1.1990183475091132</v>
      </c>
      <c r="M273" s="19">
        <f t="shared" si="78"/>
        <v>4.1062272174969622E-5</v>
      </c>
      <c r="N273" s="19">
        <f t="shared" si="72"/>
        <v>1.8728799615228837E-2</v>
      </c>
      <c r="O273" s="19">
        <v>227.36</v>
      </c>
      <c r="P273" s="19">
        <f t="shared" si="79"/>
        <v>0.22686905376670716</v>
      </c>
      <c r="Q273" s="19">
        <f t="shared" si="80"/>
        <v>1.3961172539489673E-2</v>
      </c>
      <c r="R273" s="19">
        <f t="shared" si="81"/>
        <v>43.115385783718111</v>
      </c>
      <c r="S273" s="19">
        <f t="shared" si="82"/>
        <v>3.6499797488861888E-14</v>
      </c>
      <c r="T273" s="83">
        <f t="shared" si="83"/>
        <v>127.18875887033978</v>
      </c>
    </row>
    <row r="274" spans="1:20">
      <c r="A274" s="9" t="s">
        <v>1238</v>
      </c>
      <c r="B274" s="9" t="s">
        <v>11</v>
      </c>
      <c r="C274">
        <v>162</v>
      </c>
      <c r="D274">
        <v>1.08</v>
      </c>
      <c r="E274">
        <v>1.2E-2</v>
      </c>
      <c r="F274">
        <v>1.08</v>
      </c>
      <c r="G274" s="1">
        <f t="shared" si="84"/>
        <v>2.148E-6</v>
      </c>
      <c r="H274" s="19">
        <f t="shared" si="73"/>
        <v>-2.4491427703523687E-5</v>
      </c>
      <c r="I274" s="1">
        <f t="shared" si="74"/>
        <v>1.5959999999999999E-8</v>
      </c>
      <c r="J274" s="1">
        <f t="shared" si="75"/>
        <v>3.1920000000000001E-6</v>
      </c>
      <c r="K274" s="19">
        <f t="shared" si="76"/>
        <v>1.081640340218712E-3</v>
      </c>
      <c r="L274" s="19">
        <f t="shared" si="77"/>
        <v>0.67679781287970842</v>
      </c>
      <c r="M274" s="19">
        <f t="shared" si="78"/>
        <v>2.3178007290400973E-5</v>
      </c>
      <c r="N274" s="19">
        <f t="shared" si="72"/>
        <v>1.8728799615228837E-2</v>
      </c>
      <c r="O274" s="19">
        <v>228.36</v>
      </c>
      <c r="P274" s="19">
        <f t="shared" si="79"/>
        <v>0.12805849027946536</v>
      </c>
      <c r="Q274" s="19">
        <f t="shared" si="80"/>
        <v>7.880522478736331E-3</v>
      </c>
      <c r="R274" s="19">
        <f t="shared" si="81"/>
        <v>24.336907654921024</v>
      </c>
      <c r="S274" s="19">
        <f t="shared" si="82"/>
        <v>2.0602673147023087E-14</v>
      </c>
      <c r="T274" s="83">
        <f t="shared" si="83"/>
        <v>94.867529046056646</v>
      </c>
    </row>
    <row r="275" spans="1:20">
      <c r="A275" s="9" t="s">
        <v>1239</v>
      </c>
      <c r="B275" s="9" t="s">
        <v>11</v>
      </c>
      <c r="C275">
        <v>185</v>
      </c>
      <c r="D275">
        <v>1.1000000000000001</v>
      </c>
      <c r="E275">
        <v>1.2E-2</v>
      </c>
      <c r="F275">
        <v>1.1000000000000001</v>
      </c>
      <c r="G275" s="1">
        <f t="shared" si="84"/>
        <v>2.148E-6</v>
      </c>
      <c r="H275" s="19">
        <f t="shared" si="73"/>
        <v>-2.7968605710814087E-5</v>
      </c>
      <c r="I275" s="1">
        <f t="shared" si="74"/>
        <v>1.5959999999999999E-8</v>
      </c>
      <c r="J275" s="1">
        <f t="shared" si="75"/>
        <v>3.1920000000000001E-6</v>
      </c>
      <c r="K275" s="19">
        <f t="shared" si="76"/>
        <v>1.2352065613608749E-3</v>
      </c>
      <c r="L275" s="19">
        <f t="shared" si="77"/>
        <v>0.77288639125151892</v>
      </c>
      <c r="M275" s="19">
        <f t="shared" si="78"/>
        <v>2.6468712029161605E-5</v>
      </c>
      <c r="N275" s="19">
        <f t="shared" si="72"/>
        <v>1.8728799615228837E-2</v>
      </c>
      <c r="O275" s="19">
        <v>229.36</v>
      </c>
      <c r="P275" s="19">
        <f t="shared" si="79"/>
        <v>0.14623963396111786</v>
      </c>
      <c r="Q275" s="19">
        <f t="shared" si="80"/>
        <v>8.9993620899149456E-3</v>
      </c>
      <c r="R275" s="19">
        <f t="shared" si="81"/>
        <v>27.792147630619688</v>
      </c>
      <c r="S275" s="19">
        <f t="shared" si="82"/>
        <v>2.3527744025921427E-14</v>
      </c>
      <c r="T275" s="83">
        <f t="shared" si="83"/>
        <v>101.07672650782636</v>
      </c>
    </row>
    <row r="276" spans="1:20">
      <c r="A276" s="9" t="s">
        <v>1240</v>
      </c>
      <c r="B276" s="9" t="s">
        <v>11</v>
      </c>
      <c r="C276">
        <v>124</v>
      </c>
      <c r="D276">
        <v>1.1000000000000001</v>
      </c>
      <c r="E276">
        <v>1.0999999999999999E-2</v>
      </c>
      <c r="F276">
        <v>1.1000000000000001</v>
      </c>
      <c r="G276" s="1">
        <f t="shared" si="84"/>
        <v>1.9689999999999997E-6</v>
      </c>
      <c r="H276" s="19">
        <f t="shared" si="73"/>
        <v>-1.8746524908869981E-5</v>
      </c>
      <c r="I276" s="1">
        <f t="shared" si="74"/>
        <v>1.4629999999999999E-8</v>
      </c>
      <c r="J276" s="1">
        <f t="shared" si="75"/>
        <v>2.926E-6</v>
      </c>
      <c r="K276" s="19">
        <f t="shared" si="76"/>
        <v>8.2792223572296473E-4</v>
      </c>
      <c r="L276" s="19">
        <f t="shared" si="77"/>
        <v>0.51804277035236945</v>
      </c>
      <c r="M276" s="19">
        <f t="shared" si="78"/>
        <v>1.7741190765492102E-5</v>
      </c>
      <c r="N276" s="19">
        <f t="shared" si="72"/>
        <v>1.8728799615228837E-2</v>
      </c>
      <c r="O276" s="19">
        <v>230.36</v>
      </c>
      <c r="P276" s="19">
        <f t="shared" si="79"/>
        <v>9.8020078979343866E-2</v>
      </c>
      <c r="Q276" s="19">
        <f t="shared" si="80"/>
        <v>6.0320048602673145E-3</v>
      </c>
      <c r="R276" s="19">
        <f t="shared" si="81"/>
        <v>18.628250303766709</v>
      </c>
      <c r="S276" s="19">
        <f t="shared" si="82"/>
        <v>1.5769947347104092E-14</v>
      </c>
      <c r="T276" s="83">
        <f t="shared" si="83"/>
        <v>85.430324497084996</v>
      </c>
    </row>
    <row r="277" spans="1:20">
      <c r="A277" s="9" t="s">
        <v>1241</v>
      </c>
      <c r="B277" s="9" t="s">
        <v>11</v>
      </c>
      <c r="C277">
        <v>264</v>
      </c>
      <c r="D277">
        <v>1.07</v>
      </c>
      <c r="E277">
        <v>1.2999999999999999E-2</v>
      </c>
      <c r="F277">
        <v>1.07</v>
      </c>
      <c r="G277" s="1">
        <f t="shared" si="84"/>
        <v>2.3269999999999999E-6</v>
      </c>
      <c r="H277" s="19">
        <f t="shared" si="73"/>
        <v>-3.9911956257594157E-5</v>
      </c>
      <c r="I277" s="1">
        <f t="shared" si="74"/>
        <v>1.7289999999999998E-8</v>
      </c>
      <c r="J277" s="1">
        <f t="shared" si="75"/>
        <v>3.4580000000000002E-6</v>
      </c>
      <c r="K277" s="19">
        <f t="shared" si="76"/>
        <v>1.7626731470230864E-3</v>
      </c>
      <c r="L277" s="19">
        <f t="shared" si="77"/>
        <v>1.1029297691373026</v>
      </c>
      <c r="M277" s="19">
        <f t="shared" si="78"/>
        <v>3.777156743620899E-5</v>
      </c>
      <c r="N277" s="19">
        <f t="shared" si="72"/>
        <v>1.8728799615228837E-2</v>
      </c>
      <c r="O277" s="19">
        <v>231.36</v>
      </c>
      <c r="P277" s="19">
        <f t="shared" si="79"/>
        <v>0.20868791008505466</v>
      </c>
      <c r="Q277" s="19">
        <f t="shared" si="80"/>
        <v>1.2842332928311058E-2</v>
      </c>
      <c r="R277" s="19">
        <f t="shared" si="81"/>
        <v>39.660145808019443</v>
      </c>
      <c r="S277" s="19">
        <f t="shared" si="82"/>
        <v>3.357472660996355E-14</v>
      </c>
      <c r="T277" s="83">
        <f t="shared" si="83"/>
        <v>122.09250044517009</v>
      </c>
    </row>
    <row r="278" spans="1:20">
      <c r="A278" s="9" t="s">
        <v>1242</v>
      </c>
      <c r="B278" s="9" t="s">
        <v>11</v>
      </c>
      <c r="C278">
        <v>178</v>
      </c>
      <c r="D278">
        <v>1.1000000000000001</v>
      </c>
      <c r="E278">
        <v>1.2E-2</v>
      </c>
      <c r="F278">
        <v>1.1000000000000001</v>
      </c>
      <c r="G278" s="1">
        <f t="shared" si="84"/>
        <v>2.148E-6</v>
      </c>
      <c r="H278" s="19">
        <f t="shared" si="73"/>
        <v>-2.6910334143377879E-5</v>
      </c>
      <c r="I278" s="1">
        <f t="shared" si="74"/>
        <v>1.5959999999999999E-8</v>
      </c>
      <c r="J278" s="1">
        <f t="shared" si="75"/>
        <v>3.1920000000000001E-6</v>
      </c>
      <c r="K278" s="19">
        <f t="shared" si="76"/>
        <v>1.1884690157958689E-3</v>
      </c>
      <c r="L278" s="19">
        <f t="shared" si="77"/>
        <v>0.74364204131227218</v>
      </c>
      <c r="M278" s="19">
        <f t="shared" si="78"/>
        <v>2.5467193195625759E-5</v>
      </c>
      <c r="N278" s="19">
        <f t="shared" si="72"/>
        <v>1.8728799615228837E-2</v>
      </c>
      <c r="O278" s="19">
        <v>232.36</v>
      </c>
      <c r="P278" s="19">
        <f t="shared" si="79"/>
        <v>0.14070624240583232</v>
      </c>
      <c r="Q278" s="19">
        <f t="shared" si="80"/>
        <v>8.6588456865127582E-3</v>
      </c>
      <c r="R278" s="19">
        <f t="shared" si="81"/>
        <v>26.740552855407049</v>
      </c>
      <c r="S278" s="19">
        <f t="shared" si="82"/>
        <v>2.2637505062778453E-14</v>
      </c>
      <c r="T278" s="83">
        <f t="shared" si="83"/>
        <v>99.946970758592101</v>
      </c>
    </row>
    <row r="279" spans="1:20">
      <c r="A279" s="9" t="s">
        <v>1243</v>
      </c>
      <c r="B279" s="9" t="s">
        <v>11</v>
      </c>
      <c r="C279">
        <v>895</v>
      </c>
      <c r="D279">
        <v>1.03</v>
      </c>
      <c r="E279">
        <v>0.02</v>
      </c>
      <c r="F279">
        <v>1.03</v>
      </c>
      <c r="G279" s="1">
        <f t="shared" si="84"/>
        <v>3.5799999999999996E-6</v>
      </c>
      <c r="H279" s="19">
        <f t="shared" si="73"/>
        <v>-1.3530757897934381E-4</v>
      </c>
      <c r="I279" s="1">
        <f t="shared" si="74"/>
        <v>2.66E-8</v>
      </c>
      <c r="J279" s="1">
        <f t="shared" si="75"/>
        <v>5.3200000000000007E-6</v>
      </c>
      <c r="K279" s="19">
        <f t="shared" si="76"/>
        <v>5.975729040097205E-3</v>
      </c>
      <c r="L279" s="19">
        <f t="shared" si="77"/>
        <v>3.7390990279465375</v>
      </c>
      <c r="M279" s="19">
        <f t="shared" si="78"/>
        <v>1.2805133657351153E-4</v>
      </c>
      <c r="N279" s="19">
        <f t="shared" si="72"/>
        <v>1.8728799615228837E-2</v>
      </c>
      <c r="O279" s="19">
        <v>233.36</v>
      </c>
      <c r="P279" s="19">
        <f t="shared" si="79"/>
        <v>0.70748363456865127</v>
      </c>
      <c r="Q279" s="19">
        <f t="shared" si="80"/>
        <v>4.3537454434993926E-2</v>
      </c>
      <c r="R279" s="19">
        <f t="shared" si="81"/>
        <v>134.45390340218714</v>
      </c>
      <c r="S279" s="19">
        <f t="shared" si="82"/>
        <v>1.1382341028756582E-13</v>
      </c>
      <c r="T279" s="83">
        <f t="shared" si="83"/>
        <v>286.72019635518649</v>
      </c>
    </row>
    <row r="280" spans="1:20">
      <c r="A280" s="9" t="s">
        <v>1244</v>
      </c>
      <c r="B280" s="9" t="s">
        <v>11</v>
      </c>
      <c r="C280">
        <v>35</v>
      </c>
      <c r="D280">
        <v>1.1499999999999999</v>
      </c>
      <c r="E280">
        <v>2.8000000000000001E-2</v>
      </c>
      <c r="F280">
        <v>1.1499999999999999</v>
      </c>
      <c r="G280" s="1">
        <f t="shared" si="84"/>
        <v>5.0119999999999996E-6</v>
      </c>
      <c r="H280" s="19">
        <f t="shared" si="73"/>
        <v>-5.2913578371810432E-6</v>
      </c>
      <c r="I280" s="1">
        <f t="shared" si="74"/>
        <v>3.7240000000000001E-8</v>
      </c>
      <c r="J280" s="1">
        <f t="shared" si="75"/>
        <v>7.4480000000000005E-6</v>
      </c>
      <c r="K280" s="19">
        <f t="shared" si="76"/>
        <v>2.3368772782503039E-4</v>
      </c>
      <c r="L280" s="19">
        <f t="shared" si="77"/>
        <v>0.14622174969623331</v>
      </c>
      <c r="M280" s="19">
        <f t="shared" si="78"/>
        <v>5.007594167679222E-6</v>
      </c>
      <c r="N280" s="19">
        <f t="shared" si="72"/>
        <v>1.8728799615228837E-2</v>
      </c>
      <c r="O280" s="19">
        <v>235.36</v>
      </c>
      <c r="P280" s="19">
        <f t="shared" si="79"/>
        <v>2.7666957776427702E-2</v>
      </c>
      <c r="Q280" s="19">
        <f t="shared" si="80"/>
        <v>1.7025820170109356E-3</v>
      </c>
      <c r="R280" s="19">
        <f t="shared" si="81"/>
        <v>5.2579738760631836</v>
      </c>
      <c r="S280" s="19">
        <f t="shared" si="82"/>
        <v>4.4511948157148645E-15</v>
      </c>
      <c r="T280" s="83">
        <f t="shared" si="83"/>
        <v>63.758448160006594</v>
      </c>
    </row>
    <row r="281" spans="1:20">
      <c r="A281" s="9" t="s">
        <v>1245</v>
      </c>
      <c r="B281" s="9" t="s">
        <v>11</v>
      </c>
      <c r="C281">
        <v>70</v>
      </c>
      <c r="D281">
        <v>1.1200000000000001</v>
      </c>
      <c r="E281">
        <v>3.6999999999999998E-2</v>
      </c>
      <c r="F281">
        <v>1.1200000000000001</v>
      </c>
      <c r="G281" s="1">
        <f t="shared" si="84"/>
        <v>6.6229999999999991E-6</v>
      </c>
      <c r="H281" s="19">
        <f t="shared" si="73"/>
        <v>-1.0582715674362086E-5</v>
      </c>
      <c r="I281" s="1">
        <f t="shared" si="74"/>
        <v>4.9209999999999995E-8</v>
      </c>
      <c r="J281" s="1">
        <f t="shared" si="75"/>
        <v>9.842E-6</v>
      </c>
      <c r="K281" s="19">
        <f t="shared" si="76"/>
        <v>4.6737545565006078E-4</v>
      </c>
      <c r="L281" s="19">
        <f t="shared" si="77"/>
        <v>0.29244349939246661</v>
      </c>
      <c r="M281" s="19">
        <f t="shared" si="78"/>
        <v>1.0015188335358444E-5</v>
      </c>
      <c r="N281" s="19">
        <f t="shared" si="72"/>
        <v>1.8728799615228837E-2</v>
      </c>
      <c r="O281" s="19">
        <v>236.36</v>
      </c>
      <c r="P281" s="19">
        <f t="shared" si="79"/>
        <v>5.5333915552855405E-2</v>
      </c>
      <c r="Q281" s="19">
        <f t="shared" si="80"/>
        <v>3.4051640340218713E-3</v>
      </c>
      <c r="R281" s="19">
        <f t="shared" si="81"/>
        <v>10.515947752126367</v>
      </c>
      <c r="S281" s="19">
        <f t="shared" si="82"/>
        <v>8.9023896314297291E-15</v>
      </c>
      <c r="T281" s="83">
        <f t="shared" si="83"/>
        <v>73.25400124147788</v>
      </c>
    </row>
    <row r="282" spans="1:20">
      <c r="A282" s="9" t="s">
        <v>1246</v>
      </c>
      <c r="B282" s="9" t="s">
        <v>11</v>
      </c>
      <c r="C282">
        <v>47</v>
      </c>
      <c r="D282">
        <v>1.1299999999999999</v>
      </c>
      <c r="E282">
        <v>2.7E-2</v>
      </c>
      <c r="F282">
        <v>1.1299999999999999</v>
      </c>
      <c r="G282" s="1">
        <f t="shared" si="84"/>
        <v>4.8329999999999993E-6</v>
      </c>
      <c r="H282" s="19">
        <f t="shared" si="73"/>
        <v>-7.1055376670716864E-6</v>
      </c>
      <c r="I282" s="1">
        <f t="shared" si="74"/>
        <v>3.5910000000000002E-8</v>
      </c>
      <c r="J282" s="1">
        <f t="shared" si="75"/>
        <v>7.182E-6</v>
      </c>
      <c r="K282" s="19">
        <f t="shared" si="76"/>
        <v>3.1380923450789793E-4</v>
      </c>
      <c r="L282" s="19">
        <f t="shared" si="77"/>
        <v>0.19635492102065616</v>
      </c>
      <c r="M282" s="19">
        <f t="shared" si="78"/>
        <v>6.7244835965978129E-6</v>
      </c>
      <c r="N282" s="19">
        <f t="shared" si="72"/>
        <v>1.8728799615228837E-2</v>
      </c>
      <c r="O282" s="19">
        <v>237.36</v>
      </c>
      <c r="P282" s="19">
        <f t="shared" si="79"/>
        <v>3.7152771871202916E-2</v>
      </c>
      <c r="Q282" s="19">
        <f t="shared" si="80"/>
        <v>2.2863244228432562E-3</v>
      </c>
      <c r="R282" s="19">
        <f t="shared" si="81"/>
        <v>7.0607077764277042</v>
      </c>
      <c r="S282" s="19">
        <f t="shared" si="82"/>
        <v>5.9773187525313893E-15</v>
      </c>
      <c r="T282" s="83">
        <f t="shared" si="83"/>
        <v>67.319498962708181</v>
      </c>
    </row>
    <row r="283" spans="1:20">
      <c r="A283" s="9" t="s">
        <v>1247</v>
      </c>
      <c r="B283" s="9" t="s">
        <v>11</v>
      </c>
      <c r="C283">
        <v>41</v>
      </c>
      <c r="D283">
        <v>1.17</v>
      </c>
      <c r="E283">
        <v>2.3E-2</v>
      </c>
      <c r="F283">
        <v>1.17</v>
      </c>
      <c r="G283" s="1">
        <f t="shared" si="84"/>
        <v>4.1169999999999997E-6</v>
      </c>
      <c r="H283" s="19">
        <f t="shared" si="73"/>
        <v>-6.1984477521263648E-6</v>
      </c>
      <c r="I283" s="1">
        <f t="shared" si="74"/>
        <v>3.0589999999999998E-8</v>
      </c>
      <c r="J283" s="1">
        <f t="shared" si="75"/>
        <v>6.1180000000000005E-6</v>
      </c>
      <c r="K283" s="19">
        <f t="shared" si="76"/>
        <v>2.7374848116646418E-4</v>
      </c>
      <c r="L283" s="19">
        <f t="shared" si="77"/>
        <v>0.17128833535844473</v>
      </c>
      <c r="M283" s="19">
        <f t="shared" si="78"/>
        <v>5.8660388821385175E-6</v>
      </c>
      <c r="N283" s="19">
        <f t="shared" si="72"/>
        <v>1.8728799615228837E-2</v>
      </c>
      <c r="O283" s="19">
        <v>238.36</v>
      </c>
      <c r="P283" s="19">
        <f t="shared" si="79"/>
        <v>3.2409864823815311E-2</v>
      </c>
      <c r="Q283" s="19">
        <f t="shared" si="80"/>
        <v>1.9944532199270958E-3</v>
      </c>
      <c r="R283" s="19">
        <f t="shared" si="81"/>
        <v>6.1593408262454439</v>
      </c>
      <c r="S283" s="19">
        <f t="shared" si="82"/>
        <v>5.2142567841231269E-15</v>
      </c>
      <c r="T283" s="83">
        <f t="shared" si="83"/>
        <v>65.915586393707386</v>
      </c>
    </row>
    <row r="284" spans="1:20">
      <c r="A284" s="9" t="s">
        <v>1248</v>
      </c>
      <c r="B284" s="9" t="s">
        <v>11</v>
      </c>
      <c r="C284">
        <v>21</v>
      </c>
      <c r="D284">
        <v>1.24</v>
      </c>
      <c r="E284">
        <v>1.6E-2</v>
      </c>
      <c r="F284">
        <v>1.24</v>
      </c>
      <c r="G284" s="1">
        <f t="shared" si="84"/>
        <v>2.864E-6</v>
      </c>
      <c r="H284" s="19">
        <f t="shared" si="73"/>
        <v>-3.174814702308626E-6</v>
      </c>
      <c r="I284" s="1">
        <f t="shared" si="74"/>
        <v>2.1279999999999999E-8</v>
      </c>
      <c r="J284" s="1">
        <f t="shared" si="75"/>
        <v>4.2560000000000004E-6</v>
      </c>
      <c r="K284" s="19">
        <f t="shared" si="76"/>
        <v>1.4021263669501823E-4</v>
      </c>
      <c r="L284" s="19">
        <f t="shared" si="77"/>
        <v>8.773304981773998E-2</v>
      </c>
      <c r="M284" s="19">
        <f t="shared" si="78"/>
        <v>3.0045565006075333E-6</v>
      </c>
      <c r="N284" s="19">
        <f t="shared" si="72"/>
        <v>1.8728799615228837E-2</v>
      </c>
      <c r="O284" s="19">
        <v>239.36</v>
      </c>
      <c r="P284" s="19">
        <f t="shared" si="79"/>
        <v>1.6600174665856622E-2</v>
      </c>
      <c r="Q284" s="19">
        <f t="shared" si="80"/>
        <v>1.0215492102065614E-3</v>
      </c>
      <c r="R284" s="19">
        <f t="shared" si="81"/>
        <v>3.1547843256379102</v>
      </c>
      <c r="S284" s="19">
        <f t="shared" si="82"/>
        <v>2.6707168894289186E-15</v>
      </c>
      <c r="T284" s="83">
        <f t="shared" si="83"/>
        <v>60.816570881138084</v>
      </c>
    </row>
    <row r="285" spans="1:20">
      <c r="A285" s="9" t="s">
        <v>1249</v>
      </c>
      <c r="B285" s="9" t="s">
        <v>11</v>
      </c>
      <c r="C285">
        <v>9</v>
      </c>
      <c r="D285">
        <v>1.5</v>
      </c>
      <c r="E285">
        <v>8.9999999999999993E-3</v>
      </c>
      <c r="F285">
        <v>1.5</v>
      </c>
      <c r="G285" s="1">
        <f t="shared" si="84"/>
        <v>1.6109999999999997E-6</v>
      </c>
      <c r="H285" s="19">
        <f t="shared" si="73"/>
        <v>-1.3606348724179826E-6</v>
      </c>
      <c r="I285" s="1">
        <f t="shared" si="74"/>
        <v>1.1969999999999999E-8</v>
      </c>
      <c r="J285" s="1">
        <f t="shared" si="75"/>
        <v>2.3939999999999999E-6</v>
      </c>
      <c r="K285" s="19">
        <f t="shared" si="76"/>
        <v>6.0091130012150667E-5</v>
      </c>
      <c r="L285" s="19">
        <f t="shared" si="77"/>
        <v>3.7599878493317133E-2</v>
      </c>
      <c r="M285" s="19">
        <f t="shared" si="78"/>
        <v>1.2876670716889428E-6</v>
      </c>
      <c r="N285" s="19">
        <f t="shared" si="72"/>
        <v>1.8728799615228837E-2</v>
      </c>
      <c r="O285" s="19">
        <v>240.36</v>
      </c>
      <c r="P285" s="19">
        <f t="shared" si="79"/>
        <v>7.1143605710814097E-3</v>
      </c>
      <c r="Q285" s="19">
        <f t="shared" si="80"/>
        <v>4.3780680437424061E-4</v>
      </c>
      <c r="R285" s="19">
        <f t="shared" si="81"/>
        <v>1.35205042527339</v>
      </c>
      <c r="S285" s="19">
        <f t="shared" si="82"/>
        <v>1.1445929526123937E-15</v>
      </c>
      <c r="T285" s="83">
        <f t="shared" si="83"/>
        <v>57.797276224836509</v>
      </c>
    </row>
    <row r="286" spans="1:20">
      <c r="A286" s="9" t="s">
        <v>1250</v>
      </c>
      <c r="B286" s="9" t="s">
        <v>11</v>
      </c>
      <c r="C286">
        <v>23</v>
      </c>
      <c r="D286">
        <v>1.33</v>
      </c>
      <c r="E286">
        <v>1.2E-2</v>
      </c>
      <c r="F286">
        <v>1.33</v>
      </c>
      <c r="G286" s="1">
        <f t="shared" si="84"/>
        <v>2.148E-6</v>
      </c>
      <c r="H286" s="19">
        <f t="shared" si="73"/>
        <v>-3.4771780072904E-6</v>
      </c>
      <c r="I286" s="1">
        <f t="shared" si="74"/>
        <v>1.5959999999999999E-8</v>
      </c>
      <c r="J286" s="1">
        <f t="shared" si="75"/>
        <v>3.1920000000000001E-6</v>
      </c>
      <c r="K286" s="19">
        <f t="shared" si="76"/>
        <v>1.5356622114216282E-4</v>
      </c>
      <c r="L286" s="19">
        <f t="shared" si="77"/>
        <v>9.6088578371810451E-2</v>
      </c>
      <c r="M286" s="19">
        <f t="shared" si="78"/>
        <v>3.2907047387606319E-6</v>
      </c>
      <c r="N286" s="19">
        <f t="shared" si="72"/>
        <v>1.8728799615228837E-2</v>
      </c>
      <c r="O286" s="19">
        <v>241.36</v>
      </c>
      <c r="P286" s="19">
        <f t="shared" si="79"/>
        <v>1.8181143681652492E-2</v>
      </c>
      <c r="Q286" s="19">
        <f t="shared" si="80"/>
        <v>1.1188396111786148E-3</v>
      </c>
      <c r="R286" s="19">
        <f t="shared" si="81"/>
        <v>3.4552399756986638</v>
      </c>
      <c r="S286" s="19">
        <f t="shared" si="82"/>
        <v>2.9250708788983394E-15</v>
      </c>
      <c r="T286" s="83">
        <f t="shared" si="83"/>
        <v>61.72237916840502</v>
      </c>
    </row>
    <row r="287" spans="1:20">
      <c r="A287" s="9" t="s">
        <v>1251</v>
      </c>
      <c r="B287" s="9" t="s">
        <v>11</v>
      </c>
      <c r="C287">
        <v>14</v>
      </c>
      <c r="D287">
        <v>1.33</v>
      </c>
      <c r="E287">
        <v>1.0999999999999999E-2</v>
      </c>
      <c r="F287">
        <v>1.33</v>
      </c>
      <c r="G287" s="1">
        <f t="shared" si="84"/>
        <v>1.9689999999999997E-6</v>
      </c>
      <c r="H287" s="19">
        <f t="shared" si="73"/>
        <v>-2.1165431348724172E-6</v>
      </c>
      <c r="I287" s="1">
        <f t="shared" si="74"/>
        <v>1.4629999999999999E-8</v>
      </c>
      <c r="J287" s="1">
        <f t="shared" si="75"/>
        <v>2.926E-6</v>
      </c>
      <c r="K287" s="19">
        <f t="shared" si="76"/>
        <v>9.3475091130012155E-5</v>
      </c>
      <c r="L287" s="19">
        <f t="shared" si="77"/>
        <v>5.8488699878493325E-2</v>
      </c>
      <c r="M287" s="19">
        <f t="shared" si="78"/>
        <v>2.0030376670716891E-6</v>
      </c>
      <c r="N287" s="19">
        <f t="shared" si="72"/>
        <v>1.8728799615228837E-2</v>
      </c>
      <c r="O287" s="19">
        <v>242.36</v>
      </c>
      <c r="P287" s="19">
        <f t="shared" si="79"/>
        <v>1.106678311057108E-2</v>
      </c>
      <c r="Q287" s="19">
        <f t="shared" si="80"/>
        <v>6.8103280680437421E-4</v>
      </c>
      <c r="R287" s="19">
        <f t="shared" si="81"/>
        <v>2.1031895504252738</v>
      </c>
      <c r="S287" s="19">
        <f t="shared" si="82"/>
        <v>1.7804779262859459E-15</v>
      </c>
      <c r="T287" s="83">
        <f t="shared" si="83"/>
        <v>59.594162723403834</v>
      </c>
    </row>
    <row r="288" spans="1:20">
      <c r="A288" s="9" t="s">
        <v>1252</v>
      </c>
      <c r="B288" s="9" t="s">
        <v>11</v>
      </c>
      <c r="C288">
        <v>34</v>
      </c>
      <c r="D288">
        <v>1.24</v>
      </c>
      <c r="E288">
        <v>1.6E-2</v>
      </c>
      <c r="F288">
        <v>1.24</v>
      </c>
      <c r="G288" s="1">
        <f t="shared" si="84"/>
        <v>2.864E-6</v>
      </c>
      <c r="H288" s="19">
        <f t="shared" si="73"/>
        <v>-5.140176184690156E-6</v>
      </c>
      <c r="I288" s="1">
        <f t="shared" si="74"/>
        <v>2.1279999999999999E-8</v>
      </c>
      <c r="J288" s="1">
        <f t="shared" si="75"/>
        <v>4.2560000000000004E-6</v>
      </c>
      <c r="K288" s="19">
        <f t="shared" si="76"/>
        <v>2.2701093560145808E-4</v>
      </c>
      <c r="L288" s="19">
        <f t="shared" si="77"/>
        <v>0.14204398541919808</v>
      </c>
      <c r="M288" s="19">
        <f t="shared" si="78"/>
        <v>4.8645200486026729E-6</v>
      </c>
      <c r="N288" s="19">
        <f t="shared" si="72"/>
        <v>1.8728799615228837E-2</v>
      </c>
      <c r="O288" s="19">
        <v>243.36</v>
      </c>
      <c r="P288" s="19">
        <f t="shared" si="79"/>
        <v>2.6876473268529769E-2</v>
      </c>
      <c r="Q288" s="19">
        <f t="shared" si="80"/>
        <v>1.6539368165249088E-3</v>
      </c>
      <c r="R288" s="19">
        <f t="shared" si="81"/>
        <v>5.107746051032807</v>
      </c>
      <c r="S288" s="19">
        <f t="shared" si="82"/>
        <v>4.3240178209801542E-15</v>
      </c>
      <c r="T288" s="83">
        <f t="shared" si="83"/>
        <v>65.116117272573135</v>
      </c>
    </row>
    <row r="289" spans="1:20">
      <c r="A289" s="9" t="s">
        <v>1253</v>
      </c>
      <c r="B289" s="9" t="s">
        <v>11</v>
      </c>
      <c r="C289">
        <v>9</v>
      </c>
      <c r="D289">
        <v>1.5</v>
      </c>
      <c r="E289">
        <v>8.0000000000000002E-3</v>
      </c>
      <c r="F289">
        <v>1.5</v>
      </c>
      <c r="G289" s="1">
        <f t="shared" si="84"/>
        <v>1.432E-6</v>
      </c>
      <c r="H289" s="19">
        <f t="shared" si="73"/>
        <v>-1.3606348724179826E-6</v>
      </c>
      <c r="I289" s="1">
        <f t="shared" si="74"/>
        <v>1.064E-8</v>
      </c>
      <c r="J289" s="1">
        <f t="shared" si="75"/>
        <v>2.1280000000000002E-6</v>
      </c>
      <c r="K289" s="19">
        <f t="shared" si="76"/>
        <v>6.0091130012150667E-5</v>
      </c>
      <c r="L289" s="19">
        <f t="shared" si="77"/>
        <v>3.7599878493317133E-2</v>
      </c>
      <c r="M289" s="19">
        <f t="shared" si="78"/>
        <v>1.2876670716889428E-6</v>
      </c>
      <c r="N289" s="19">
        <f t="shared" si="72"/>
        <v>1.8728799615228837E-2</v>
      </c>
      <c r="O289" s="19">
        <v>244.36</v>
      </c>
      <c r="P289" s="19">
        <f t="shared" si="79"/>
        <v>7.1143605710814097E-3</v>
      </c>
      <c r="Q289" s="19">
        <f t="shared" si="80"/>
        <v>4.3780680437424061E-4</v>
      </c>
      <c r="R289" s="19">
        <f t="shared" si="81"/>
        <v>1.35205042527339</v>
      </c>
      <c r="S289" s="19">
        <f t="shared" si="82"/>
        <v>1.1445929526123937E-15</v>
      </c>
      <c r="T289" s="83">
        <f t="shared" si="83"/>
        <v>58.698745743136499</v>
      </c>
    </row>
    <row r="290" spans="1:20">
      <c r="A290" s="9" t="s">
        <v>1254</v>
      </c>
      <c r="B290" s="9" t="s">
        <v>11</v>
      </c>
      <c r="C290">
        <v>18</v>
      </c>
      <c r="D290">
        <v>1.36</v>
      </c>
      <c r="E290">
        <v>1.0999999999999999E-2</v>
      </c>
      <c r="F290">
        <v>1.36</v>
      </c>
      <c r="G290" s="1">
        <f t="shared" si="84"/>
        <v>1.9689999999999997E-6</v>
      </c>
      <c r="H290" s="19">
        <f t="shared" si="73"/>
        <v>-2.7212697448359652E-6</v>
      </c>
      <c r="I290" s="1">
        <f t="shared" si="74"/>
        <v>1.4629999999999999E-8</v>
      </c>
      <c r="J290" s="1">
        <f t="shared" si="75"/>
        <v>2.926E-6</v>
      </c>
      <c r="K290" s="19">
        <f t="shared" si="76"/>
        <v>1.2018226002430133E-4</v>
      </c>
      <c r="L290" s="19">
        <f t="shared" si="77"/>
        <v>7.5199756986634267E-2</v>
      </c>
      <c r="M290" s="19">
        <f t="shared" si="78"/>
        <v>2.5753341433778856E-6</v>
      </c>
      <c r="N290" s="19">
        <f t="shared" si="72"/>
        <v>1.8728799615228837E-2</v>
      </c>
      <c r="O290" s="19">
        <v>245.36</v>
      </c>
      <c r="P290" s="19">
        <f t="shared" si="79"/>
        <v>1.4228721142162819E-2</v>
      </c>
      <c r="Q290" s="19">
        <f t="shared" si="80"/>
        <v>8.7561360874848122E-4</v>
      </c>
      <c r="R290" s="19">
        <f t="shared" si="81"/>
        <v>2.7041008505467801</v>
      </c>
      <c r="S290" s="19">
        <f t="shared" si="82"/>
        <v>2.2891859052247875E-15</v>
      </c>
      <c r="T290" s="83">
        <f t="shared" si="83"/>
        <v>61.324023151537702</v>
      </c>
    </row>
    <row r="291" spans="1:20">
      <c r="A291" s="9" t="s">
        <v>1255</v>
      </c>
      <c r="B291" s="9" t="s">
        <v>11</v>
      </c>
      <c r="C291">
        <v>25</v>
      </c>
      <c r="D291">
        <v>1.24</v>
      </c>
      <c r="E291">
        <v>1.4999999999999999E-2</v>
      </c>
      <c r="F291">
        <v>1.24</v>
      </c>
      <c r="G291" s="1">
        <f t="shared" si="84"/>
        <v>2.6849999999999997E-6</v>
      </c>
      <c r="H291" s="19">
        <f t="shared" si="73"/>
        <v>-3.7795413122721736E-6</v>
      </c>
      <c r="I291" s="1">
        <f t="shared" si="74"/>
        <v>1.995E-8</v>
      </c>
      <c r="J291" s="1">
        <f t="shared" si="75"/>
        <v>3.9899999999999999E-6</v>
      </c>
      <c r="K291" s="19">
        <f t="shared" si="76"/>
        <v>1.6691980558930741E-4</v>
      </c>
      <c r="L291" s="19">
        <f t="shared" si="77"/>
        <v>0.10444410692588094</v>
      </c>
      <c r="M291" s="19">
        <f t="shared" si="78"/>
        <v>3.5768529769137301E-6</v>
      </c>
      <c r="N291" s="19">
        <f t="shared" si="72"/>
        <v>1.8728799615228837E-2</v>
      </c>
      <c r="O291" s="19">
        <v>246.36</v>
      </c>
      <c r="P291" s="19">
        <f t="shared" si="79"/>
        <v>1.9762112697448358E-2</v>
      </c>
      <c r="Q291" s="19">
        <f t="shared" si="80"/>
        <v>1.2161300121506682E-3</v>
      </c>
      <c r="R291" s="19">
        <f t="shared" si="81"/>
        <v>3.755695625759417</v>
      </c>
      <c r="S291" s="19">
        <f t="shared" si="82"/>
        <v>3.1794248683677606E-15</v>
      </c>
      <c r="T291" s="83">
        <f t="shared" si="83"/>
        <v>63.447900827571949</v>
      </c>
    </row>
    <row r="292" spans="1:20">
      <c r="A292" s="9" t="s">
        <v>1256</v>
      </c>
      <c r="B292" s="9" t="s">
        <v>11</v>
      </c>
      <c r="C292">
        <v>83</v>
      </c>
      <c r="D292">
        <v>1.1000000000000001</v>
      </c>
      <c r="E292">
        <v>2.9000000000000001E-2</v>
      </c>
      <c r="F292">
        <v>1.1000000000000001</v>
      </c>
      <c r="G292" s="1">
        <f t="shared" si="84"/>
        <v>5.1909999999999999E-6</v>
      </c>
      <c r="H292" s="19">
        <f t="shared" si="73"/>
        <v>-1.2548077156743618E-5</v>
      </c>
      <c r="I292" s="1">
        <f t="shared" si="74"/>
        <v>3.8570000000000001E-8</v>
      </c>
      <c r="J292" s="1">
        <f t="shared" si="75"/>
        <v>7.714000000000001E-6</v>
      </c>
      <c r="K292" s="19">
        <f t="shared" si="76"/>
        <v>5.5417375455650065E-4</v>
      </c>
      <c r="L292" s="19">
        <f t="shared" si="77"/>
        <v>0.34675443499392467</v>
      </c>
      <c r="M292" s="19">
        <f t="shared" si="78"/>
        <v>1.1875151883353585E-5</v>
      </c>
      <c r="N292" s="19">
        <f t="shared" si="72"/>
        <v>1.8728799615228837E-2</v>
      </c>
      <c r="O292" s="19">
        <v>248.36</v>
      </c>
      <c r="P292" s="19">
        <f t="shared" si="79"/>
        <v>6.5610214155528548E-2</v>
      </c>
      <c r="Q292" s="19">
        <f t="shared" si="80"/>
        <v>4.0375516403402187E-3</v>
      </c>
      <c r="R292" s="19">
        <f t="shared" si="81"/>
        <v>12.468909477521265</v>
      </c>
      <c r="S292" s="19">
        <f t="shared" si="82"/>
        <v>1.0555690562980964E-14</v>
      </c>
      <c r="T292" s="83">
        <f t="shared" si="83"/>
        <v>79.245303779312906</v>
      </c>
    </row>
    <row r="293" spans="1:20">
      <c r="A293" s="9" t="s">
        <v>1257</v>
      </c>
      <c r="B293" s="9" t="s">
        <v>11</v>
      </c>
      <c r="C293">
        <v>275</v>
      </c>
      <c r="D293">
        <v>1.05</v>
      </c>
      <c r="E293">
        <v>5.6000000000000001E-2</v>
      </c>
      <c r="F293">
        <v>1.05</v>
      </c>
      <c r="G293" s="1">
        <f t="shared" si="84"/>
        <v>1.0023999999999999E-5</v>
      </c>
      <c r="H293" s="19">
        <f t="shared" si="73"/>
        <v>-4.1574954434993914E-5</v>
      </c>
      <c r="I293" s="1">
        <f t="shared" si="74"/>
        <v>7.4480000000000003E-8</v>
      </c>
      <c r="J293" s="1">
        <f t="shared" si="75"/>
        <v>1.4896000000000001E-5</v>
      </c>
      <c r="K293" s="19">
        <f t="shared" si="76"/>
        <v>1.8361178614823815E-3</v>
      </c>
      <c r="L293" s="19">
        <f t="shared" si="77"/>
        <v>1.1488851761846903</v>
      </c>
      <c r="M293" s="19">
        <f t="shared" si="78"/>
        <v>3.934538274605103E-5</v>
      </c>
      <c r="N293" s="19">
        <f t="shared" ref="N293:N356" si="85">CO2_crop_charfact</f>
        <v>1.8728799615228837E-2</v>
      </c>
      <c r="O293" s="19">
        <v>249.36</v>
      </c>
      <c r="P293" s="19">
        <f t="shared" si="79"/>
        <v>0.21738323967193196</v>
      </c>
      <c r="Q293" s="19">
        <f t="shared" si="80"/>
        <v>1.3377430133657352E-2</v>
      </c>
      <c r="R293" s="19">
        <f t="shared" si="81"/>
        <v>41.312651883353588</v>
      </c>
      <c r="S293" s="19">
        <f t="shared" si="82"/>
        <v>3.4973673552045363E-14</v>
      </c>
      <c r="T293" s="83">
        <f t="shared" si="83"/>
        <v>129.88892733563819</v>
      </c>
    </row>
    <row r="294" spans="1:20">
      <c r="A294" s="9" t="s">
        <v>1258</v>
      </c>
      <c r="B294" s="9" t="s">
        <v>11</v>
      </c>
      <c r="C294">
        <v>89</v>
      </c>
      <c r="D294">
        <v>1.0900000000000001</v>
      </c>
      <c r="E294">
        <v>2.7E-2</v>
      </c>
      <c r="F294">
        <v>1.0900000000000001</v>
      </c>
      <c r="G294" s="1">
        <f t="shared" si="84"/>
        <v>4.8329999999999993E-6</v>
      </c>
      <c r="H294" s="19">
        <f t="shared" si="73"/>
        <v>-1.3455167071688939E-5</v>
      </c>
      <c r="I294" s="1">
        <f t="shared" si="74"/>
        <v>3.5910000000000002E-8</v>
      </c>
      <c r="J294" s="1">
        <f t="shared" si="75"/>
        <v>7.182E-6</v>
      </c>
      <c r="K294" s="19">
        <f t="shared" si="76"/>
        <v>5.9423450789793445E-4</v>
      </c>
      <c r="L294" s="19">
        <f t="shared" si="77"/>
        <v>0.37182102065613609</v>
      </c>
      <c r="M294" s="19">
        <f t="shared" si="78"/>
        <v>1.273359659781288E-5</v>
      </c>
      <c r="N294" s="19">
        <f t="shared" si="85"/>
        <v>1.8728799615228837E-2</v>
      </c>
      <c r="O294" s="19">
        <v>250.36</v>
      </c>
      <c r="P294" s="19">
        <f t="shared" si="79"/>
        <v>7.0353121202916161E-2</v>
      </c>
      <c r="Q294" s="19">
        <f t="shared" si="80"/>
        <v>4.3294228432563791E-3</v>
      </c>
      <c r="R294" s="19">
        <f t="shared" si="81"/>
        <v>13.370276427703525</v>
      </c>
      <c r="S294" s="19">
        <f t="shared" si="82"/>
        <v>1.1318752531389227E-14</v>
      </c>
      <c r="T294" s="83">
        <f t="shared" si="83"/>
        <v>81.228033458113714</v>
      </c>
    </row>
    <row r="295" spans="1:20">
      <c r="A295" s="9" t="s">
        <v>1259</v>
      </c>
      <c r="B295" s="9" t="s">
        <v>11</v>
      </c>
      <c r="C295">
        <v>173</v>
      </c>
      <c r="D295">
        <v>1.07</v>
      </c>
      <c r="E295">
        <v>1.9E-2</v>
      </c>
      <c r="F295">
        <v>1.07</v>
      </c>
      <c r="G295" s="1">
        <f t="shared" si="84"/>
        <v>3.4009999999999997E-6</v>
      </c>
      <c r="H295" s="19">
        <f t="shared" si="73"/>
        <v>-2.6154425880923443E-5</v>
      </c>
      <c r="I295" s="1">
        <f t="shared" si="74"/>
        <v>2.5269999999999997E-8</v>
      </c>
      <c r="J295" s="1">
        <f t="shared" si="75"/>
        <v>5.0540000000000002E-6</v>
      </c>
      <c r="K295" s="19">
        <f t="shared" si="76"/>
        <v>1.1550850546780073E-3</v>
      </c>
      <c r="L295" s="19">
        <f t="shared" si="77"/>
        <v>0.72275321992709607</v>
      </c>
      <c r="M295" s="19">
        <f t="shared" si="78"/>
        <v>2.4751822600243013E-5</v>
      </c>
      <c r="N295" s="19">
        <f t="shared" si="85"/>
        <v>1.8728799615228837E-2</v>
      </c>
      <c r="O295" s="19">
        <v>251.36</v>
      </c>
      <c r="P295" s="19">
        <f t="shared" si="79"/>
        <v>0.13675381986634264</v>
      </c>
      <c r="Q295" s="19">
        <f t="shared" si="80"/>
        <v>8.4156196840826248E-3</v>
      </c>
      <c r="R295" s="19">
        <f t="shared" si="81"/>
        <v>25.989413730255166</v>
      </c>
      <c r="S295" s="19">
        <f t="shared" si="82"/>
        <v>2.2001620089104903E-14</v>
      </c>
      <c r="T295" s="83">
        <f t="shared" si="83"/>
        <v>103.14685859532477</v>
      </c>
    </row>
    <row r="296" spans="1:20">
      <c r="A296" s="9" t="s">
        <v>1260</v>
      </c>
      <c r="B296" s="9" t="s">
        <v>11</v>
      </c>
      <c r="C296">
        <v>127</v>
      </c>
      <c r="D296">
        <v>1.08</v>
      </c>
      <c r="E296">
        <v>2.9000000000000001E-2</v>
      </c>
      <c r="F296">
        <v>1.08</v>
      </c>
      <c r="G296" s="1">
        <f t="shared" si="84"/>
        <v>5.1909999999999999E-6</v>
      </c>
      <c r="H296" s="19">
        <f t="shared" si="73"/>
        <v>-1.9200069866342643E-5</v>
      </c>
      <c r="I296" s="1">
        <f t="shared" si="74"/>
        <v>3.8570000000000001E-8</v>
      </c>
      <c r="J296" s="1">
        <f t="shared" si="75"/>
        <v>7.714000000000001E-6</v>
      </c>
      <c r="K296" s="19">
        <f t="shared" si="76"/>
        <v>8.4795261239368168E-4</v>
      </c>
      <c r="L296" s="19">
        <f t="shared" si="77"/>
        <v>0.53057606318347517</v>
      </c>
      <c r="M296" s="19">
        <f t="shared" si="78"/>
        <v>1.8170413122721749E-5</v>
      </c>
      <c r="N296" s="19">
        <f t="shared" si="85"/>
        <v>1.8728799615228837E-2</v>
      </c>
      <c r="O296" s="19">
        <v>252.36</v>
      </c>
      <c r="P296" s="19">
        <f t="shared" si="79"/>
        <v>0.10039153250303766</v>
      </c>
      <c r="Q296" s="19">
        <f t="shared" si="80"/>
        <v>6.1779404617253947E-3</v>
      </c>
      <c r="R296" s="19">
        <f t="shared" si="81"/>
        <v>19.078933778857838</v>
      </c>
      <c r="S296" s="19">
        <f t="shared" si="82"/>
        <v>1.6151478331308221E-14</v>
      </c>
      <c r="T296" s="83">
        <f t="shared" si="83"/>
        <v>91.603768488785391</v>
      </c>
    </row>
    <row r="297" spans="1:20">
      <c r="A297" s="9" t="s">
        <v>1261</v>
      </c>
      <c r="B297" s="9" t="s">
        <v>11</v>
      </c>
      <c r="C297">
        <v>71</v>
      </c>
      <c r="D297">
        <v>1.1499999999999999</v>
      </c>
      <c r="E297">
        <v>1.9E-2</v>
      </c>
      <c r="F297">
        <v>1.1499999999999999</v>
      </c>
      <c r="G297" s="1">
        <f t="shared" si="84"/>
        <v>3.4009999999999997E-6</v>
      </c>
      <c r="H297" s="19">
        <f t="shared" si="73"/>
        <v>-1.0733897326852973E-5</v>
      </c>
      <c r="I297" s="1">
        <f t="shared" si="74"/>
        <v>2.5269999999999997E-8</v>
      </c>
      <c r="J297" s="1">
        <f t="shared" si="75"/>
        <v>5.0540000000000002E-6</v>
      </c>
      <c r="K297" s="19">
        <f t="shared" si="76"/>
        <v>4.7405224787363306E-4</v>
      </c>
      <c r="L297" s="19">
        <f t="shared" si="77"/>
        <v>0.29662126366950187</v>
      </c>
      <c r="M297" s="19">
        <f t="shared" si="78"/>
        <v>1.0158262454434994E-5</v>
      </c>
      <c r="N297" s="19">
        <f t="shared" si="85"/>
        <v>1.8728799615228837E-2</v>
      </c>
      <c r="O297" s="19">
        <v>253.36</v>
      </c>
      <c r="P297" s="19">
        <f t="shared" si="79"/>
        <v>5.6124400060753338E-2</v>
      </c>
      <c r="Q297" s="19">
        <f t="shared" si="80"/>
        <v>3.4538092345078979E-3</v>
      </c>
      <c r="R297" s="19">
        <f t="shared" si="81"/>
        <v>10.666175577156745</v>
      </c>
      <c r="S297" s="19">
        <f t="shared" si="82"/>
        <v>9.0295666261644395E-15</v>
      </c>
      <c r="T297" s="83">
        <f t="shared" si="83"/>
        <v>77.090417677911333</v>
      </c>
    </row>
    <row r="298" spans="1:20">
      <c r="A298" s="9" t="s">
        <v>1262</v>
      </c>
      <c r="B298" s="9" t="s">
        <v>11</v>
      </c>
      <c r="C298">
        <v>37</v>
      </c>
      <c r="D298">
        <v>1.1599999999999999</v>
      </c>
      <c r="E298">
        <v>1.6E-2</v>
      </c>
      <c r="F298">
        <v>1.1599999999999999</v>
      </c>
      <c r="G298" s="1">
        <f t="shared" si="84"/>
        <v>2.864E-6</v>
      </c>
      <c r="H298" s="19">
        <f t="shared" si="73"/>
        <v>-5.5937211421628168E-6</v>
      </c>
      <c r="I298" s="1">
        <f t="shared" si="74"/>
        <v>2.1279999999999999E-8</v>
      </c>
      <c r="J298" s="1">
        <f t="shared" si="75"/>
        <v>4.2560000000000004E-6</v>
      </c>
      <c r="K298" s="19">
        <f t="shared" si="76"/>
        <v>2.4704131227217495E-4</v>
      </c>
      <c r="L298" s="19">
        <f t="shared" si="77"/>
        <v>0.15457727825030379</v>
      </c>
      <c r="M298" s="19">
        <f t="shared" si="78"/>
        <v>5.2937424058323211E-6</v>
      </c>
      <c r="N298" s="19">
        <f t="shared" si="85"/>
        <v>1.8728799615228837E-2</v>
      </c>
      <c r="O298" s="19">
        <v>254.36</v>
      </c>
      <c r="P298" s="19">
        <f t="shared" si="79"/>
        <v>2.9247926792223572E-2</v>
      </c>
      <c r="Q298" s="19">
        <f t="shared" si="80"/>
        <v>1.799872417982989E-3</v>
      </c>
      <c r="R298" s="19">
        <f t="shared" si="81"/>
        <v>5.5584295261239376</v>
      </c>
      <c r="S298" s="19">
        <f t="shared" si="82"/>
        <v>4.7055488051842853E-15</v>
      </c>
      <c r="T298" s="83">
        <f t="shared" si="83"/>
        <v>68.426012593673519</v>
      </c>
    </row>
    <row r="299" spans="1:20">
      <c r="A299" s="9" t="s">
        <v>1263</v>
      </c>
      <c r="B299" s="9" t="s">
        <v>11</v>
      </c>
      <c r="C299">
        <v>48</v>
      </c>
      <c r="D299">
        <v>1.1499999999999999</v>
      </c>
      <c r="E299">
        <v>1.7000000000000001E-2</v>
      </c>
      <c r="F299">
        <v>1.1499999999999999</v>
      </c>
      <c r="G299" s="1">
        <f t="shared" si="84"/>
        <v>3.0429999999999999E-6</v>
      </c>
      <c r="H299" s="19">
        <f t="shared" si="73"/>
        <v>-7.2567193195625737E-6</v>
      </c>
      <c r="I299" s="1">
        <f t="shared" si="74"/>
        <v>2.2610000000000002E-8</v>
      </c>
      <c r="J299" s="1">
        <f t="shared" si="75"/>
        <v>4.5220000000000009E-6</v>
      </c>
      <c r="K299" s="19">
        <f t="shared" si="76"/>
        <v>3.2048602673147026E-4</v>
      </c>
      <c r="L299" s="19">
        <f t="shared" si="77"/>
        <v>0.20053268529769139</v>
      </c>
      <c r="M299" s="19">
        <f t="shared" si="78"/>
        <v>6.867557715674362E-6</v>
      </c>
      <c r="N299" s="19">
        <f t="shared" si="85"/>
        <v>1.8728799615228837E-2</v>
      </c>
      <c r="O299" s="19">
        <v>255.36</v>
      </c>
      <c r="P299" s="19">
        <f t="shared" si="79"/>
        <v>3.794325637910085E-2</v>
      </c>
      <c r="Q299" s="19">
        <f t="shared" si="80"/>
        <v>2.3349696233292833E-3</v>
      </c>
      <c r="R299" s="19">
        <f t="shared" si="81"/>
        <v>7.2109356014580808</v>
      </c>
      <c r="S299" s="19">
        <f t="shared" si="82"/>
        <v>6.1044957472661004E-15</v>
      </c>
      <c r="T299" s="83">
        <f t="shared" si="83"/>
        <v>71.534159252741645</v>
      </c>
    </row>
    <row r="300" spans="1:20">
      <c r="A300" s="9" t="s">
        <v>1264</v>
      </c>
      <c r="B300" s="9" t="s">
        <v>11</v>
      </c>
      <c r="C300">
        <v>47</v>
      </c>
      <c r="D300">
        <v>1.22</v>
      </c>
      <c r="E300">
        <v>1.2999999999999999E-2</v>
      </c>
      <c r="F300">
        <v>1.22</v>
      </c>
      <c r="G300" s="1">
        <f t="shared" si="84"/>
        <v>2.3269999999999999E-6</v>
      </c>
      <c r="H300" s="19">
        <f t="shared" si="73"/>
        <v>-7.1055376670716864E-6</v>
      </c>
      <c r="I300" s="1">
        <f t="shared" si="74"/>
        <v>1.7289999999999998E-8</v>
      </c>
      <c r="J300" s="1">
        <f t="shared" si="75"/>
        <v>3.4580000000000002E-6</v>
      </c>
      <c r="K300" s="19">
        <f t="shared" si="76"/>
        <v>3.1380923450789793E-4</v>
      </c>
      <c r="L300" s="19">
        <f t="shared" si="77"/>
        <v>0.19635492102065616</v>
      </c>
      <c r="M300" s="19">
        <f t="shared" si="78"/>
        <v>6.7244835965978129E-6</v>
      </c>
      <c r="N300" s="19">
        <f t="shared" si="85"/>
        <v>1.8728799615228837E-2</v>
      </c>
      <c r="O300" s="19">
        <v>256.36</v>
      </c>
      <c r="P300" s="19">
        <f t="shared" si="79"/>
        <v>3.7152771871202916E-2</v>
      </c>
      <c r="Q300" s="19">
        <f t="shared" si="80"/>
        <v>2.2863244228432562E-3</v>
      </c>
      <c r="R300" s="19">
        <f t="shared" si="81"/>
        <v>7.0607077764277042</v>
      </c>
      <c r="S300" s="19">
        <f t="shared" si="82"/>
        <v>5.9773187525313893E-15</v>
      </c>
      <c r="T300" s="83">
        <f t="shared" si="83"/>
        <v>71.43007221890818</v>
      </c>
    </row>
    <row r="301" spans="1:20">
      <c r="A301" s="9" t="s">
        <v>1265</v>
      </c>
      <c r="B301" s="9" t="s">
        <v>11</v>
      </c>
      <c r="C301">
        <v>47</v>
      </c>
      <c r="D301">
        <v>1.17</v>
      </c>
      <c r="E301">
        <v>1.6E-2</v>
      </c>
      <c r="F301">
        <v>1.17</v>
      </c>
      <c r="G301" s="1">
        <f t="shared" si="84"/>
        <v>2.864E-6</v>
      </c>
      <c r="H301" s="19">
        <f t="shared" si="73"/>
        <v>-7.1055376670716864E-6</v>
      </c>
      <c r="I301" s="1">
        <f t="shared" si="74"/>
        <v>2.1279999999999999E-8</v>
      </c>
      <c r="J301" s="1">
        <f t="shared" si="75"/>
        <v>4.2560000000000004E-6</v>
      </c>
      <c r="K301" s="19">
        <f t="shared" si="76"/>
        <v>3.1380923450789793E-4</v>
      </c>
      <c r="L301" s="19">
        <f t="shared" si="77"/>
        <v>0.19635492102065616</v>
      </c>
      <c r="M301" s="19">
        <f t="shared" si="78"/>
        <v>6.7244835965978129E-6</v>
      </c>
      <c r="N301" s="19">
        <f t="shared" si="85"/>
        <v>1.8728799615228837E-2</v>
      </c>
      <c r="O301" s="19">
        <v>257.36</v>
      </c>
      <c r="P301" s="19">
        <f t="shared" si="79"/>
        <v>3.7152771871202916E-2</v>
      </c>
      <c r="Q301" s="19">
        <f t="shared" si="80"/>
        <v>2.2863244228432562E-3</v>
      </c>
      <c r="R301" s="19">
        <f t="shared" si="81"/>
        <v>7.0607077764277042</v>
      </c>
      <c r="S301" s="19">
        <f t="shared" si="82"/>
        <v>5.9773187525313893E-15</v>
      </c>
      <c r="T301" s="83">
        <f t="shared" si="83"/>
        <v>71.715663664008176</v>
      </c>
    </row>
    <row r="302" spans="1:20">
      <c r="A302" s="9" t="s">
        <v>1266</v>
      </c>
      <c r="B302" s="9" t="s">
        <v>11</v>
      </c>
      <c r="C302">
        <v>24</v>
      </c>
      <c r="D302" s="9">
        <v>1.27</v>
      </c>
      <c r="E302">
        <v>1.0999999999999999E-2</v>
      </c>
      <c r="F302">
        <v>1.27</v>
      </c>
      <c r="G302" s="1">
        <f t="shared" si="84"/>
        <v>1.9689999999999997E-6</v>
      </c>
      <c r="H302" s="19">
        <f t="shared" si="73"/>
        <v>-3.6283596597812868E-6</v>
      </c>
      <c r="I302" s="1">
        <f t="shared" si="74"/>
        <v>1.4629999999999999E-8</v>
      </c>
      <c r="J302" s="1">
        <f t="shared" si="75"/>
        <v>2.926E-6</v>
      </c>
      <c r="K302" s="19">
        <f t="shared" si="76"/>
        <v>1.6024301336573513E-4</v>
      </c>
      <c r="L302" s="19">
        <f t="shared" si="77"/>
        <v>0.10026634264884569</v>
      </c>
      <c r="M302" s="19">
        <f t="shared" si="78"/>
        <v>3.433778857837181E-6</v>
      </c>
      <c r="N302" s="19">
        <f t="shared" si="85"/>
        <v>1.8728799615228837E-2</v>
      </c>
      <c r="O302" s="19">
        <v>258.36</v>
      </c>
      <c r="P302" s="19">
        <f t="shared" si="79"/>
        <v>1.8971628189550425E-2</v>
      </c>
      <c r="Q302" s="19">
        <f t="shared" si="80"/>
        <v>1.1674848116646416E-3</v>
      </c>
      <c r="R302" s="19">
        <f t="shared" si="81"/>
        <v>3.6054678007290404</v>
      </c>
      <c r="S302" s="19">
        <f t="shared" si="82"/>
        <v>3.0522478736330502E-15</v>
      </c>
      <c r="T302" s="83">
        <f t="shared" si="83"/>
        <v>65.873813793738492</v>
      </c>
    </row>
    <row r="303" spans="1:20">
      <c r="A303" s="9" t="s">
        <v>1267</v>
      </c>
      <c r="B303" s="9" t="s">
        <v>11</v>
      </c>
      <c r="C303">
        <v>60</v>
      </c>
      <c r="D303" s="9">
        <v>1.21</v>
      </c>
      <c r="E303">
        <v>1.4999999999999999E-2</v>
      </c>
      <c r="F303">
        <v>1.21</v>
      </c>
      <c r="G303" s="1">
        <f t="shared" si="84"/>
        <v>2.6849999999999997E-6</v>
      </c>
      <c r="H303" s="19">
        <f t="shared" si="73"/>
        <v>-9.0708991494532177E-6</v>
      </c>
      <c r="I303" s="1">
        <f t="shared" si="74"/>
        <v>1.995E-8</v>
      </c>
      <c r="J303" s="1">
        <f t="shared" si="75"/>
        <v>3.9899999999999999E-6</v>
      </c>
      <c r="K303" s="19">
        <f t="shared" si="76"/>
        <v>4.006075334143378E-4</v>
      </c>
      <c r="L303" s="19">
        <f t="shared" si="77"/>
        <v>0.25066585662211421</v>
      </c>
      <c r="M303" s="19">
        <f t="shared" si="78"/>
        <v>8.584447144592953E-6</v>
      </c>
      <c r="N303" s="19">
        <f t="shared" si="85"/>
        <v>1.8728799615228837E-2</v>
      </c>
      <c r="O303" s="19">
        <v>259.36</v>
      </c>
      <c r="P303" s="19">
        <f t="shared" si="79"/>
        <v>4.742907047387606E-2</v>
      </c>
      <c r="Q303" s="19">
        <f t="shared" si="80"/>
        <v>2.9187120291616041E-3</v>
      </c>
      <c r="R303" s="19">
        <f t="shared" si="81"/>
        <v>9.0136695018226014</v>
      </c>
      <c r="S303" s="19">
        <f t="shared" si="82"/>
        <v>7.6306196840826252E-15</v>
      </c>
      <c r="T303" s="83">
        <f t="shared" si="83"/>
        <v>75.536679573743214</v>
      </c>
    </row>
    <row r="304" spans="1:20">
      <c r="A304" s="9" t="s">
        <v>1268</v>
      </c>
      <c r="B304" s="9" t="s">
        <v>11</v>
      </c>
      <c r="C304">
        <v>67</v>
      </c>
      <c r="D304" s="9">
        <v>1.1599999999999999</v>
      </c>
      <c r="E304">
        <v>1.7000000000000001E-2</v>
      </c>
      <c r="F304">
        <v>1.1599999999999999</v>
      </c>
      <c r="G304" s="1">
        <f t="shared" si="84"/>
        <v>3.0429999999999999E-6</v>
      </c>
      <c r="H304" s="19">
        <f t="shared" si="73"/>
        <v>-1.0129170716889426E-5</v>
      </c>
      <c r="I304" s="1">
        <f t="shared" si="74"/>
        <v>2.2610000000000002E-8</v>
      </c>
      <c r="J304" s="1">
        <f t="shared" si="75"/>
        <v>4.5220000000000009E-6</v>
      </c>
      <c r="K304" s="19">
        <f t="shared" si="76"/>
        <v>4.4734507897934388E-4</v>
      </c>
      <c r="L304" s="19">
        <f t="shared" si="77"/>
        <v>0.2799102065613609</v>
      </c>
      <c r="M304" s="19">
        <f t="shared" si="78"/>
        <v>9.5859659781287975E-6</v>
      </c>
      <c r="N304" s="19">
        <f t="shared" si="85"/>
        <v>1.8728799615228837E-2</v>
      </c>
      <c r="O304" s="19">
        <v>260.36</v>
      </c>
      <c r="P304" s="19">
        <f t="shared" si="79"/>
        <v>5.2962462029161606E-2</v>
      </c>
      <c r="Q304" s="19">
        <f t="shared" si="80"/>
        <v>3.2592284325637911E-3</v>
      </c>
      <c r="R304" s="19">
        <f t="shared" si="81"/>
        <v>10.065264277035238</v>
      </c>
      <c r="S304" s="19">
        <f t="shared" si="82"/>
        <v>8.5208586472255979E-15</v>
      </c>
      <c r="T304" s="83">
        <f t="shared" si="83"/>
        <v>77.623496286377488</v>
      </c>
    </row>
    <row r="305" spans="1:20">
      <c r="A305" s="9" t="s">
        <v>1269</v>
      </c>
      <c r="B305" s="9" t="s">
        <v>11</v>
      </c>
      <c r="C305">
        <v>31</v>
      </c>
      <c r="D305" s="9">
        <v>1.25</v>
      </c>
      <c r="E305">
        <v>1.0999999999999999E-2</v>
      </c>
      <c r="F305">
        <v>1.25</v>
      </c>
      <c r="G305" s="1">
        <f t="shared" si="84"/>
        <v>1.9689999999999997E-6</v>
      </c>
      <c r="H305" s="19">
        <f t="shared" si="73"/>
        <v>-4.6866312272174952E-6</v>
      </c>
      <c r="I305" s="1">
        <f t="shared" si="74"/>
        <v>1.4629999999999999E-8</v>
      </c>
      <c r="J305" s="1">
        <f t="shared" si="75"/>
        <v>2.926E-6</v>
      </c>
      <c r="K305" s="19">
        <f t="shared" si="76"/>
        <v>2.0698055893074118E-4</v>
      </c>
      <c r="L305" s="19">
        <f t="shared" si="77"/>
        <v>0.12951069258809236</v>
      </c>
      <c r="M305" s="19">
        <f t="shared" si="78"/>
        <v>4.4352976913730256E-6</v>
      </c>
      <c r="N305" s="19">
        <f t="shared" si="85"/>
        <v>1.8728799615228837E-2</v>
      </c>
      <c r="O305" s="19">
        <v>261.36</v>
      </c>
      <c r="P305" s="19">
        <f t="shared" si="79"/>
        <v>2.4505019744835967E-2</v>
      </c>
      <c r="Q305" s="19">
        <f t="shared" si="80"/>
        <v>1.5080012150668286E-3</v>
      </c>
      <c r="R305" s="19">
        <f t="shared" si="81"/>
        <v>4.6570625759416773</v>
      </c>
      <c r="S305" s="19">
        <f t="shared" si="82"/>
        <v>3.942486836776023E-15</v>
      </c>
      <c r="T305" s="83">
        <f t="shared" si="83"/>
        <v>68.383569542972737</v>
      </c>
    </row>
    <row r="306" spans="1:20">
      <c r="A306" s="9" t="s">
        <v>1270</v>
      </c>
      <c r="B306" s="9" t="s">
        <v>11</v>
      </c>
      <c r="C306">
        <v>59</v>
      </c>
      <c r="D306" s="9">
        <v>1.18</v>
      </c>
      <c r="E306">
        <v>1.4999999999999999E-2</v>
      </c>
      <c r="F306">
        <v>1.18</v>
      </c>
      <c r="G306" s="1">
        <f t="shared" si="84"/>
        <v>2.6849999999999997E-6</v>
      </c>
      <c r="H306" s="19">
        <f t="shared" si="73"/>
        <v>-8.9197174969623297E-6</v>
      </c>
      <c r="I306" s="1">
        <f t="shared" si="74"/>
        <v>1.995E-8</v>
      </c>
      <c r="J306" s="1">
        <f t="shared" si="75"/>
        <v>3.9899999999999999E-6</v>
      </c>
      <c r="K306" s="19">
        <f t="shared" si="76"/>
        <v>3.9393074119076552E-4</v>
      </c>
      <c r="L306" s="19">
        <f t="shared" si="77"/>
        <v>0.24648809234507899</v>
      </c>
      <c r="M306" s="19">
        <f t="shared" si="78"/>
        <v>8.441373025516403E-6</v>
      </c>
      <c r="N306" s="19">
        <f t="shared" si="85"/>
        <v>1.8728799615228837E-2</v>
      </c>
      <c r="O306" s="19">
        <v>262.36</v>
      </c>
      <c r="P306" s="19">
        <f t="shared" si="79"/>
        <v>4.6638585965978127E-2</v>
      </c>
      <c r="Q306" s="19">
        <f t="shared" si="80"/>
        <v>2.8700668286755771E-3</v>
      </c>
      <c r="R306" s="19">
        <f t="shared" si="81"/>
        <v>8.8634416767922239</v>
      </c>
      <c r="S306" s="19">
        <f t="shared" si="82"/>
        <v>7.5034426893479148E-15</v>
      </c>
      <c r="T306" s="83">
        <f t="shared" si="83"/>
        <v>75.966714466709774</v>
      </c>
    </row>
    <row r="307" spans="1:20">
      <c r="A307" s="9" t="s">
        <v>1271</v>
      </c>
      <c r="B307" s="9" t="s">
        <v>11</v>
      </c>
      <c r="C307">
        <v>45</v>
      </c>
      <c r="D307" s="9">
        <v>1.24</v>
      </c>
      <c r="E307">
        <v>1.2E-2</v>
      </c>
      <c r="F307">
        <v>1.24</v>
      </c>
      <c r="G307" s="1">
        <f t="shared" si="84"/>
        <v>2.148E-6</v>
      </c>
      <c r="H307" s="19">
        <f t="shared" si="73"/>
        <v>-6.8031743620899129E-6</v>
      </c>
      <c r="I307" s="1">
        <f t="shared" si="74"/>
        <v>1.5959999999999999E-8</v>
      </c>
      <c r="J307" s="1">
        <f t="shared" si="75"/>
        <v>3.1920000000000001E-6</v>
      </c>
      <c r="K307" s="19">
        <f t="shared" si="76"/>
        <v>3.0045565006075336E-4</v>
      </c>
      <c r="L307" s="19">
        <f t="shared" si="77"/>
        <v>0.18799939246658567</v>
      </c>
      <c r="M307" s="19">
        <f t="shared" si="78"/>
        <v>6.4383353584447147E-6</v>
      </c>
      <c r="N307" s="19">
        <f t="shared" si="85"/>
        <v>1.8728799615228837E-2</v>
      </c>
      <c r="O307" s="19">
        <v>263.36</v>
      </c>
      <c r="P307" s="19">
        <f t="shared" si="79"/>
        <v>3.5571802855407043E-2</v>
      </c>
      <c r="Q307" s="19">
        <f t="shared" si="80"/>
        <v>2.1890340218712031E-3</v>
      </c>
      <c r="R307" s="19">
        <f t="shared" si="81"/>
        <v>6.7602521263669511</v>
      </c>
      <c r="S307" s="19">
        <f t="shared" si="82"/>
        <v>5.7229647630619685E-15</v>
      </c>
      <c r="T307" s="83">
        <f t="shared" si="83"/>
        <v>72.50161152314125</v>
      </c>
    </row>
    <row r="308" spans="1:20">
      <c r="A308" s="9" t="s">
        <v>1272</v>
      </c>
      <c r="B308" s="9" t="s">
        <v>11</v>
      </c>
      <c r="C308">
        <v>221</v>
      </c>
      <c r="D308" s="9">
        <v>1.06</v>
      </c>
      <c r="E308">
        <v>1.7000000000000001E-2</v>
      </c>
      <c r="F308">
        <v>1.06</v>
      </c>
      <c r="G308" s="1">
        <f t="shared" si="84"/>
        <v>3.0429999999999999E-6</v>
      </c>
      <c r="H308" s="19">
        <f t="shared" si="73"/>
        <v>-3.3411145200486016E-5</v>
      </c>
      <c r="I308" s="1">
        <f t="shared" si="74"/>
        <v>2.2610000000000002E-8</v>
      </c>
      <c r="J308" s="1">
        <f t="shared" si="75"/>
        <v>4.5220000000000009E-6</v>
      </c>
      <c r="K308" s="19">
        <f t="shared" si="76"/>
        <v>1.4755710814094776E-3</v>
      </c>
      <c r="L308" s="19">
        <f t="shared" si="77"/>
        <v>0.92328590522478748</v>
      </c>
      <c r="M308" s="19">
        <f t="shared" si="78"/>
        <v>3.1619380315917373E-5</v>
      </c>
      <c r="N308" s="19">
        <f t="shared" si="85"/>
        <v>1.8728799615228837E-2</v>
      </c>
      <c r="O308" s="19">
        <v>265.36</v>
      </c>
      <c r="P308" s="19">
        <f t="shared" si="79"/>
        <v>0.17469707624544351</v>
      </c>
      <c r="Q308" s="19">
        <f t="shared" si="80"/>
        <v>1.0750589307411908E-2</v>
      </c>
      <c r="R308" s="19">
        <f t="shared" si="81"/>
        <v>33.200349331713248</v>
      </c>
      <c r="S308" s="19">
        <f t="shared" si="82"/>
        <v>2.8106115836371002E-14</v>
      </c>
      <c r="T308" s="83">
        <f t="shared" si="83"/>
        <v>118.80812276953111</v>
      </c>
    </row>
    <row r="309" spans="1:20">
      <c r="A309" s="9" t="s">
        <v>1273</v>
      </c>
      <c r="B309" s="9" t="s">
        <v>11</v>
      </c>
      <c r="C309">
        <v>665</v>
      </c>
      <c r="D309" s="9">
        <v>1.03</v>
      </c>
      <c r="E309">
        <v>2.4E-2</v>
      </c>
      <c r="F309">
        <v>1.03</v>
      </c>
      <c r="G309" s="1">
        <f t="shared" si="84"/>
        <v>4.296E-6</v>
      </c>
      <c r="H309" s="19">
        <f t="shared" si="73"/>
        <v>-1.0053579890643982E-4</v>
      </c>
      <c r="I309" s="1">
        <f t="shared" si="74"/>
        <v>3.1919999999999997E-8</v>
      </c>
      <c r="J309" s="1">
        <f t="shared" si="75"/>
        <v>6.3840000000000002E-6</v>
      </c>
      <c r="K309" s="19">
        <f t="shared" si="76"/>
        <v>4.4400668286755773E-3</v>
      </c>
      <c r="L309" s="19">
        <f t="shared" si="77"/>
        <v>2.7782132442284326</v>
      </c>
      <c r="M309" s="19">
        <f t="shared" si="78"/>
        <v>9.5144289185905226E-5</v>
      </c>
      <c r="N309" s="19">
        <f t="shared" si="85"/>
        <v>1.8728799615228837E-2</v>
      </c>
      <c r="O309" s="19">
        <v>266.36</v>
      </c>
      <c r="P309" s="19">
        <f t="shared" si="79"/>
        <v>0.52567219775212637</v>
      </c>
      <c r="Q309" s="19">
        <f t="shared" si="80"/>
        <v>3.234905832320778E-2</v>
      </c>
      <c r="R309" s="19">
        <f t="shared" si="81"/>
        <v>99.901503645200492</v>
      </c>
      <c r="S309" s="19">
        <f t="shared" si="82"/>
        <v>8.4572701498582432E-14</v>
      </c>
      <c r="T309" s="83">
        <f t="shared" si="83"/>
        <v>234.59234366428956</v>
      </c>
    </row>
    <row r="310" spans="1:20">
      <c r="A310" s="9" t="s">
        <v>1274</v>
      </c>
      <c r="B310" s="9" t="s">
        <v>11</v>
      </c>
      <c r="C310">
        <v>263</v>
      </c>
      <c r="D310" s="9">
        <v>1.05</v>
      </c>
      <c r="E310">
        <v>1.7999999999999999E-2</v>
      </c>
      <c r="F310">
        <v>1.05</v>
      </c>
      <c r="G310" s="1">
        <f t="shared" si="84"/>
        <v>3.2219999999999994E-6</v>
      </c>
      <c r="H310" s="19">
        <f t="shared" si="73"/>
        <v>-3.9760774605103271E-5</v>
      </c>
      <c r="I310" s="1">
        <f t="shared" si="74"/>
        <v>2.3939999999999998E-8</v>
      </c>
      <c r="J310" s="1">
        <f t="shared" si="75"/>
        <v>4.7879999999999997E-6</v>
      </c>
      <c r="K310" s="19">
        <f t="shared" si="76"/>
        <v>1.7559963547995139E-3</v>
      </c>
      <c r="L310" s="19">
        <f t="shared" si="77"/>
        <v>1.0987520048602675</v>
      </c>
      <c r="M310" s="19">
        <f t="shared" si="78"/>
        <v>3.7628493317132444E-5</v>
      </c>
      <c r="N310" s="19">
        <f t="shared" si="85"/>
        <v>1.8728799615228837E-2</v>
      </c>
      <c r="O310" s="19">
        <v>267.36</v>
      </c>
      <c r="P310" s="19">
        <f t="shared" si="79"/>
        <v>0.20789742557715674</v>
      </c>
      <c r="Q310" s="19">
        <f t="shared" si="80"/>
        <v>1.2793687727825031E-2</v>
      </c>
      <c r="R310" s="19">
        <f t="shared" si="81"/>
        <v>39.509917982989066</v>
      </c>
      <c r="S310" s="19">
        <f t="shared" si="82"/>
        <v>3.3447549615228838E-14</v>
      </c>
      <c r="T310" s="83">
        <f t="shared" si="83"/>
        <v>130.2051877466366</v>
      </c>
    </row>
    <row r="311" spans="1:20">
      <c r="A311" s="9" t="s">
        <v>1275</v>
      </c>
      <c r="B311" s="9" t="s">
        <v>11</v>
      </c>
      <c r="C311">
        <v>293</v>
      </c>
      <c r="D311" s="9">
        <v>1.06</v>
      </c>
      <c r="E311">
        <v>1.7000000000000001E-2</v>
      </c>
      <c r="F311">
        <v>1.06</v>
      </c>
      <c r="G311" s="1">
        <f t="shared" si="84"/>
        <v>3.0429999999999999E-6</v>
      </c>
      <c r="H311" s="19">
        <f t="shared" si="73"/>
        <v>-4.4296224179829876E-5</v>
      </c>
      <c r="I311" s="1">
        <f t="shared" si="74"/>
        <v>2.2610000000000002E-8</v>
      </c>
      <c r="J311" s="1">
        <f t="shared" si="75"/>
        <v>4.5220000000000009E-6</v>
      </c>
      <c r="K311" s="19">
        <f t="shared" si="76"/>
        <v>1.956300121506683E-3</v>
      </c>
      <c r="L311" s="19">
        <f t="shared" si="77"/>
        <v>1.2240849331713246</v>
      </c>
      <c r="M311" s="19">
        <f t="shared" si="78"/>
        <v>4.1920716889428915E-5</v>
      </c>
      <c r="N311" s="19">
        <f t="shared" si="85"/>
        <v>1.8728799615228837E-2</v>
      </c>
      <c r="O311" s="19">
        <v>268.36</v>
      </c>
      <c r="P311" s="19">
        <f t="shared" si="79"/>
        <v>0.23161196081409477</v>
      </c>
      <c r="Q311" s="19">
        <f t="shared" si="80"/>
        <v>1.4253043742405833E-2</v>
      </c>
      <c r="R311" s="19">
        <f t="shared" si="81"/>
        <v>44.016752733900368</v>
      </c>
      <c r="S311" s="19">
        <f t="shared" si="82"/>
        <v>3.7262859457270153E-14</v>
      </c>
      <c r="T311" s="83">
        <f t="shared" si="83"/>
        <v>138.21561047594057</v>
      </c>
    </row>
    <row r="312" spans="1:20">
      <c r="A312" s="9" t="s">
        <v>1276</v>
      </c>
      <c r="B312" s="9" t="s">
        <v>11</v>
      </c>
      <c r="C312">
        <v>91</v>
      </c>
      <c r="D312" s="9">
        <v>1.1100000000000001</v>
      </c>
      <c r="E312">
        <v>1.2E-2</v>
      </c>
      <c r="F312">
        <v>1.1100000000000001</v>
      </c>
      <c r="G312" s="1">
        <f t="shared" si="84"/>
        <v>2.148E-6</v>
      </c>
      <c r="H312" s="19">
        <f t="shared" si="73"/>
        <v>-1.3757530376670712E-5</v>
      </c>
      <c r="I312" s="1">
        <f t="shared" si="74"/>
        <v>1.5959999999999999E-8</v>
      </c>
      <c r="J312" s="1">
        <f t="shared" si="75"/>
        <v>3.1920000000000001E-6</v>
      </c>
      <c r="K312" s="19">
        <f t="shared" si="76"/>
        <v>6.0758809234507901E-4</v>
      </c>
      <c r="L312" s="19">
        <f t="shared" si="77"/>
        <v>0.3801765492102066</v>
      </c>
      <c r="M312" s="19">
        <f t="shared" si="78"/>
        <v>1.3019744835965978E-5</v>
      </c>
      <c r="N312" s="19">
        <f t="shared" si="85"/>
        <v>1.8728799615228837E-2</v>
      </c>
      <c r="O312" s="19">
        <v>269.36</v>
      </c>
      <c r="P312" s="19">
        <f t="shared" si="79"/>
        <v>7.1934090218712027E-2</v>
      </c>
      <c r="Q312" s="19">
        <f t="shared" si="80"/>
        <v>4.4267132442284323E-3</v>
      </c>
      <c r="R312" s="19">
        <f t="shared" si="81"/>
        <v>13.670732077764278</v>
      </c>
      <c r="S312" s="19">
        <f t="shared" si="82"/>
        <v>1.1573106520858647E-14</v>
      </c>
      <c r="T312" s="83">
        <f t="shared" si="83"/>
        <v>85.840006446680633</v>
      </c>
    </row>
    <row r="313" spans="1:20">
      <c r="A313" s="9" t="s">
        <v>1277</v>
      </c>
      <c r="B313" s="9" t="s">
        <v>11</v>
      </c>
      <c r="C313">
        <v>57</v>
      </c>
      <c r="D313" s="9">
        <v>1.05</v>
      </c>
      <c r="E313">
        <v>8.9999999999999993E-3</v>
      </c>
      <c r="F313">
        <v>1.05</v>
      </c>
      <c r="G313" s="1">
        <f t="shared" si="84"/>
        <v>1.6109999999999997E-6</v>
      </c>
      <c r="H313" s="19">
        <f t="shared" si="73"/>
        <v>-8.6173541919805569E-6</v>
      </c>
      <c r="I313" s="1">
        <f t="shared" si="74"/>
        <v>1.1969999999999999E-8</v>
      </c>
      <c r="J313" s="1">
        <f t="shared" si="75"/>
        <v>2.3939999999999999E-6</v>
      </c>
      <c r="K313" s="19">
        <f t="shared" si="76"/>
        <v>3.805771567436209E-4</v>
      </c>
      <c r="L313" s="19">
        <f t="shared" si="77"/>
        <v>0.23813256379100853</v>
      </c>
      <c r="M313" s="19">
        <f t="shared" si="78"/>
        <v>8.1552247873633048E-6</v>
      </c>
      <c r="N313" s="19">
        <f t="shared" si="85"/>
        <v>1.8728799615228837E-2</v>
      </c>
      <c r="O313" s="19">
        <v>270.36</v>
      </c>
      <c r="P313" s="19">
        <f t="shared" si="79"/>
        <v>4.5057616950182261E-2</v>
      </c>
      <c r="Q313" s="19">
        <f t="shared" si="80"/>
        <v>2.7727764277035239E-3</v>
      </c>
      <c r="R313" s="19">
        <f t="shared" si="81"/>
        <v>8.5629860267314708</v>
      </c>
      <c r="S313" s="19">
        <f t="shared" si="82"/>
        <v>7.249088699878494E-15</v>
      </c>
      <c r="T313" s="83">
        <f t="shared" si="83"/>
        <v>77.175601362442833</v>
      </c>
    </row>
    <row r="314" spans="1:20">
      <c r="A314" s="9" t="s">
        <v>1278</v>
      </c>
      <c r="B314" s="9" t="s">
        <v>11</v>
      </c>
      <c r="C314">
        <v>75</v>
      </c>
      <c r="D314" s="9">
        <v>1.1299999999999999</v>
      </c>
      <c r="E314">
        <v>1.0999999999999999E-2</v>
      </c>
      <c r="F314">
        <v>1.1299999999999999</v>
      </c>
      <c r="G314" s="1">
        <f t="shared" si="84"/>
        <v>1.9689999999999997E-6</v>
      </c>
      <c r="H314" s="19">
        <f t="shared" si="73"/>
        <v>-1.1338623936816522E-5</v>
      </c>
      <c r="I314" s="1">
        <f t="shared" si="74"/>
        <v>1.4629999999999999E-8</v>
      </c>
      <c r="J314" s="1">
        <f t="shared" si="75"/>
        <v>2.926E-6</v>
      </c>
      <c r="K314" s="19">
        <f t="shared" si="76"/>
        <v>5.0075941676792229E-4</v>
      </c>
      <c r="L314" s="19">
        <f t="shared" si="77"/>
        <v>0.31333232077764278</v>
      </c>
      <c r="M314" s="19">
        <f t="shared" si="78"/>
        <v>1.073055893074119E-5</v>
      </c>
      <c r="N314" s="19">
        <f t="shared" si="85"/>
        <v>1.8728799615228837E-2</v>
      </c>
      <c r="O314" s="19">
        <v>271.36</v>
      </c>
      <c r="P314" s="19">
        <f t="shared" si="79"/>
        <v>5.9286338092345077E-2</v>
      </c>
      <c r="Q314" s="19">
        <f t="shared" si="80"/>
        <v>3.6483900364520051E-3</v>
      </c>
      <c r="R314" s="19">
        <f t="shared" si="81"/>
        <v>11.267086877278251</v>
      </c>
      <c r="S314" s="19">
        <f t="shared" si="82"/>
        <v>9.5382746051032811E-15</v>
      </c>
      <c r="T314" s="83">
        <f t="shared" si="83"/>
        <v>82.122034252445189</v>
      </c>
    </row>
    <row r="315" spans="1:20">
      <c r="A315" s="9" t="s">
        <v>1279</v>
      </c>
      <c r="B315" s="9" t="s">
        <v>11</v>
      </c>
      <c r="C315">
        <v>87</v>
      </c>
      <c r="D315" s="9">
        <v>1.1200000000000001</v>
      </c>
      <c r="E315">
        <v>1.0999999999999999E-2</v>
      </c>
      <c r="F315">
        <v>1.1200000000000001</v>
      </c>
      <c r="G315" s="1">
        <f t="shared" si="84"/>
        <v>1.9689999999999997E-6</v>
      </c>
      <c r="H315" s="19">
        <f t="shared" si="73"/>
        <v>-1.3152803766707165E-5</v>
      </c>
      <c r="I315" s="1">
        <f t="shared" si="74"/>
        <v>1.4629999999999999E-8</v>
      </c>
      <c r="J315" s="1">
        <f t="shared" si="75"/>
        <v>2.926E-6</v>
      </c>
      <c r="K315" s="19">
        <f t="shared" si="76"/>
        <v>5.8088092345078978E-4</v>
      </c>
      <c r="L315" s="19">
        <f t="shared" si="77"/>
        <v>0.36346549210206563</v>
      </c>
      <c r="M315" s="19">
        <f t="shared" si="78"/>
        <v>1.2447448359659781E-5</v>
      </c>
      <c r="N315" s="19">
        <f t="shared" si="85"/>
        <v>1.8728799615228837E-2</v>
      </c>
      <c r="O315" s="19">
        <v>272.36</v>
      </c>
      <c r="P315" s="19">
        <f t="shared" si="79"/>
        <v>6.8772152187120295E-2</v>
      </c>
      <c r="Q315" s="19">
        <f t="shared" si="80"/>
        <v>4.2321324422843259E-3</v>
      </c>
      <c r="R315" s="19">
        <f t="shared" si="81"/>
        <v>13.069820777642772</v>
      </c>
      <c r="S315" s="19">
        <f t="shared" si="82"/>
        <v>1.1064398541919806E-14</v>
      </c>
      <c r="T315" s="83">
        <f t="shared" si="83"/>
        <v>85.47161553684677</v>
      </c>
    </row>
    <row r="316" spans="1:20">
      <c r="A316" s="9" t="s">
        <v>1280</v>
      </c>
      <c r="B316" s="9" t="s">
        <v>11</v>
      </c>
      <c r="C316">
        <v>95</v>
      </c>
      <c r="D316" s="9">
        <v>1.1599999999999999</v>
      </c>
      <c r="E316">
        <v>8.9999999999999993E-3</v>
      </c>
      <c r="F316">
        <v>1.1599999999999999</v>
      </c>
      <c r="G316" s="1">
        <f t="shared" si="84"/>
        <v>1.6109999999999997E-6</v>
      </c>
      <c r="H316" s="19">
        <f t="shared" ref="H316:H342" si="86">CO2_YLL_charfact*C316</f>
        <v>-1.4362256986634261E-5</v>
      </c>
      <c r="I316" s="1">
        <f t="shared" ref="I316:I340" si="87">E316*0.00000133</f>
        <v>1.1969999999999999E-8</v>
      </c>
      <c r="J316" s="1">
        <f t="shared" ref="J316:J340" si="88">E316*0.000266</f>
        <v>2.3939999999999999E-6</v>
      </c>
      <c r="K316" s="19">
        <f>CO2_severewasting_charfact*C316</f>
        <v>6.3429526123936813E-4</v>
      </c>
      <c r="L316" s="19">
        <f>CO2_workingcapacity_charfact*C316</f>
        <v>0.39688760631834752</v>
      </c>
      <c r="M316" s="19">
        <f>CO2_diarrhea_charfact*C316</f>
        <v>1.3592041312272174E-5</v>
      </c>
      <c r="N316" s="19">
        <f t="shared" si="85"/>
        <v>1.8728799615228837E-2</v>
      </c>
      <c r="O316" s="19">
        <v>273.36</v>
      </c>
      <c r="P316" s="19">
        <f>CO2_meat_charfact*C316</f>
        <v>7.5096028250303759E-2</v>
      </c>
      <c r="Q316" s="19">
        <f>CO2_fish_charfact*C316</f>
        <v>4.6212940461725395E-3</v>
      </c>
      <c r="R316" s="19">
        <f>CO2_drinkingwater_charfact*C316</f>
        <v>14.271643377885784</v>
      </c>
      <c r="S316" s="19">
        <f>CO2_NEX_charfact*C316</f>
        <v>1.2081814499797489E-14</v>
      </c>
      <c r="T316" s="83">
        <f>(G316+H316)*YLLvalue+I316*skincancervalue+J316*Lowvisionvalue+K316*severe_wasting_value+L316*working_capacity+M316*diarrhea_value+N316*cropvalue+O316*woodvalue+P316*meatvalue+Q316*fishvalue+R316*drinkingwatervalue+S316*speciesvalue</f>
        <v>87.744275429714492</v>
      </c>
    </row>
    <row r="317" spans="1:20">
      <c r="A317" s="9" t="s">
        <v>1281</v>
      </c>
      <c r="B317" s="9" t="s">
        <v>11</v>
      </c>
      <c r="C317">
        <v>147</v>
      </c>
      <c r="D317" s="9">
        <v>1.1000000000000001</v>
      </c>
      <c r="E317">
        <v>1.2E-2</v>
      </c>
      <c r="F317">
        <v>1.1000000000000001</v>
      </c>
      <c r="G317" s="1">
        <f t="shared" si="84"/>
        <v>2.148E-6</v>
      </c>
      <c r="H317" s="19">
        <f t="shared" si="86"/>
        <v>-2.2223702916160381E-5</v>
      </c>
      <c r="I317" s="1">
        <f t="shared" si="87"/>
        <v>1.5959999999999999E-8</v>
      </c>
      <c r="J317" s="1">
        <f t="shared" si="88"/>
        <v>3.1920000000000001E-6</v>
      </c>
      <c r="K317" s="19">
        <f>CO2_severewasting_charfact*C317</f>
        <v>9.8148845686512752E-4</v>
      </c>
      <c r="L317" s="19">
        <f>CO2_workingcapacity_charfact*C317</f>
        <v>0.61413134872417985</v>
      </c>
      <c r="M317" s="19">
        <f>CO2_diarrhea_charfact*C317</f>
        <v>2.1031895504252734E-5</v>
      </c>
      <c r="N317" s="19">
        <f t="shared" si="85"/>
        <v>1.8728799615228837E-2</v>
      </c>
      <c r="O317" s="19">
        <v>274.36</v>
      </c>
      <c r="P317" s="19">
        <f>CO2_meat_charfact*C317</f>
        <v>0.11620122266099635</v>
      </c>
      <c r="Q317" s="19">
        <f>CO2_fish_charfact*C317</f>
        <v>7.15084447144593E-3</v>
      </c>
      <c r="R317" s="19">
        <f>CO2_drinkingwater_charfact*C317</f>
        <v>22.083490279465373</v>
      </c>
      <c r="S317" s="19">
        <f>CO2_NEX_charfact*C317</f>
        <v>1.8695018226002433E-14</v>
      </c>
      <c r="T317" s="83">
        <f>(G317+H317)*YLLvalue+I317*skincancervalue+J317*Lowvisionvalue+K317*severe_wasting_value+L317*working_capacity+M317*diarrhea_value+N317*cropvalue+O317*woodvalue+P317*meatvalue+Q317*fishvalue+R317*drinkingwatervalue+S317*speciesvalue</f>
        <v>101.5480524405547</v>
      </c>
    </row>
    <row r="318" spans="1:20">
      <c r="A318" s="9" t="s">
        <v>1282</v>
      </c>
      <c r="B318" s="9" t="s">
        <v>11</v>
      </c>
      <c r="C318">
        <v>58</v>
      </c>
      <c r="D318" s="9">
        <v>1.17</v>
      </c>
      <c r="E318">
        <v>8.9999999999999993E-3</v>
      </c>
      <c r="F318">
        <v>1.17</v>
      </c>
      <c r="G318" s="1">
        <f t="shared" si="84"/>
        <v>1.6109999999999997E-6</v>
      </c>
      <c r="H318" s="19">
        <f t="shared" si="86"/>
        <v>-8.7685358444714433E-6</v>
      </c>
      <c r="I318" s="1">
        <f t="shared" si="87"/>
        <v>1.1969999999999999E-8</v>
      </c>
      <c r="J318" s="1">
        <f t="shared" si="88"/>
        <v>2.3939999999999999E-6</v>
      </c>
      <c r="K318" s="19">
        <f>CO2_severewasting_charfact*C318</f>
        <v>3.8725394896719318E-4</v>
      </c>
      <c r="L318" s="19">
        <f>CO2_workingcapacity_charfact*C318</f>
        <v>0.24231032806804376</v>
      </c>
      <c r="M318" s="19">
        <f>CO2_diarrhea_charfact*C318</f>
        <v>8.2982989064398548E-6</v>
      </c>
      <c r="N318" s="19">
        <f t="shared" si="85"/>
        <v>1.8728799615228837E-2</v>
      </c>
      <c r="O318" s="19">
        <v>275.36</v>
      </c>
      <c r="P318" s="19">
        <f>CO2_meat_charfact*C318</f>
        <v>4.5848101458080194E-2</v>
      </c>
      <c r="Q318" s="19">
        <f>CO2_fish_charfact*C318</f>
        <v>2.8214216281895505E-3</v>
      </c>
      <c r="R318" s="19">
        <f>CO2_drinkingwater_charfact*C318</f>
        <v>8.7132138517618483</v>
      </c>
      <c r="S318" s="19">
        <f>CO2_NEX_charfact*C318</f>
        <v>7.3762656946132044E-15</v>
      </c>
      <c r="T318" s="83">
        <f>(G318+H318)*YLLvalue+I318*skincancervalue+J318*Lowvisionvalue+K318*severe_wasting_value+L318*working_capacity+M318*diarrhea_value+N318*cropvalue+O318*woodvalue+P318*meatvalue+Q318*fishvalue+R318*drinkingwatervalue+S318*speciesvalue</f>
        <v>78.585566469476305</v>
      </c>
    </row>
    <row r="319" spans="1:20">
      <c r="A319" s="9" t="s">
        <v>1283</v>
      </c>
      <c r="B319" s="9" t="s">
        <v>11</v>
      </c>
      <c r="C319">
        <v>132</v>
      </c>
      <c r="D319" s="9">
        <v>1.1200000000000001</v>
      </c>
      <c r="E319">
        <v>1.0999999999999999E-2</v>
      </c>
      <c r="F319">
        <v>1.1200000000000001</v>
      </c>
      <c r="G319" s="1">
        <f t="shared" si="84"/>
        <v>1.9689999999999997E-6</v>
      </c>
      <c r="H319" s="19">
        <f t="shared" si="86"/>
        <v>-1.9955978128797079E-5</v>
      </c>
      <c r="I319" s="1">
        <f t="shared" si="87"/>
        <v>1.4629999999999999E-8</v>
      </c>
      <c r="J319" s="1">
        <f t="shared" si="88"/>
        <v>2.926E-6</v>
      </c>
      <c r="K319" s="19">
        <f>CO2_severewasting_charfact*C319</f>
        <v>8.8133657351154319E-4</v>
      </c>
      <c r="L319" s="19">
        <f>CO2_workingcapacity_charfact*C319</f>
        <v>0.55146488456865128</v>
      </c>
      <c r="M319" s="19">
        <f>CO2_diarrhea_charfact*C319</f>
        <v>1.8885783718104495E-5</v>
      </c>
      <c r="N319" s="19">
        <f t="shared" si="85"/>
        <v>1.8728799615228837E-2</v>
      </c>
      <c r="O319" s="19">
        <v>276.36</v>
      </c>
      <c r="P319" s="19">
        <f>CO2_meat_charfact*C319</f>
        <v>0.10434395504252733</v>
      </c>
      <c r="Q319" s="19">
        <f>CO2_fish_charfact*C319</f>
        <v>6.421166464155529E-3</v>
      </c>
      <c r="R319" s="19">
        <f>CO2_drinkingwater_charfact*C319</f>
        <v>19.830072904009722</v>
      </c>
      <c r="S319" s="19">
        <f>CO2_NEX_charfact*C319</f>
        <v>1.6787363304981775E-14</v>
      </c>
      <c r="T319" s="83">
        <f>(G319+H319)*YLLvalue+I319*skincancervalue+J319*Lowvisionvalue+K319*severe_wasting_value+L319*working_capacity+M319*diarrhea_value+N319*cropvalue+O319*woodvalue+P319*meatvalue+Q319*fishvalue+R319*drinkingwatervalue+S319*speciesvalue</f>
        <v>98.090045353352721</v>
      </c>
    </row>
    <row r="320" spans="1:20">
      <c r="A320" s="9" t="s">
        <v>1284</v>
      </c>
      <c r="B320" s="9" t="s">
        <v>11</v>
      </c>
      <c r="C320">
        <v>36</v>
      </c>
      <c r="D320" s="9">
        <v>1.1499999999999999</v>
      </c>
      <c r="E320">
        <v>0.02</v>
      </c>
      <c r="F320">
        <v>1.1499999999999999</v>
      </c>
      <c r="G320" s="1">
        <f t="shared" si="84"/>
        <v>3.5799999999999996E-6</v>
      </c>
      <c r="H320" s="19">
        <f t="shared" si="86"/>
        <v>-5.4425394896719305E-6</v>
      </c>
      <c r="I320" s="1">
        <f t="shared" si="87"/>
        <v>2.66E-8</v>
      </c>
      <c r="J320" s="1">
        <f t="shared" si="88"/>
        <v>5.3200000000000007E-6</v>
      </c>
      <c r="K320" s="19">
        <f t="shared" ref="K320:K340" si="89">CO2_severewasting_charfact*C320</f>
        <v>2.4036452004860267E-4</v>
      </c>
      <c r="L320" s="19">
        <f t="shared" ref="L320:L340" si="90">CO2_workingcapacity_charfact*C320</f>
        <v>0.15039951397326853</v>
      </c>
      <c r="M320" s="19">
        <f t="shared" ref="M320:M340" si="91">CO2_diarrhea_charfact*C320</f>
        <v>5.1506682867557711E-6</v>
      </c>
      <c r="N320" s="19">
        <f t="shared" si="85"/>
        <v>1.8728799615228837E-2</v>
      </c>
      <c r="O320" s="19">
        <v>277.36</v>
      </c>
      <c r="P320" s="19">
        <f t="shared" ref="P320:P340" si="92">CO2_meat_charfact*C320</f>
        <v>2.8457442284325639E-2</v>
      </c>
      <c r="Q320" s="19">
        <f t="shared" ref="Q320:Q340" si="93">CO2_fish_charfact*C320</f>
        <v>1.7512272174969624E-3</v>
      </c>
      <c r="R320" s="19">
        <f t="shared" ref="R320:R340" si="94">CO2_drinkingwater_charfact*C320</f>
        <v>5.4082017010935601</v>
      </c>
      <c r="S320" s="19">
        <f t="shared" ref="S320:S340" si="95">CO2_NEX_charfact*C320</f>
        <v>4.5783718104495749E-15</v>
      </c>
      <c r="T320" s="83">
        <f t="shared" ref="T320:T340" si="96">(G320+H320)*YLLvalue+I320*skincancervalue+J320*Lowvisionvalue+K320*severe_wasting_value+L320*working_capacity+M320*diarrhea_value+N320*cropvalue+O320*woodvalue+P320*meatvalue+Q320*fishvalue+R320*drinkingwatervalue+S320*speciesvalue</f>
        <v>73.530169413440078</v>
      </c>
    </row>
    <row r="321" spans="1:20">
      <c r="A321" s="9" t="s">
        <v>1285</v>
      </c>
      <c r="B321" s="9" t="s">
        <v>11</v>
      </c>
      <c r="C321">
        <v>84</v>
      </c>
      <c r="D321" s="9">
        <v>1.0900000000000001</v>
      </c>
      <c r="E321">
        <v>3.1E-2</v>
      </c>
      <c r="F321">
        <v>1.0900000000000001</v>
      </c>
      <c r="G321" s="1">
        <f t="shared" si="84"/>
        <v>5.5489999999999997E-6</v>
      </c>
      <c r="H321" s="19">
        <f t="shared" si="86"/>
        <v>-1.2699258809234504E-5</v>
      </c>
      <c r="I321" s="1">
        <f t="shared" si="87"/>
        <v>4.1229999999999999E-8</v>
      </c>
      <c r="J321" s="1">
        <f t="shared" si="88"/>
        <v>8.2460000000000003E-6</v>
      </c>
      <c r="K321" s="19">
        <f t="shared" si="89"/>
        <v>5.6085054678007293E-4</v>
      </c>
      <c r="L321" s="19">
        <f t="shared" si="90"/>
        <v>0.35093219927095992</v>
      </c>
      <c r="M321" s="19">
        <f t="shared" si="91"/>
        <v>1.2018226002430133E-5</v>
      </c>
      <c r="N321" s="19">
        <f t="shared" si="85"/>
        <v>1.8728799615228837E-2</v>
      </c>
      <c r="O321" s="19">
        <v>278.36</v>
      </c>
      <c r="P321" s="19">
        <f t="shared" si="92"/>
        <v>6.6400698663426488E-2</v>
      </c>
      <c r="Q321" s="19">
        <f t="shared" si="93"/>
        <v>4.0861968408262457E-3</v>
      </c>
      <c r="R321" s="19">
        <f t="shared" si="94"/>
        <v>12.619137302551641</v>
      </c>
      <c r="S321" s="19">
        <f t="shared" si="95"/>
        <v>1.0682867557715675E-14</v>
      </c>
      <c r="T321" s="83">
        <f t="shared" si="96"/>
        <v>86.442329849746386</v>
      </c>
    </row>
    <row r="322" spans="1:20">
      <c r="A322" s="9" t="s">
        <v>1286</v>
      </c>
      <c r="B322" s="9" t="s">
        <v>11</v>
      </c>
      <c r="C322">
        <v>7</v>
      </c>
      <c r="D322" s="9">
        <v>1.31</v>
      </c>
      <c r="E322">
        <v>8.9999999999999993E-3</v>
      </c>
      <c r="F322">
        <v>1.31</v>
      </c>
      <c r="G322" s="1">
        <f t="shared" si="84"/>
        <v>1.6109999999999997E-6</v>
      </c>
      <c r="H322" s="19">
        <f t="shared" si="86"/>
        <v>-1.0582715674362086E-6</v>
      </c>
      <c r="I322" s="1">
        <f t="shared" si="87"/>
        <v>1.1969999999999999E-8</v>
      </c>
      <c r="J322" s="1">
        <f t="shared" si="88"/>
        <v>2.3939999999999999E-6</v>
      </c>
      <c r="K322" s="19">
        <f t="shared" si="89"/>
        <v>4.6737545565006078E-5</v>
      </c>
      <c r="L322" s="19">
        <f t="shared" si="90"/>
        <v>2.9244349939246662E-2</v>
      </c>
      <c r="M322" s="19">
        <f t="shared" si="91"/>
        <v>1.0015188335358446E-6</v>
      </c>
      <c r="N322" s="19">
        <f t="shared" si="85"/>
        <v>1.8728799615228837E-2</v>
      </c>
      <c r="O322" s="19">
        <v>279.36</v>
      </c>
      <c r="P322" s="19">
        <f t="shared" si="92"/>
        <v>5.5333915552855401E-3</v>
      </c>
      <c r="Q322" s="19">
        <f t="shared" si="93"/>
        <v>3.4051640340218711E-4</v>
      </c>
      <c r="R322" s="19">
        <f t="shared" si="94"/>
        <v>1.0515947752126369</v>
      </c>
      <c r="S322" s="19">
        <f t="shared" si="95"/>
        <v>8.9023896314297295E-16</v>
      </c>
      <c r="T322" s="83">
        <f t="shared" si="96"/>
        <v>66.24734601076959</v>
      </c>
    </row>
    <row r="323" spans="1:20">
      <c r="A323" s="9" t="s">
        <v>1287</v>
      </c>
      <c r="B323" s="9" t="s">
        <v>11</v>
      </c>
      <c r="C323">
        <v>14</v>
      </c>
      <c r="D323" s="9">
        <v>1.28</v>
      </c>
      <c r="E323">
        <v>8.9999999999999993E-3</v>
      </c>
      <c r="F323">
        <v>1.28</v>
      </c>
      <c r="G323" s="1">
        <f t="shared" ref="G323:G342" si="97">E323*0.000179</f>
        <v>1.6109999999999997E-6</v>
      </c>
      <c r="H323" s="19">
        <f t="shared" si="86"/>
        <v>-2.1165431348724172E-6</v>
      </c>
      <c r="I323" s="1">
        <f t="shared" si="87"/>
        <v>1.1969999999999999E-8</v>
      </c>
      <c r="J323" s="1">
        <f t="shared" si="88"/>
        <v>2.3939999999999999E-6</v>
      </c>
      <c r="K323" s="19">
        <f t="shared" si="89"/>
        <v>9.3475091130012155E-5</v>
      </c>
      <c r="L323" s="19">
        <f t="shared" si="90"/>
        <v>5.8488699878493325E-2</v>
      </c>
      <c r="M323" s="19">
        <f t="shared" si="91"/>
        <v>2.0030376670716891E-6</v>
      </c>
      <c r="N323" s="19">
        <f t="shared" si="85"/>
        <v>1.8728799615228837E-2</v>
      </c>
      <c r="O323" s="19">
        <v>280.36</v>
      </c>
      <c r="P323" s="19">
        <f t="shared" si="92"/>
        <v>1.106678311057108E-2</v>
      </c>
      <c r="Q323" s="19">
        <f t="shared" si="93"/>
        <v>6.8103280680437421E-4</v>
      </c>
      <c r="R323" s="19">
        <f t="shared" si="94"/>
        <v>2.1031895504252738</v>
      </c>
      <c r="S323" s="19">
        <f t="shared" si="95"/>
        <v>1.7804779262859459E-15</v>
      </c>
      <c r="T323" s="83">
        <f t="shared" si="96"/>
        <v>68.297101760003827</v>
      </c>
    </row>
    <row r="324" spans="1:20">
      <c r="A324" s="9" t="s">
        <v>1288</v>
      </c>
      <c r="B324" s="9" t="s">
        <v>11</v>
      </c>
      <c r="C324">
        <v>12</v>
      </c>
      <c r="D324" s="9">
        <v>1.29</v>
      </c>
      <c r="E324">
        <v>1.0999999999999999E-2</v>
      </c>
      <c r="F324">
        <v>1.29</v>
      </c>
      <c r="G324" s="1">
        <f t="shared" si="97"/>
        <v>1.9689999999999997E-6</v>
      </c>
      <c r="H324" s="19">
        <f t="shared" si="86"/>
        <v>-1.8141798298906434E-6</v>
      </c>
      <c r="I324" s="1">
        <f t="shared" si="87"/>
        <v>1.4629999999999999E-8</v>
      </c>
      <c r="J324" s="1">
        <f t="shared" si="88"/>
        <v>2.926E-6</v>
      </c>
      <c r="K324" s="19">
        <f t="shared" si="89"/>
        <v>8.0121506682867566E-5</v>
      </c>
      <c r="L324" s="19">
        <f t="shared" si="90"/>
        <v>5.0133171324422847E-2</v>
      </c>
      <c r="M324" s="19">
        <f t="shared" si="91"/>
        <v>1.7168894289185905E-6</v>
      </c>
      <c r="N324" s="19">
        <f t="shared" si="85"/>
        <v>1.8728799615228837E-2</v>
      </c>
      <c r="O324" s="19">
        <v>281.36</v>
      </c>
      <c r="P324" s="19">
        <f t="shared" si="92"/>
        <v>9.4858140947752124E-3</v>
      </c>
      <c r="Q324" s="19">
        <f t="shared" si="93"/>
        <v>5.8374240583232082E-4</v>
      </c>
      <c r="R324" s="19">
        <f t="shared" si="94"/>
        <v>1.8027339003645202</v>
      </c>
      <c r="S324" s="19">
        <f t="shared" si="95"/>
        <v>1.5261239368165251E-15</v>
      </c>
      <c r="T324" s="83">
        <f t="shared" si="96"/>
        <v>68.044232509336894</v>
      </c>
    </row>
    <row r="325" spans="1:20">
      <c r="A325" s="9" t="s">
        <v>1289</v>
      </c>
      <c r="B325" s="9" t="s">
        <v>11</v>
      </c>
      <c r="C325">
        <v>9</v>
      </c>
      <c r="D325" s="9">
        <v>1.41</v>
      </c>
      <c r="E325">
        <v>6.0000000000000001E-3</v>
      </c>
      <c r="F325">
        <v>1.41</v>
      </c>
      <c r="G325" s="1">
        <f t="shared" si="97"/>
        <v>1.074E-6</v>
      </c>
      <c r="H325" s="19">
        <f t="shared" si="86"/>
        <v>-1.3606348724179826E-6</v>
      </c>
      <c r="I325" s="1">
        <f t="shared" si="87"/>
        <v>7.9799999999999993E-9</v>
      </c>
      <c r="J325" s="1">
        <f t="shared" si="88"/>
        <v>1.5960000000000001E-6</v>
      </c>
      <c r="K325" s="19">
        <f t="shared" si="89"/>
        <v>6.0091130012150667E-5</v>
      </c>
      <c r="L325" s="19">
        <f t="shared" si="90"/>
        <v>3.7599878493317133E-2</v>
      </c>
      <c r="M325" s="19">
        <f t="shared" si="91"/>
        <v>1.2876670716889428E-6</v>
      </c>
      <c r="N325" s="19">
        <f t="shared" si="85"/>
        <v>1.8728799615228837E-2</v>
      </c>
      <c r="O325" s="19">
        <v>282.36</v>
      </c>
      <c r="P325" s="19">
        <f t="shared" si="92"/>
        <v>7.1143605710814097E-3</v>
      </c>
      <c r="Q325" s="19">
        <f t="shared" si="93"/>
        <v>4.3780680437424061E-4</v>
      </c>
      <c r="R325" s="19">
        <f t="shared" si="94"/>
        <v>1.35205042527339</v>
      </c>
      <c r="S325" s="19">
        <f t="shared" si="95"/>
        <v>1.1445929526123937E-15</v>
      </c>
      <c r="T325" s="83">
        <f t="shared" si="96"/>
        <v>67.401684779736513</v>
      </c>
    </row>
    <row r="326" spans="1:20">
      <c r="A326" s="9" t="s">
        <v>1290</v>
      </c>
      <c r="B326" s="9" t="s">
        <v>11</v>
      </c>
      <c r="C326">
        <v>20</v>
      </c>
      <c r="D326" s="9">
        <v>1.24</v>
      </c>
      <c r="E326">
        <v>1.0999999999999999E-2</v>
      </c>
      <c r="F326">
        <v>1.24</v>
      </c>
      <c r="G326" s="1">
        <f t="shared" si="97"/>
        <v>1.9689999999999997E-6</v>
      </c>
      <c r="H326" s="19">
        <f t="shared" si="86"/>
        <v>-3.0236330498177392E-6</v>
      </c>
      <c r="I326" s="1">
        <f t="shared" si="87"/>
        <v>1.4629999999999999E-8</v>
      </c>
      <c r="J326" s="1">
        <f t="shared" si="88"/>
        <v>2.926E-6</v>
      </c>
      <c r="K326" s="19">
        <f t="shared" si="89"/>
        <v>1.3353584447144592E-4</v>
      </c>
      <c r="L326" s="19">
        <f t="shared" si="90"/>
        <v>8.3555285540704738E-2</v>
      </c>
      <c r="M326" s="19">
        <f t="shared" si="91"/>
        <v>2.8614823815309842E-6</v>
      </c>
      <c r="N326" s="19">
        <f t="shared" si="85"/>
        <v>1.8728799615228837E-2</v>
      </c>
      <c r="O326" s="19">
        <v>283.36</v>
      </c>
      <c r="P326" s="19">
        <f t="shared" si="92"/>
        <v>1.5809690157958689E-2</v>
      </c>
      <c r="Q326" s="19">
        <f t="shared" si="93"/>
        <v>9.7290400972053462E-4</v>
      </c>
      <c r="R326" s="19">
        <f t="shared" si="94"/>
        <v>3.0045565006075337</v>
      </c>
      <c r="S326" s="19">
        <f t="shared" si="95"/>
        <v>2.5435398946942083E-15</v>
      </c>
      <c r="T326" s="83">
        <f t="shared" si="96"/>
        <v>70.583953365604629</v>
      </c>
    </row>
    <row r="327" spans="1:20">
      <c r="A327" s="9" t="s">
        <v>1291</v>
      </c>
      <c r="B327" s="9" t="s">
        <v>11</v>
      </c>
      <c r="C327">
        <v>9</v>
      </c>
      <c r="D327" s="9">
        <v>1.37</v>
      </c>
      <c r="E327">
        <v>6.0000000000000001E-3</v>
      </c>
      <c r="F327">
        <v>1.37</v>
      </c>
      <c r="G327" s="1">
        <f t="shared" si="97"/>
        <v>1.074E-6</v>
      </c>
      <c r="H327" s="19">
        <f t="shared" si="86"/>
        <v>-1.3606348724179826E-6</v>
      </c>
      <c r="I327" s="1">
        <f t="shared" si="87"/>
        <v>7.9799999999999993E-9</v>
      </c>
      <c r="J327" s="1">
        <f t="shared" si="88"/>
        <v>1.5960000000000001E-6</v>
      </c>
      <c r="K327" s="19">
        <f t="shared" si="89"/>
        <v>6.0091130012150667E-5</v>
      </c>
      <c r="L327" s="19">
        <f t="shared" si="90"/>
        <v>3.7599878493317133E-2</v>
      </c>
      <c r="M327" s="19">
        <f t="shared" si="91"/>
        <v>1.2876670716889428E-6</v>
      </c>
      <c r="N327" s="19">
        <f t="shared" si="85"/>
        <v>1.8728799615228837E-2</v>
      </c>
      <c r="O327" s="19">
        <v>284.36</v>
      </c>
      <c r="P327" s="19">
        <f t="shared" si="92"/>
        <v>7.1143605710814097E-3</v>
      </c>
      <c r="Q327" s="19">
        <f t="shared" si="93"/>
        <v>4.3780680437424061E-4</v>
      </c>
      <c r="R327" s="19">
        <f t="shared" si="94"/>
        <v>1.35205042527339</v>
      </c>
      <c r="S327" s="19">
        <f t="shared" si="95"/>
        <v>1.1445929526123937E-15</v>
      </c>
      <c r="T327" s="83">
        <f t="shared" si="96"/>
        <v>67.861684779736507</v>
      </c>
    </row>
    <row r="328" spans="1:20">
      <c r="A328" s="9" t="s">
        <v>1292</v>
      </c>
      <c r="B328" s="9" t="s">
        <v>11</v>
      </c>
      <c r="C328">
        <v>39</v>
      </c>
      <c r="D328" s="9">
        <v>1.25</v>
      </c>
      <c r="E328">
        <v>1.2999999999999999E-2</v>
      </c>
      <c r="F328">
        <v>1.25</v>
      </c>
      <c r="G328" s="1">
        <f t="shared" si="97"/>
        <v>2.3269999999999999E-6</v>
      </c>
      <c r="H328" s="19">
        <f t="shared" si="86"/>
        <v>-5.8960844471445913E-6</v>
      </c>
      <c r="I328" s="1">
        <f t="shared" si="87"/>
        <v>1.7289999999999998E-8</v>
      </c>
      <c r="J328" s="1">
        <f t="shared" si="88"/>
        <v>3.4580000000000002E-6</v>
      </c>
      <c r="K328" s="19">
        <f t="shared" si="89"/>
        <v>2.6039489671931957E-4</v>
      </c>
      <c r="L328" s="19">
        <f t="shared" si="90"/>
        <v>0.16293280680437425</v>
      </c>
      <c r="M328" s="19">
        <f t="shared" si="91"/>
        <v>5.5798906439854193E-6</v>
      </c>
      <c r="N328" s="19">
        <f t="shared" si="85"/>
        <v>1.8728799615228837E-2</v>
      </c>
      <c r="O328" s="19">
        <v>285.36</v>
      </c>
      <c r="P328" s="19">
        <f t="shared" si="92"/>
        <v>3.0828895808019442E-2</v>
      </c>
      <c r="Q328" s="19">
        <f t="shared" si="93"/>
        <v>1.8971628189550426E-3</v>
      </c>
      <c r="R328" s="19">
        <f t="shared" si="94"/>
        <v>5.8588851761846907</v>
      </c>
      <c r="S328" s="19">
        <f t="shared" si="95"/>
        <v>4.9599027946537061E-15</v>
      </c>
      <c r="T328" s="83">
        <f t="shared" si="96"/>
        <v>76.020351362640454</v>
      </c>
    </row>
    <row r="329" spans="1:20">
      <c r="A329" s="9" t="s">
        <v>1293</v>
      </c>
      <c r="B329" s="9" t="s">
        <v>11</v>
      </c>
      <c r="C329">
        <v>227</v>
      </c>
      <c r="D329" s="9">
        <v>1.06</v>
      </c>
      <c r="E329">
        <v>0.02</v>
      </c>
      <c r="F329">
        <v>1.06</v>
      </c>
      <c r="G329" s="1">
        <f t="shared" si="97"/>
        <v>3.5799999999999996E-6</v>
      </c>
      <c r="H329" s="19">
        <f t="shared" si="86"/>
        <v>-3.4318235115431341E-5</v>
      </c>
      <c r="I329" s="1">
        <f t="shared" si="87"/>
        <v>2.66E-8</v>
      </c>
      <c r="J329" s="1">
        <f t="shared" si="88"/>
        <v>5.3200000000000007E-6</v>
      </c>
      <c r="K329" s="19">
        <f t="shared" si="89"/>
        <v>1.5156318347509113E-3</v>
      </c>
      <c r="L329" s="19">
        <f t="shared" si="90"/>
        <v>0.9483524908869988</v>
      </c>
      <c r="M329" s="19">
        <f t="shared" si="91"/>
        <v>3.2477825030376673E-5</v>
      </c>
      <c r="N329" s="19">
        <f t="shared" si="85"/>
        <v>1.8728799615228837E-2</v>
      </c>
      <c r="O329" s="19">
        <v>286.36</v>
      </c>
      <c r="P329" s="19">
        <f t="shared" si="92"/>
        <v>0.17943998329283109</v>
      </c>
      <c r="Q329" s="19">
        <f t="shared" si="93"/>
        <v>1.1042460510328068E-2</v>
      </c>
      <c r="R329" s="19">
        <f t="shared" si="94"/>
        <v>34.101716281895506</v>
      </c>
      <c r="S329" s="19">
        <f t="shared" si="95"/>
        <v>2.8869177804779264E-14</v>
      </c>
      <c r="T329" s="83">
        <f t="shared" si="96"/>
        <v>125.25350485683188</v>
      </c>
    </row>
    <row r="330" spans="1:20">
      <c r="A330" s="9" t="s">
        <v>1294</v>
      </c>
      <c r="B330" s="9" t="s">
        <v>11</v>
      </c>
      <c r="C330">
        <v>196</v>
      </c>
      <c r="D330" s="9">
        <v>1.06</v>
      </c>
      <c r="E330">
        <v>1.9E-2</v>
      </c>
      <c r="F330">
        <v>1.06</v>
      </c>
      <c r="G330" s="1">
        <f t="shared" si="97"/>
        <v>3.4009999999999997E-6</v>
      </c>
      <c r="H330" s="19">
        <f t="shared" si="86"/>
        <v>-2.9631603888213844E-5</v>
      </c>
      <c r="I330" s="1">
        <f t="shared" si="87"/>
        <v>2.5269999999999997E-8</v>
      </c>
      <c r="J330" s="1">
        <f t="shared" si="88"/>
        <v>5.0540000000000002E-6</v>
      </c>
      <c r="K330" s="19">
        <f t="shared" si="89"/>
        <v>1.3086512758201702E-3</v>
      </c>
      <c r="L330" s="19">
        <f t="shared" si="90"/>
        <v>0.81884179829890646</v>
      </c>
      <c r="M330" s="19">
        <f t="shared" si="91"/>
        <v>2.8042527339003645E-5</v>
      </c>
      <c r="N330" s="19">
        <f t="shared" si="85"/>
        <v>1.8728799615228837E-2</v>
      </c>
      <c r="O330" s="19">
        <v>287.36</v>
      </c>
      <c r="P330" s="19">
        <f t="shared" si="92"/>
        <v>0.15493496354799513</v>
      </c>
      <c r="Q330" s="19">
        <f t="shared" si="93"/>
        <v>9.5344592952612394E-3</v>
      </c>
      <c r="R330" s="19">
        <f t="shared" si="94"/>
        <v>29.444653705953829</v>
      </c>
      <c r="S330" s="19">
        <f t="shared" si="95"/>
        <v>2.4926690968003243E-14</v>
      </c>
      <c r="T330" s="83">
        <f t="shared" si="96"/>
        <v>117.40605605709446</v>
      </c>
    </row>
    <row r="331" spans="1:20">
      <c r="A331" s="9" t="s">
        <v>1295</v>
      </c>
      <c r="B331" s="9" t="s">
        <v>11</v>
      </c>
      <c r="C331">
        <v>29</v>
      </c>
      <c r="D331" s="9">
        <v>1.17</v>
      </c>
      <c r="E331">
        <v>8.9999999999999993E-3</v>
      </c>
      <c r="F331">
        <v>1.17</v>
      </c>
      <c r="G331" s="1">
        <f t="shared" si="97"/>
        <v>1.6109999999999997E-6</v>
      </c>
      <c r="H331" s="19">
        <f t="shared" si="86"/>
        <v>-4.3842679222357216E-6</v>
      </c>
      <c r="I331" s="1">
        <f t="shared" si="87"/>
        <v>1.1969999999999999E-8</v>
      </c>
      <c r="J331" s="1">
        <f t="shared" si="88"/>
        <v>2.3939999999999999E-6</v>
      </c>
      <c r="K331" s="19">
        <f t="shared" si="89"/>
        <v>1.9362697448359659E-4</v>
      </c>
      <c r="L331" s="19">
        <f t="shared" si="90"/>
        <v>0.12115516403402188</v>
      </c>
      <c r="M331" s="19">
        <f t="shared" si="91"/>
        <v>4.1491494532199274E-6</v>
      </c>
      <c r="N331" s="19">
        <f t="shared" si="85"/>
        <v>1.8728799615228837E-2</v>
      </c>
      <c r="O331" s="19">
        <v>288.36</v>
      </c>
      <c r="P331" s="19">
        <f t="shared" si="92"/>
        <v>2.2924050729040097E-2</v>
      </c>
      <c r="Q331" s="19">
        <f t="shared" si="93"/>
        <v>1.4107108140947752E-3</v>
      </c>
      <c r="R331" s="19">
        <f t="shared" si="94"/>
        <v>4.3566069258809241</v>
      </c>
      <c r="S331" s="19">
        <f t="shared" si="95"/>
        <v>3.6881328473066022E-15</v>
      </c>
      <c r="T331" s="83">
        <f t="shared" si="96"/>
        <v>74.036578365505804</v>
      </c>
    </row>
    <row r="332" spans="1:20">
      <c r="A332" s="9" t="s">
        <v>1296</v>
      </c>
      <c r="B332" s="9" t="s">
        <v>11</v>
      </c>
      <c r="C332">
        <v>28</v>
      </c>
      <c r="D332" s="9">
        <v>1.22</v>
      </c>
      <c r="E332">
        <v>7.0000000000000001E-3</v>
      </c>
      <c r="F332">
        <v>1.22</v>
      </c>
      <c r="G332" s="1">
        <f t="shared" si="97"/>
        <v>1.2529999999999999E-6</v>
      </c>
      <c r="H332" s="19">
        <f t="shared" si="86"/>
        <v>-4.2330862697448344E-6</v>
      </c>
      <c r="I332" s="1">
        <f t="shared" si="87"/>
        <v>9.3100000000000003E-9</v>
      </c>
      <c r="J332" s="1">
        <f t="shared" si="88"/>
        <v>1.8620000000000001E-6</v>
      </c>
      <c r="K332" s="19">
        <f t="shared" si="89"/>
        <v>1.8695018226002431E-4</v>
      </c>
      <c r="L332" s="19">
        <f t="shared" si="90"/>
        <v>0.11697739975698665</v>
      </c>
      <c r="M332" s="19">
        <f t="shared" si="91"/>
        <v>4.0060753341433783E-6</v>
      </c>
      <c r="N332" s="19">
        <f t="shared" si="85"/>
        <v>1.8728799615228837E-2</v>
      </c>
      <c r="O332" s="19">
        <v>289.36</v>
      </c>
      <c r="P332" s="19">
        <f t="shared" si="92"/>
        <v>2.213356622114216E-2</v>
      </c>
      <c r="Q332" s="19">
        <f t="shared" si="93"/>
        <v>1.3620656136087484E-3</v>
      </c>
      <c r="R332" s="19">
        <f t="shared" si="94"/>
        <v>4.2063791008505476</v>
      </c>
      <c r="S332" s="19">
        <f t="shared" si="95"/>
        <v>3.5609558525718918E-15</v>
      </c>
      <c r="T332" s="83">
        <f t="shared" si="96"/>
        <v>73.969552295072361</v>
      </c>
    </row>
    <row r="333" spans="1:20">
      <c r="A333" s="9" t="s">
        <v>1297</v>
      </c>
      <c r="B333" s="9" t="s">
        <v>11</v>
      </c>
      <c r="C333">
        <v>29</v>
      </c>
      <c r="D333" s="9">
        <v>1.19</v>
      </c>
      <c r="E333">
        <v>8.9999999999999993E-3</v>
      </c>
      <c r="F333">
        <v>1.19</v>
      </c>
      <c r="G333" s="1">
        <f t="shared" si="97"/>
        <v>1.6109999999999997E-6</v>
      </c>
      <c r="H333" s="19">
        <f t="shared" si="86"/>
        <v>-4.3842679222357216E-6</v>
      </c>
      <c r="I333" s="1">
        <f t="shared" si="87"/>
        <v>1.1969999999999999E-8</v>
      </c>
      <c r="J333" s="1">
        <f t="shared" si="88"/>
        <v>2.3939999999999999E-6</v>
      </c>
      <c r="K333" s="19">
        <f t="shared" si="89"/>
        <v>1.9362697448359659E-4</v>
      </c>
      <c r="L333" s="19">
        <f t="shared" si="90"/>
        <v>0.12115516403402188</v>
      </c>
      <c r="M333" s="19">
        <f t="shared" si="91"/>
        <v>4.1491494532199274E-6</v>
      </c>
      <c r="N333" s="19">
        <f t="shared" si="85"/>
        <v>1.8728799615228837E-2</v>
      </c>
      <c r="O333" s="19">
        <v>290.36</v>
      </c>
      <c r="P333" s="19">
        <f t="shared" si="92"/>
        <v>2.2924050729040097E-2</v>
      </c>
      <c r="Q333" s="19">
        <f t="shared" si="93"/>
        <v>1.4107108140947752E-3</v>
      </c>
      <c r="R333" s="19">
        <f t="shared" si="94"/>
        <v>4.3566069258809241</v>
      </c>
      <c r="S333" s="19">
        <f t="shared" si="95"/>
        <v>3.6881328473066022E-15</v>
      </c>
      <c r="T333" s="83">
        <f t="shared" si="96"/>
        <v>74.496578365505812</v>
      </c>
    </row>
    <row r="334" spans="1:20">
      <c r="A334" s="9" t="s">
        <v>1298</v>
      </c>
      <c r="B334" s="9" t="s">
        <v>11</v>
      </c>
      <c r="C334">
        <v>35</v>
      </c>
      <c r="D334" s="9">
        <v>1.22</v>
      </c>
      <c r="E334">
        <v>7.0000000000000001E-3</v>
      </c>
      <c r="F334">
        <v>1.22</v>
      </c>
      <c r="G334" s="1">
        <f t="shared" si="97"/>
        <v>1.2529999999999999E-6</v>
      </c>
      <c r="H334" s="19">
        <f t="shared" si="86"/>
        <v>-5.2913578371810432E-6</v>
      </c>
      <c r="I334" s="1">
        <f t="shared" si="87"/>
        <v>9.3100000000000003E-9</v>
      </c>
      <c r="J334" s="1">
        <f t="shared" si="88"/>
        <v>1.8620000000000001E-6</v>
      </c>
      <c r="K334" s="19">
        <f t="shared" si="89"/>
        <v>2.3368772782503039E-4</v>
      </c>
      <c r="L334" s="19">
        <f t="shared" si="90"/>
        <v>0.14622174969623331</v>
      </c>
      <c r="M334" s="19">
        <f t="shared" si="91"/>
        <v>5.007594167679222E-6</v>
      </c>
      <c r="N334" s="19">
        <f t="shared" si="85"/>
        <v>1.8728799615228837E-2</v>
      </c>
      <c r="O334" s="19">
        <v>291.36</v>
      </c>
      <c r="P334" s="19">
        <f t="shared" si="92"/>
        <v>2.7666957776427702E-2</v>
      </c>
      <c r="Q334" s="19">
        <f t="shared" si="93"/>
        <v>1.7025820170109356E-3</v>
      </c>
      <c r="R334" s="19">
        <f t="shared" si="94"/>
        <v>5.2579738760631836</v>
      </c>
      <c r="S334" s="19">
        <f t="shared" si="95"/>
        <v>4.4511948157148645E-15</v>
      </c>
      <c r="T334" s="83">
        <f t="shared" si="96"/>
        <v>76.249308044306616</v>
      </c>
    </row>
    <row r="335" spans="1:20">
      <c r="A335" s="9" t="s">
        <v>1299</v>
      </c>
      <c r="B335" s="9" t="s">
        <v>11</v>
      </c>
      <c r="C335">
        <v>37</v>
      </c>
      <c r="D335" s="9">
        <v>1.19</v>
      </c>
      <c r="E335">
        <v>8.0000000000000002E-3</v>
      </c>
      <c r="F335">
        <v>1.19</v>
      </c>
      <c r="G335" s="1">
        <f t="shared" si="97"/>
        <v>1.432E-6</v>
      </c>
      <c r="H335" s="19">
        <f t="shared" si="86"/>
        <v>-5.5937211421628168E-6</v>
      </c>
      <c r="I335" s="1">
        <f t="shared" si="87"/>
        <v>1.064E-8</v>
      </c>
      <c r="J335" s="1">
        <f t="shared" si="88"/>
        <v>2.1280000000000002E-6</v>
      </c>
      <c r="K335" s="19">
        <f t="shared" si="89"/>
        <v>2.4704131227217495E-4</v>
      </c>
      <c r="L335" s="19">
        <f t="shared" si="90"/>
        <v>0.15457727825030379</v>
      </c>
      <c r="M335" s="19">
        <f t="shared" si="91"/>
        <v>5.2937424058323211E-6</v>
      </c>
      <c r="N335" s="19">
        <f t="shared" si="85"/>
        <v>1.8728799615228837E-2</v>
      </c>
      <c r="O335" s="19">
        <v>292.36</v>
      </c>
      <c r="P335" s="19">
        <f t="shared" si="92"/>
        <v>2.9247926792223572E-2</v>
      </c>
      <c r="Q335" s="19">
        <f t="shared" si="93"/>
        <v>1.799872417982989E-3</v>
      </c>
      <c r="R335" s="19">
        <f t="shared" si="94"/>
        <v>5.5584295261239376</v>
      </c>
      <c r="S335" s="19">
        <f t="shared" si="95"/>
        <v>4.7055488051842853E-15</v>
      </c>
      <c r="T335" s="83">
        <f t="shared" si="96"/>
        <v>77.017768740073521</v>
      </c>
    </row>
    <row r="336" spans="1:20">
      <c r="A336" s="9" t="s">
        <v>1300</v>
      </c>
      <c r="B336" s="9" t="s">
        <v>11</v>
      </c>
      <c r="C336">
        <v>46</v>
      </c>
      <c r="D336" s="9">
        <v>1.18</v>
      </c>
      <c r="E336">
        <v>8.9999999999999993E-3</v>
      </c>
      <c r="F336">
        <v>1.18</v>
      </c>
      <c r="G336" s="1">
        <f t="shared" si="97"/>
        <v>1.6109999999999997E-6</v>
      </c>
      <c r="H336" s="19">
        <f t="shared" si="86"/>
        <v>-6.9543560145808001E-6</v>
      </c>
      <c r="I336" s="1">
        <f t="shared" si="87"/>
        <v>1.1969999999999999E-8</v>
      </c>
      <c r="J336" s="1">
        <f t="shared" si="88"/>
        <v>2.3939999999999999E-6</v>
      </c>
      <c r="K336" s="19">
        <f t="shared" si="89"/>
        <v>3.0713244228432565E-4</v>
      </c>
      <c r="L336" s="19">
        <f t="shared" si="90"/>
        <v>0.1921771567436209</v>
      </c>
      <c r="M336" s="19">
        <f t="shared" si="91"/>
        <v>6.5814094775212638E-6</v>
      </c>
      <c r="N336" s="19">
        <f t="shared" si="85"/>
        <v>1.8728799615228837E-2</v>
      </c>
      <c r="O336" s="19">
        <v>293.36</v>
      </c>
      <c r="P336" s="19">
        <f t="shared" si="92"/>
        <v>3.6362287363304983E-2</v>
      </c>
      <c r="Q336" s="19">
        <f t="shared" si="93"/>
        <v>2.2376792223572296E-3</v>
      </c>
      <c r="R336" s="19">
        <f t="shared" si="94"/>
        <v>6.9104799513973276</v>
      </c>
      <c r="S336" s="19">
        <f t="shared" si="95"/>
        <v>5.8501417577966789E-15</v>
      </c>
      <c r="T336" s="83">
        <f t="shared" si="96"/>
        <v>79.605985185074715</v>
      </c>
    </row>
    <row r="337" spans="1:20">
      <c r="A337" s="9" t="s">
        <v>1301</v>
      </c>
      <c r="B337" s="9" t="s">
        <v>11</v>
      </c>
      <c r="C337">
        <v>107</v>
      </c>
      <c r="D337" s="9">
        <v>1.1399999999999999</v>
      </c>
      <c r="E337">
        <v>1.0999999999999999E-2</v>
      </c>
      <c r="F337">
        <v>1.1399999999999999</v>
      </c>
      <c r="G337" s="1">
        <f t="shared" si="97"/>
        <v>1.9689999999999997E-6</v>
      </c>
      <c r="H337" s="19">
        <f t="shared" si="86"/>
        <v>-1.6176436816524902E-5</v>
      </c>
      <c r="I337" s="1">
        <f t="shared" si="87"/>
        <v>1.4629999999999999E-8</v>
      </c>
      <c r="J337" s="1">
        <f t="shared" si="88"/>
        <v>2.926E-6</v>
      </c>
      <c r="K337" s="19">
        <f t="shared" si="89"/>
        <v>7.1441676792223573E-4</v>
      </c>
      <c r="L337" s="19">
        <f t="shared" si="90"/>
        <v>0.44702077764277037</v>
      </c>
      <c r="M337" s="19">
        <f t="shared" si="91"/>
        <v>1.5308930741190767E-5</v>
      </c>
      <c r="N337" s="19">
        <f t="shared" si="85"/>
        <v>1.8728799615228837E-2</v>
      </c>
      <c r="O337" s="19">
        <v>294.36</v>
      </c>
      <c r="P337" s="19">
        <f t="shared" si="92"/>
        <v>8.4581842345078984E-2</v>
      </c>
      <c r="Q337" s="19">
        <f t="shared" si="93"/>
        <v>5.2050364520048603E-3</v>
      </c>
      <c r="R337" s="19">
        <f t="shared" si="94"/>
        <v>16.074377278250306</v>
      </c>
      <c r="S337" s="19">
        <f t="shared" si="95"/>
        <v>1.3607938436614015E-14</v>
      </c>
      <c r="T337" s="83">
        <f t="shared" si="96"/>
        <v>95.730917677516089</v>
      </c>
    </row>
    <row r="338" spans="1:20">
      <c r="A338" s="9" t="s">
        <v>1302</v>
      </c>
      <c r="B338" s="9" t="s">
        <v>11</v>
      </c>
      <c r="C338">
        <v>338</v>
      </c>
      <c r="D338" s="9">
        <v>1.04</v>
      </c>
      <c r="E338">
        <v>2.8000000000000001E-2</v>
      </c>
      <c r="F338">
        <v>1.04</v>
      </c>
      <c r="G338" s="1">
        <f t="shared" si="97"/>
        <v>5.0119999999999996E-6</v>
      </c>
      <c r="H338" s="19">
        <f t="shared" si="86"/>
        <v>-5.1099398541919789E-5</v>
      </c>
      <c r="I338" s="1">
        <f t="shared" si="87"/>
        <v>3.7240000000000001E-8</v>
      </c>
      <c r="J338" s="1">
        <f t="shared" si="88"/>
        <v>7.4480000000000005E-6</v>
      </c>
      <c r="K338" s="19">
        <f t="shared" si="89"/>
        <v>2.2567557715674363E-3</v>
      </c>
      <c r="L338" s="19">
        <f t="shared" si="90"/>
        <v>1.4120843256379101</v>
      </c>
      <c r="M338" s="19">
        <f t="shared" si="91"/>
        <v>4.8359052247873632E-5</v>
      </c>
      <c r="N338" s="19">
        <f t="shared" si="85"/>
        <v>1.8728799615228837E-2</v>
      </c>
      <c r="O338" s="19">
        <v>295.36</v>
      </c>
      <c r="P338" s="19">
        <f t="shared" si="92"/>
        <v>0.26718376366950181</v>
      </c>
      <c r="Q338" s="19">
        <f t="shared" si="93"/>
        <v>1.6442077764277037E-2</v>
      </c>
      <c r="R338" s="19">
        <f t="shared" si="94"/>
        <v>50.777004860267319</v>
      </c>
      <c r="S338" s="19">
        <f t="shared" si="95"/>
        <v>4.2985824220332122E-14</v>
      </c>
      <c r="T338" s="83">
        <f t="shared" si="96"/>
        <v>156.32787559114649</v>
      </c>
    </row>
    <row r="339" spans="1:20">
      <c r="A339" s="9" t="s">
        <v>1303</v>
      </c>
      <c r="B339" s="9" t="s">
        <v>11</v>
      </c>
      <c r="C339">
        <v>5</v>
      </c>
      <c r="D339" s="9">
        <v>1.41</v>
      </c>
      <c r="E339">
        <v>4.0000000000000001E-3</v>
      </c>
      <c r="F339">
        <v>1.41</v>
      </c>
      <c r="G339" s="1">
        <f t="shared" si="97"/>
        <v>7.1600000000000001E-7</v>
      </c>
      <c r="H339" s="19">
        <f t="shared" si="86"/>
        <v>-7.5590826245443481E-7</v>
      </c>
      <c r="I339" s="1">
        <f t="shared" si="87"/>
        <v>5.3199999999999998E-9</v>
      </c>
      <c r="J339" s="1">
        <f t="shared" si="88"/>
        <v>1.0640000000000001E-6</v>
      </c>
      <c r="K339" s="19">
        <f t="shared" si="89"/>
        <v>3.3383961117861481E-5</v>
      </c>
      <c r="L339" s="19">
        <f t="shared" si="90"/>
        <v>2.0888821385176184E-2</v>
      </c>
      <c r="M339" s="19">
        <f t="shared" si="91"/>
        <v>7.1537059538274605E-7</v>
      </c>
      <c r="N339" s="19">
        <f t="shared" si="85"/>
        <v>1.8728799615228837E-2</v>
      </c>
      <c r="O339" s="19">
        <v>296.36</v>
      </c>
      <c r="P339" s="19">
        <f t="shared" si="92"/>
        <v>3.9524225394896723E-3</v>
      </c>
      <c r="Q339" s="19">
        <f t="shared" si="93"/>
        <v>2.4322600243013365E-4</v>
      </c>
      <c r="R339" s="19">
        <f t="shared" si="94"/>
        <v>0.75113912515188341</v>
      </c>
      <c r="S339" s="19">
        <f t="shared" si="95"/>
        <v>6.3588497367355206E-16</v>
      </c>
      <c r="T339" s="83">
        <f t="shared" si="96"/>
        <v>69.544763388202654</v>
      </c>
    </row>
    <row r="340" spans="1:20">
      <c r="A340" s="9" t="s">
        <v>1304</v>
      </c>
      <c r="B340" s="9" t="s">
        <v>11</v>
      </c>
      <c r="C340">
        <v>6</v>
      </c>
      <c r="D340" s="9">
        <v>1.47</v>
      </c>
      <c r="E340">
        <v>4.0000000000000001E-3</v>
      </c>
      <c r="F340">
        <v>1.47</v>
      </c>
      <c r="G340" s="1">
        <f t="shared" si="97"/>
        <v>7.1600000000000001E-7</v>
      </c>
      <c r="H340" s="19">
        <f t="shared" si="86"/>
        <v>-9.0708991494532171E-7</v>
      </c>
      <c r="I340" s="1">
        <f t="shared" si="87"/>
        <v>5.3199999999999998E-9</v>
      </c>
      <c r="J340" s="1">
        <f t="shared" si="88"/>
        <v>1.0640000000000001E-6</v>
      </c>
      <c r="K340" s="19">
        <f t="shared" si="89"/>
        <v>4.0060753341433783E-5</v>
      </c>
      <c r="L340" s="19">
        <f t="shared" si="90"/>
        <v>2.5066585662211423E-2</v>
      </c>
      <c r="M340" s="19">
        <f t="shared" si="91"/>
        <v>8.5844471445929525E-7</v>
      </c>
      <c r="N340" s="19">
        <f t="shared" si="85"/>
        <v>1.8728799615228837E-2</v>
      </c>
      <c r="O340" s="19">
        <v>297.36</v>
      </c>
      <c r="P340" s="19">
        <f t="shared" si="92"/>
        <v>4.7429070473876062E-3</v>
      </c>
      <c r="Q340" s="19">
        <f t="shared" si="93"/>
        <v>2.9187120291616041E-4</v>
      </c>
      <c r="R340" s="19">
        <f t="shared" si="94"/>
        <v>0.9013669501822601</v>
      </c>
      <c r="S340" s="19">
        <f t="shared" si="95"/>
        <v>7.6306196840826256E-16</v>
      </c>
      <c r="T340" s="83">
        <f t="shared" si="96"/>
        <v>70.034728495236124</v>
      </c>
    </row>
    <row r="341" spans="1:20">
      <c r="A341" s="9" t="s">
        <v>1305</v>
      </c>
      <c r="B341" s="9" t="s">
        <v>11</v>
      </c>
      <c r="C341">
        <v>6</v>
      </c>
      <c r="D341" s="9">
        <v>1.41</v>
      </c>
      <c r="E341">
        <v>4.0000000000000001E-3</v>
      </c>
      <c r="F341">
        <v>1.41</v>
      </c>
      <c r="G341" s="1">
        <f t="shared" si="97"/>
        <v>7.1600000000000001E-7</v>
      </c>
      <c r="H341" s="19">
        <f t="shared" si="86"/>
        <v>-9.0708991494532171E-7</v>
      </c>
      <c r="I341" s="1">
        <f>E341*0.00000133</f>
        <v>5.3199999999999998E-9</v>
      </c>
      <c r="J341" s="1">
        <f>E341*0.000266</f>
        <v>1.0640000000000001E-6</v>
      </c>
      <c r="K341" s="19">
        <f>CO2_severewasting_charfact*C341</f>
        <v>4.0060753341433783E-5</v>
      </c>
      <c r="L341" s="19">
        <f>CO2_workingcapacity_charfact*C341</f>
        <v>2.5066585662211423E-2</v>
      </c>
      <c r="M341" s="19">
        <f>CO2_diarrhea_charfact*C341</f>
        <v>8.5844471445929525E-7</v>
      </c>
      <c r="N341" s="19">
        <f t="shared" si="85"/>
        <v>1.8728799615228837E-2</v>
      </c>
      <c r="O341" s="19">
        <v>298.36</v>
      </c>
      <c r="P341" s="19">
        <f>CO2_meat_charfact*C341</f>
        <v>4.7429070473876062E-3</v>
      </c>
      <c r="Q341" s="19">
        <f>CO2_fish_charfact*C341</f>
        <v>2.9187120291616041E-4</v>
      </c>
      <c r="R341" s="19">
        <f>CO2_drinkingwater_charfact*C341</f>
        <v>0.9013669501822601</v>
      </c>
      <c r="S341" s="19">
        <f>CO2_NEX_charfact*C341</f>
        <v>7.6306196840826256E-16</v>
      </c>
      <c r="T341" s="83">
        <f>(G341+H341)*YLLvalue+I341*skincancervalue+J341*Lowvisionvalue+K341*severe_wasting_value+L341*working_capacity+M341*diarrhea_value+N341*cropvalue+O341*woodvalue+P341*meatvalue+Q341*fishvalue+R341*drinkingwatervalue+S341*speciesvalue</f>
        <v>70.264728495236128</v>
      </c>
    </row>
    <row r="342" spans="1:20">
      <c r="A342" s="9" t="s">
        <v>1306</v>
      </c>
      <c r="B342" s="9" t="s">
        <v>11</v>
      </c>
      <c r="C342">
        <v>20</v>
      </c>
      <c r="D342" s="9">
        <v>1.3</v>
      </c>
      <c r="E342">
        <v>7.0000000000000001E-3</v>
      </c>
      <c r="F342">
        <v>1.3</v>
      </c>
      <c r="G342" s="1">
        <f t="shared" si="97"/>
        <v>1.2529999999999999E-6</v>
      </c>
      <c r="H342" s="19">
        <f t="shared" si="86"/>
        <v>-3.0236330498177392E-6</v>
      </c>
      <c r="I342" s="1">
        <f>E342*0.00000133</f>
        <v>9.3100000000000003E-9</v>
      </c>
      <c r="J342" s="1">
        <f>E342*0.000266</f>
        <v>1.8620000000000001E-6</v>
      </c>
      <c r="K342" s="19">
        <f>CO2_severewasting_charfact*C342</f>
        <v>1.3353584447144592E-4</v>
      </c>
      <c r="L342" s="19">
        <f>CO2_workingcapacity_charfact*C342</f>
        <v>8.3555285540704738E-2</v>
      </c>
      <c r="M342" s="19">
        <f>CO2_diarrhea_charfact*C342</f>
        <v>2.8614823815309842E-6</v>
      </c>
      <c r="N342" s="19">
        <f t="shared" si="85"/>
        <v>1.8728799615228837E-2</v>
      </c>
      <c r="O342" s="19">
        <v>299.36</v>
      </c>
      <c r="P342" s="19">
        <f>CO2_meat_charfact*C342</f>
        <v>1.5809690157958689E-2</v>
      </c>
      <c r="Q342" s="19">
        <f>CO2_fish_charfact*C342</f>
        <v>9.7290400972053462E-4</v>
      </c>
      <c r="R342" s="19">
        <f>CO2_drinkingwater_charfact*C342</f>
        <v>3.0045565006075337</v>
      </c>
      <c r="S342" s="19">
        <f>CO2_NEX_charfact*C342</f>
        <v>2.5435398946942083E-15</v>
      </c>
      <c r="T342" s="83">
        <f>(G342+H342)*YLLvalue+I342*skincancervalue+J342*Lowvisionvalue+K342*severe_wasting_value+L342*working_capacity+M342*diarrhea_value+N342*cropvalue+O342*woodvalue+P342*meatvalue+Q342*fishvalue+R342*drinkingwatervalue+S342*speciesvalue</f>
        <v>74.189831438804617</v>
      </c>
    </row>
    <row r="343" spans="1:20">
      <c r="A343" s="2" t="s">
        <v>1307</v>
      </c>
      <c r="B343" s="2"/>
      <c r="D343" s="9"/>
      <c r="G343" s="1"/>
      <c r="H343" s="18"/>
      <c r="I343" s="1"/>
      <c r="J343" s="1"/>
      <c r="K343" s="18"/>
      <c r="L343" s="18"/>
      <c r="M343" s="18"/>
      <c r="N343" s="18"/>
      <c r="O343" s="18"/>
      <c r="P343" s="18"/>
      <c r="Q343" s="18"/>
      <c r="R343" s="18"/>
      <c r="S343" s="18"/>
      <c r="T343" s="84"/>
    </row>
    <row r="344" spans="1:20">
      <c r="A344" t="s">
        <v>1008</v>
      </c>
      <c r="B344" s="9" t="s">
        <v>11</v>
      </c>
      <c r="C344">
        <v>0.01</v>
      </c>
      <c r="D344" s="9">
        <v>1.2</v>
      </c>
      <c r="E344">
        <v>0</v>
      </c>
      <c r="F344">
        <v>1</v>
      </c>
      <c r="G344" s="1">
        <f>E344*0.000179</f>
        <v>0</v>
      </c>
      <c r="H344" s="19">
        <f>CO2_YLL_charfact*C344</f>
        <v>-1.5118165249088695E-9</v>
      </c>
      <c r="I344" s="1">
        <f>E344*0.00000133</f>
        <v>0</v>
      </c>
      <c r="J344" s="1">
        <f>E344*0.000266</f>
        <v>0</v>
      </c>
      <c r="K344" s="19">
        <f>CO2_severewasting_charfact*C344</f>
        <v>6.676792223572297E-8</v>
      </c>
      <c r="L344" s="19">
        <f>CO2_workingcapacity_charfact*C344</f>
        <v>4.1777642770352375E-5</v>
      </c>
      <c r="M344" s="19">
        <f>CO2_diarrhea_charfact*C344</f>
        <v>1.4307411907654921E-9</v>
      </c>
      <c r="N344" s="19">
        <f t="shared" si="85"/>
        <v>1.8728799615228837E-2</v>
      </c>
      <c r="O344" s="19">
        <v>299.36</v>
      </c>
      <c r="P344" s="19">
        <f>CO2_meat_charfact*C344</f>
        <v>7.9048450789793432E-6</v>
      </c>
      <c r="Q344" s="19">
        <f>CO2_fish_charfact*C344</f>
        <v>4.8645200486026729E-7</v>
      </c>
      <c r="R344" s="19">
        <f>CO2_drinkingwater_charfact*C344</f>
        <v>1.5022782503037668E-3</v>
      </c>
      <c r="S344" s="19">
        <f>CO2_NEX_charfact*C344</f>
        <v>1.2717699473471041E-18</v>
      </c>
      <c r="T344" s="83">
        <f>(G344+H344)*YLLvalue+I344*skincancervalue+J344*Lowvisionvalue+K344*severe_wasting_value+L344*working_capacity+M344*diarrhea_value+N344*cropvalue+O344*woodvalue+P344*meatvalue+Q344*fishvalue+R344*drinkingwatervalue+S344*speciesvalue</f>
        <v>68.863415577305645</v>
      </c>
    </row>
    <row r="345" spans="1:20">
      <c r="A345" t="s">
        <v>1009</v>
      </c>
      <c r="B345" s="9" t="s">
        <v>11</v>
      </c>
      <c r="C345">
        <v>0.1</v>
      </c>
      <c r="D345" s="9">
        <v>1.2</v>
      </c>
      <c r="E345">
        <v>0</v>
      </c>
      <c r="F345">
        <v>1</v>
      </c>
      <c r="G345" s="1">
        <f t="shared" ref="G345:G371" si="98">E345*0.000179</f>
        <v>0</v>
      </c>
      <c r="H345" s="19">
        <f t="shared" ref="H345:H369" si="99">CO2_YLL_charfact*C345</f>
        <v>-1.5118165249088696E-8</v>
      </c>
      <c r="I345" s="1">
        <f t="shared" ref="I345:I369" si="100">E345*0.00000133</f>
        <v>0</v>
      </c>
      <c r="J345" s="1">
        <f t="shared" ref="J345:J369" si="101">E345*0.000266</f>
        <v>0</v>
      </c>
      <c r="K345" s="19">
        <f t="shared" ref="K345:K369" si="102">CO2_severewasting_charfact*C345</f>
        <v>6.6767922235722968E-7</v>
      </c>
      <c r="L345" s="19">
        <f t="shared" ref="L345:L369" si="103">CO2_workingcapacity_charfact*C345</f>
        <v>4.1777642770352377E-4</v>
      </c>
      <c r="M345" s="19">
        <f t="shared" ref="M345:M369" si="104">CO2_diarrhea_charfact*C345</f>
        <v>1.4307411907654922E-8</v>
      </c>
      <c r="N345" s="19">
        <f t="shared" si="85"/>
        <v>1.8728799615228837E-2</v>
      </c>
      <c r="O345" s="19">
        <v>300.36</v>
      </c>
      <c r="P345" s="19">
        <f t="shared" ref="P345:P369" si="105">CO2_meat_charfact*C345</f>
        <v>7.9048450789793439E-5</v>
      </c>
      <c r="Q345" s="19">
        <f t="shared" ref="Q345:Q369" si="106">CO2_fish_charfact*C345</f>
        <v>4.8645200486026737E-6</v>
      </c>
      <c r="R345" s="19">
        <f t="shared" ref="R345:R369" si="107">CO2_drinkingwater_charfact*C345</f>
        <v>1.5022782503037669E-2</v>
      </c>
      <c r="S345" s="19">
        <f t="shared" ref="S345:S369" si="108">CO2_NEX_charfact*C345</f>
        <v>1.2717699473471043E-17</v>
      </c>
      <c r="T345" s="83">
        <f t="shared" ref="T345:T369" si="109">(G345+H345)*YLLvalue+I345*skincancervalue+J345*Lowvisionvalue+K345*severe_wasting_value+L345*working_capacity+M345*diarrhea_value+N345*cropvalue+O345*woodvalue+P345*meatvalue+Q345*fishvalue+R345*drinkingwatervalue+S345*speciesvalue</f>
        <v>69.116812436938673</v>
      </c>
    </row>
    <row r="346" spans="1:20">
      <c r="A346" s="9" t="s">
        <v>1010</v>
      </c>
      <c r="B346" s="9" t="s">
        <v>11</v>
      </c>
      <c r="C346">
        <v>0.1</v>
      </c>
      <c r="D346" s="9">
        <v>1.2</v>
      </c>
      <c r="E346">
        <v>0</v>
      </c>
      <c r="F346">
        <v>1</v>
      </c>
      <c r="G346" s="1">
        <f t="shared" si="98"/>
        <v>0</v>
      </c>
      <c r="H346" s="19">
        <f t="shared" si="99"/>
        <v>-1.5118165249088696E-8</v>
      </c>
      <c r="I346" s="1">
        <f t="shared" si="100"/>
        <v>0</v>
      </c>
      <c r="J346" s="1">
        <f t="shared" si="101"/>
        <v>0</v>
      </c>
      <c r="K346" s="19">
        <f t="shared" si="102"/>
        <v>6.6767922235722968E-7</v>
      </c>
      <c r="L346" s="19">
        <f t="shared" si="103"/>
        <v>4.1777642770352377E-4</v>
      </c>
      <c r="M346" s="19">
        <f t="shared" si="104"/>
        <v>1.4307411907654922E-8</v>
      </c>
      <c r="N346" s="19">
        <f t="shared" si="85"/>
        <v>1.8728799615228837E-2</v>
      </c>
      <c r="O346" s="19">
        <v>301.36</v>
      </c>
      <c r="P346" s="19">
        <f t="shared" si="105"/>
        <v>7.9048450789793439E-5</v>
      </c>
      <c r="Q346" s="19">
        <f t="shared" si="106"/>
        <v>4.8645200486026737E-6</v>
      </c>
      <c r="R346" s="19">
        <f t="shared" si="107"/>
        <v>1.5022782503037669E-2</v>
      </c>
      <c r="S346" s="19">
        <f t="shared" si="108"/>
        <v>1.2717699473471043E-17</v>
      </c>
      <c r="T346" s="83">
        <f t="shared" si="109"/>
        <v>69.346812436938677</v>
      </c>
    </row>
    <row r="347" spans="1:20">
      <c r="A347" s="9" t="s">
        <v>1308</v>
      </c>
      <c r="B347" s="9" t="s">
        <v>11</v>
      </c>
      <c r="D347" s="9"/>
      <c r="E347">
        <v>0</v>
      </c>
      <c r="F347">
        <v>1</v>
      </c>
      <c r="G347" s="1">
        <f t="shared" si="98"/>
        <v>0</v>
      </c>
      <c r="H347" s="19">
        <f t="shared" si="99"/>
        <v>0</v>
      </c>
      <c r="I347" s="1">
        <f t="shared" si="100"/>
        <v>0</v>
      </c>
      <c r="J347" s="1">
        <f t="shared" si="101"/>
        <v>0</v>
      </c>
      <c r="K347" s="19">
        <f t="shared" si="102"/>
        <v>0</v>
      </c>
      <c r="L347" s="19">
        <f t="shared" si="103"/>
        <v>0</v>
      </c>
      <c r="M347" s="19">
        <f t="shared" si="104"/>
        <v>0</v>
      </c>
      <c r="N347" s="19">
        <f t="shared" si="85"/>
        <v>1.8728799615228837E-2</v>
      </c>
      <c r="O347" s="19">
        <v>302.36</v>
      </c>
      <c r="P347" s="19">
        <f t="shared" si="105"/>
        <v>0</v>
      </c>
      <c r="Q347" s="19">
        <f t="shared" si="106"/>
        <v>0</v>
      </c>
      <c r="R347" s="19">
        <f t="shared" si="107"/>
        <v>0</v>
      </c>
      <c r="S347" s="19">
        <f t="shared" si="108"/>
        <v>0</v>
      </c>
      <c r="T347" s="83">
        <f t="shared" si="109"/>
        <v>69.550815926235316</v>
      </c>
    </row>
    <row r="348" spans="1:20">
      <c r="A348" s="9" t="s">
        <v>1309</v>
      </c>
      <c r="B348" s="9" t="s">
        <v>11</v>
      </c>
      <c r="D348" s="9"/>
      <c r="E348">
        <v>0</v>
      </c>
      <c r="F348">
        <v>1</v>
      </c>
      <c r="G348" s="1">
        <f t="shared" si="98"/>
        <v>0</v>
      </c>
      <c r="H348" s="19">
        <f t="shared" si="99"/>
        <v>0</v>
      </c>
      <c r="I348" s="1">
        <f t="shared" si="100"/>
        <v>0</v>
      </c>
      <c r="J348" s="1">
        <f t="shared" si="101"/>
        <v>0</v>
      </c>
      <c r="K348" s="19">
        <f t="shared" si="102"/>
        <v>0</v>
      </c>
      <c r="L348" s="19">
        <f t="shared" si="103"/>
        <v>0</v>
      </c>
      <c r="M348" s="19">
        <f t="shared" si="104"/>
        <v>0</v>
      </c>
      <c r="N348" s="19">
        <f t="shared" si="85"/>
        <v>1.8728799615228837E-2</v>
      </c>
      <c r="O348" s="19">
        <v>303.36</v>
      </c>
      <c r="P348" s="19">
        <f t="shared" si="105"/>
        <v>0</v>
      </c>
      <c r="Q348" s="19">
        <f t="shared" si="106"/>
        <v>0</v>
      </c>
      <c r="R348" s="19">
        <f t="shared" si="107"/>
        <v>0</v>
      </c>
      <c r="S348" s="19">
        <f t="shared" si="108"/>
        <v>0</v>
      </c>
      <c r="T348" s="83">
        <f t="shared" si="109"/>
        <v>69.78081592623532</v>
      </c>
    </row>
    <row r="349" spans="1:20">
      <c r="A349" s="9" t="s">
        <v>1012</v>
      </c>
      <c r="B349" s="9" t="s">
        <v>11</v>
      </c>
      <c r="C349">
        <v>0.1</v>
      </c>
      <c r="D349" s="9">
        <v>1.2</v>
      </c>
      <c r="E349">
        <v>0</v>
      </c>
      <c r="F349">
        <v>1</v>
      </c>
      <c r="G349" s="1">
        <f t="shared" si="98"/>
        <v>0</v>
      </c>
      <c r="H349" s="19">
        <f t="shared" si="99"/>
        <v>-1.5118165249088696E-8</v>
      </c>
      <c r="I349" s="1">
        <f t="shared" si="100"/>
        <v>0</v>
      </c>
      <c r="J349" s="1">
        <f t="shared" si="101"/>
        <v>0</v>
      </c>
      <c r="K349" s="19">
        <f t="shared" si="102"/>
        <v>6.6767922235722968E-7</v>
      </c>
      <c r="L349" s="19">
        <f t="shared" si="103"/>
        <v>4.1777642770352377E-4</v>
      </c>
      <c r="M349" s="19">
        <f t="shared" si="104"/>
        <v>1.4307411907654922E-8</v>
      </c>
      <c r="N349" s="19">
        <f t="shared" si="85"/>
        <v>1.8728799615228837E-2</v>
      </c>
      <c r="O349" s="19">
        <v>304.36</v>
      </c>
      <c r="P349" s="19">
        <f t="shared" si="105"/>
        <v>7.9048450789793439E-5</v>
      </c>
      <c r="Q349" s="19">
        <f t="shared" si="106"/>
        <v>4.8645200486026737E-6</v>
      </c>
      <c r="R349" s="19">
        <f t="shared" si="107"/>
        <v>1.5022782503037669E-2</v>
      </c>
      <c r="S349" s="19">
        <f t="shared" si="108"/>
        <v>1.2717699473471043E-17</v>
      </c>
      <c r="T349" s="83">
        <f t="shared" si="109"/>
        <v>70.036812436938675</v>
      </c>
    </row>
    <row r="350" spans="1:20">
      <c r="A350" s="9" t="s">
        <v>1011</v>
      </c>
      <c r="B350" s="9" t="s">
        <v>11</v>
      </c>
      <c r="C350">
        <v>0.1</v>
      </c>
      <c r="D350" s="9">
        <v>1.2</v>
      </c>
      <c r="E350">
        <v>0</v>
      </c>
      <c r="F350">
        <v>1</v>
      </c>
      <c r="G350" s="1">
        <f t="shared" si="98"/>
        <v>0</v>
      </c>
      <c r="H350" s="19">
        <f t="shared" si="99"/>
        <v>-1.5118165249088696E-8</v>
      </c>
      <c r="I350" s="1">
        <f t="shared" si="100"/>
        <v>0</v>
      </c>
      <c r="J350" s="1">
        <f t="shared" si="101"/>
        <v>0</v>
      </c>
      <c r="K350" s="19">
        <f t="shared" si="102"/>
        <v>6.6767922235722968E-7</v>
      </c>
      <c r="L350" s="19">
        <f t="shared" si="103"/>
        <v>4.1777642770352377E-4</v>
      </c>
      <c r="M350" s="19">
        <f t="shared" si="104"/>
        <v>1.4307411907654922E-8</v>
      </c>
      <c r="N350" s="19">
        <f t="shared" si="85"/>
        <v>1.8728799615228837E-2</v>
      </c>
      <c r="O350" s="19">
        <v>305.36</v>
      </c>
      <c r="P350" s="19">
        <f t="shared" si="105"/>
        <v>7.9048450789793439E-5</v>
      </c>
      <c r="Q350" s="19">
        <f t="shared" si="106"/>
        <v>4.8645200486026737E-6</v>
      </c>
      <c r="R350" s="19">
        <f t="shared" si="107"/>
        <v>1.5022782503037669E-2</v>
      </c>
      <c r="S350" s="19">
        <f t="shared" si="108"/>
        <v>1.2717699473471043E-17</v>
      </c>
      <c r="T350" s="83">
        <f t="shared" si="109"/>
        <v>70.266812436938679</v>
      </c>
    </row>
    <row r="351" spans="1:20">
      <c r="A351" s="9" t="s">
        <v>1310</v>
      </c>
      <c r="B351" s="9" t="s">
        <v>11</v>
      </c>
      <c r="C351">
        <v>64</v>
      </c>
      <c r="D351" s="9">
        <v>1.2</v>
      </c>
      <c r="E351">
        <v>0</v>
      </c>
      <c r="F351">
        <v>1</v>
      </c>
      <c r="G351" s="1">
        <f t="shared" si="98"/>
        <v>0</v>
      </c>
      <c r="H351" s="19">
        <f t="shared" si="99"/>
        <v>-9.6756257594167649E-6</v>
      </c>
      <c r="I351" s="1">
        <f t="shared" si="100"/>
        <v>0</v>
      </c>
      <c r="J351" s="1">
        <f t="shared" si="101"/>
        <v>0</v>
      </c>
      <c r="K351" s="19">
        <f t="shared" si="102"/>
        <v>4.2731470230862698E-4</v>
      </c>
      <c r="L351" s="19">
        <f t="shared" si="103"/>
        <v>0.26737691373025518</v>
      </c>
      <c r="M351" s="19">
        <f t="shared" si="104"/>
        <v>9.1567436208991494E-6</v>
      </c>
      <c r="N351" s="19">
        <f t="shared" si="85"/>
        <v>1.8728799615228837E-2</v>
      </c>
      <c r="O351" s="19">
        <v>306.36</v>
      </c>
      <c r="P351" s="19">
        <f t="shared" si="105"/>
        <v>5.0591008505467799E-2</v>
      </c>
      <c r="Q351" s="19">
        <f t="shared" si="106"/>
        <v>3.1132928311057109E-3</v>
      </c>
      <c r="R351" s="19">
        <f t="shared" si="107"/>
        <v>9.6145808019441077</v>
      </c>
      <c r="S351" s="19">
        <f t="shared" si="108"/>
        <v>8.1393276630214667E-15</v>
      </c>
      <c r="T351" s="83">
        <f t="shared" si="109"/>
        <v>87.108582776377048</v>
      </c>
    </row>
    <row r="352" spans="1:20">
      <c r="A352" s="9" t="s">
        <v>1014</v>
      </c>
      <c r="B352" s="9" t="s">
        <v>11</v>
      </c>
      <c r="C352">
        <v>0.5</v>
      </c>
      <c r="D352" s="9">
        <v>1.2</v>
      </c>
      <c r="E352">
        <v>0</v>
      </c>
      <c r="F352">
        <v>1</v>
      </c>
      <c r="G352" s="1">
        <f t="shared" si="98"/>
        <v>0</v>
      </c>
      <c r="H352" s="19">
        <f t="shared" si="99"/>
        <v>-7.5590826245443476E-8</v>
      </c>
      <c r="I352" s="1">
        <f t="shared" si="100"/>
        <v>0</v>
      </c>
      <c r="J352" s="1">
        <f t="shared" si="101"/>
        <v>0</v>
      </c>
      <c r="K352" s="19">
        <f t="shared" si="102"/>
        <v>3.3383961117861483E-6</v>
      </c>
      <c r="L352" s="19">
        <f t="shared" si="103"/>
        <v>2.0888821385176186E-3</v>
      </c>
      <c r="M352" s="19">
        <f t="shared" si="104"/>
        <v>7.1537059538274605E-8</v>
      </c>
      <c r="N352" s="19">
        <f t="shared" si="85"/>
        <v>1.8728799615228837E-2</v>
      </c>
      <c r="O352" s="19">
        <v>307.36</v>
      </c>
      <c r="P352" s="19">
        <f t="shared" si="105"/>
        <v>3.9524225394896718E-4</v>
      </c>
      <c r="Q352" s="19">
        <f t="shared" si="106"/>
        <v>2.4322600243013366E-5</v>
      </c>
      <c r="R352" s="19">
        <f t="shared" si="107"/>
        <v>7.5113912515188341E-2</v>
      </c>
      <c r="S352" s="19">
        <f t="shared" si="108"/>
        <v>6.3588497367355209E-17</v>
      </c>
      <c r="T352" s="83">
        <f t="shared" si="109"/>
        <v>70.830798479752048</v>
      </c>
    </row>
    <row r="353" spans="1:20">
      <c r="A353" s="9" t="s">
        <v>1013</v>
      </c>
      <c r="B353" s="9" t="s">
        <v>11</v>
      </c>
      <c r="C353">
        <v>0.1</v>
      </c>
      <c r="D353" s="9">
        <v>1.2</v>
      </c>
      <c r="E353">
        <v>0</v>
      </c>
      <c r="F353">
        <v>1</v>
      </c>
      <c r="G353" s="1">
        <f t="shared" si="98"/>
        <v>0</v>
      </c>
      <c r="H353" s="19">
        <f t="shared" si="99"/>
        <v>-1.5118165249088696E-8</v>
      </c>
      <c r="I353" s="1">
        <f t="shared" si="100"/>
        <v>0</v>
      </c>
      <c r="J353" s="1">
        <f t="shared" si="101"/>
        <v>0</v>
      </c>
      <c r="K353" s="19">
        <f t="shared" si="102"/>
        <v>6.6767922235722968E-7</v>
      </c>
      <c r="L353" s="19">
        <f t="shared" si="103"/>
        <v>4.1777642770352377E-4</v>
      </c>
      <c r="M353" s="19">
        <f t="shared" si="104"/>
        <v>1.4307411907654922E-8</v>
      </c>
      <c r="N353" s="19">
        <f t="shared" si="85"/>
        <v>1.8728799615228837E-2</v>
      </c>
      <c r="O353" s="19">
        <v>308.36</v>
      </c>
      <c r="P353" s="19">
        <f t="shared" si="105"/>
        <v>7.9048450789793439E-5</v>
      </c>
      <c r="Q353" s="19">
        <f t="shared" si="106"/>
        <v>4.8645200486026737E-6</v>
      </c>
      <c r="R353" s="19">
        <f t="shared" si="107"/>
        <v>1.5022782503037669E-2</v>
      </c>
      <c r="S353" s="19">
        <f t="shared" si="108"/>
        <v>1.2717699473471043E-17</v>
      </c>
      <c r="T353" s="83">
        <f t="shared" si="109"/>
        <v>70.956812436938677</v>
      </c>
    </row>
    <row r="354" spans="1:20">
      <c r="A354" s="9" t="s">
        <v>1311</v>
      </c>
      <c r="B354" s="9" t="s">
        <v>11</v>
      </c>
      <c r="C354">
        <v>11</v>
      </c>
      <c r="D354" s="9">
        <v>1.2</v>
      </c>
      <c r="E354">
        <v>0</v>
      </c>
      <c r="F354">
        <v>1</v>
      </c>
      <c r="G354" s="1">
        <f t="shared" si="98"/>
        <v>0</v>
      </c>
      <c r="H354" s="19">
        <f t="shared" si="99"/>
        <v>-1.6629981773997564E-6</v>
      </c>
      <c r="I354" s="1">
        <f t="shared" si="100"/>
        <v>0</v>
      </c>
      <c r="J354" s="1">
        <f t="shared" si="101"/>
        <v>0</v>
      </c>
      <c r="K354" s="19">
        <f t="shared" si="102"/>
        <v>7.3444714459295257E-5</v>
      </c>
      <c r="L354" s="19">
        <f t="shared" si="103"/>
        <v>4.5955407047387611E-2</v>
      </c>
      <c r="M354" s="19">
        <f t="shared" si="104"/>
        <v>1.5738153098420414E-6</v>
      </c>
      <c r="N354" s="19">
        <f t="shared" si="85"/>
        <v>1.8728799615228837E-2</v>
      </c>
      <c r="O354" s="19">
        <v>309.36</v>
      </c>
      <c r="P354" s="19">
        <f t="shared" si="105"/>
        <v>8.6953295868772776E-3</v>
      </c>
      <c r="Q354" s="19">
        <f t="shared" si="106"/>
        <v>5.3509720534629401E-4</v>
      </c>
      <c r="R354" s="19">
        <f t="shared" si="107"/>
        <v>1.6525060753341436</v>
      </c>
      <c r="S354" s="19">
        <f t="shared" si="108"/>
        <v>1.3989469420818145E-15</v>
      </c>
      <c r="T354" s="83">
        <f t="shared" si="109"/>
        <v>74.02043210360344</v>
      </c>
    </row>
    <row r="355" spans="1:20">
      <c r="A355" s="9" t="s">
        <v>1015</v>
      </c>
      <c r="B355" s="9" t="s">
        <v>11</v>
      </c>
      <c r="C355">
        <v>0.1</v>
      </c>
      <c r="D355" s="9">
        <v>1.2</v>
      </c>
      <c r="E355">
        <v>0</v>
      </c>
      <c r="F355">
        <v>1</v>
      </c>
      <c r="G355" s="1">
        <f t="shared" si="98"/>
        <v>0</v>
      </c>
      <c r="H355" s="19">
        <f t="shared" si="99"/>
        <v>-1.5118165249088696E-8</v>
      </c>
      <c r="I355" s="1">
        <f t="shared" si="100"/>
        <v>0</v>
      </c>
      <c r="J355" s="1">
        <f t="shared" si="101"/>
        <v>0</v>
      </c>
      <c r="K355" s="19">
        <f t="shared" si="102"/>
        <v>6.6767922235722968E-7</v>
      </c>
      <c r="L355" s="19">
        <f t="shared" si="103"/>
        <v>4.1777642770352377E-4</v>
      </c>
      <c r="M355" s="19">
        <f t="shared" si="104"/>
        <v>1.4307411907654922E-8</v>
      </c>
      <c r="N355" s="19">
        <f t="shared" si="85"/>
        <v>1.8728799615228837E-2</v>
      </c>
      <c r="O355" s="19">
        <v>310.36</v>
      </c>
      <c r="P355" s="19">
        <f t="shared" si="105"/>
        <v>7.9048450789793439E-5</v>
      </c>
      <c r="Q355" s="19">
        <f t="shared" si="106"/>
        <v>4.8645200486026737E-6</v>
      </c>
      <c r="R355" s="19">
        <f t="shared" si="107"/>
        <v>1.5022782503037669E-2</v>
      </c>
      <c r="S355" s="19">
        <f t="shared" si="108"/>
        <v>1.2717699473471043E-17</v>
      </c>
      <c r="T355" s="83">
        <f t="shared" si="109"/>
        <v>71.41681243693867</v>
      </c>
    </row>
    <row r="356" spans="1:20">
      <c r="A356" s="9" t="s">
        <v>1312</v>
      </c>
      <c r="B356" s="9" t="s">
        <v>11</v>
      </c>
      <c r="D356" s="9"/>
      <c r="E356">
        <v>0</v>
      </c>
      <c r="F356">
        <v>1</v>
      </c>
      <c r="G356" s="1">
        <f t="shared" si="98"/>
        <v>0</v>
      </c>
      <c r="H356" s="19">
        <f t="shared" si="99"/>
        <v>0</v>
      </c>
      <c r="I356" s="1">
        <f t="shared" si="100"/>
        <v>0</v>
      </c>
      <c r="J356" s="1">
        <f t="shared" si="101"/>
        <v>0</v>
      </c>
      <c r="K356" s="19">
        <f t="shared" si="102"/>
        <v>0</v>
      </c>
      <c r="L356" s="19">
        <f t="shared" si="103"/>
        <v>0</v>
      </c>
      <c r="M356" s="19">
        <f t="shared" si="104"/>
        <v>0</v>
      </c>
      <c r="N356" s="19">
        <f t="shared" si="85"/>
        <v>1.8728799615228837E-2</v>
      </c>
      <c r="O356" s="19">
        <v>311.36</v>
      </c>
      <c r="P356" s="19">
        <f t="shared" si="105"/>
        <v>0</v>
      </c>
      <c r="Q356" s="19">
        <f t="shared" si="106"/>
        <v>0</v>
      </c>
      <c r="R356" s="19">
        <f t="shared" si="107"/>
        <v>0</v>
      </c>
      <c r="S356" s="19">
        <f t="shared" si="108"/>
        <v>0</v>
      </c>
      <c r="T356" s="83">
        <f t="shared" si="109"/>
        <v>71.620815926235323</v>
      </c>
    </row>
    <row r="357" spans="1:20">
      <c r="A357" s="9" t="s">
        <v>1313</v>
      </c>
      <c r="B357" s="9" t="s">
        <v>11</v>
      </c>
      <c r="D357" s="9"/>
      <c r="E357">
        <v>0</v>
      </c>
      <c r="F357">
        <v>1</v>
      </c>
      <c r="G357" s="1">
        <f t="shared" si="98"/>
        <v>0</v>
      </c>
      <c r="H357" s="19">
        <f t="shared" si="99"/>
        <v>0</v>
      </c>
      <c r="I357" s="1">
        <f t="shared" si="100"/>
        <v>0</v>
      </c>
      <c r="J357" s="1">
        <f t="shared" si="101"/>
        <v>0</v>
      </c>
      <c r="K357" s="19">
        <f t="shared" si="102"/>
        <v>0</v>
      </c>
      <c r="L357" s="19">
        <f t="shared" si="103"/>
        <v>0</v>
      </c>
      <c r="M357" s="19">
        <f t="shared" si="104"/>
        <v>0</v>
      </c>
      <c r="N357" s="19">
        <f t="shared" ref="N357:N381" si="110">CO2_crop_charfact</f>
        <v>1.8728799615228837E-2</v>
      </c>
      <c r="O357" s="19">
        <v>312.36</v>
      </c>
      <c r="P357" s="19">
        <f t="shared" si="105"/>
        <v>0</v>
      </c>
      <c r="Q357" s="19">
        <f t="shared" si="106"/>
        <v>0</v>
      </c>
      <c r="R357" s="19">
        <f t="shared" si="107"/>
        <v>0</v>
      </c>
      <c r="S357" s="19">
        <f t="shared" si="108"/>
        <v>0</v>
      </c>
      <c r="T357" s="83">
        <f t="shared" si="109"/>
        <v>71.850815926235327</v>
      </c>
    </row>
    <row r="358" spans="1:20">
      <c r="A358" s="9" t="s">
        <v>1314</v>
      </c>
      <c r="B358" s="9" t="s">
        <v>11</v>
      </c>
      <c r="D358" s="9"/>
      <c r="E358">
        <v>0</v>
      </c>
      <c r="F358">
        <v>1</v>
      </c>
      <c r="G358" s="1">
        <f t="shared" si="98"/>
        <v>0</v>
      </c>
      <c r="H358" s="19">
        <f t="shared" si="99"/>
        <v>0</v>
      </c>
      <c r="I358" s="1">
        <f t="shared" si="100"/>
        <v>0</v>
      </c>
      <c r="J358" s="1">
        <f t="shared" si="101"/>
        <v>0</v>
      </c>
      <c r="K358" s="19">
        <f t="shared" si="102"/>
        <v>0</v>
      </c>
      <c r="L358" s="19">
        <f t="shared" si="103"/>
        <v>0</v>
      </c>
      <c r="M358" s="19">
        <f t="shared" si="104"/>
        <v>0</v>
      </c>
      <c r="N358" s="19">
        <f t="shared" si="110"/>
        <v>1.8728799615228837E-2</v>
      </c>
      <c r="O358" s="19">
        <v>313.36</v>
      </c>
      <c r="P358" s="19">
        <f t="shared" si="105"/>
        <v>0</v>
      </c>
      <c r="Q358" s="19">
        <f t="shared" si="106"/>
        <v>0</v>
      </c>
      <c r="R358" s="19">
        <f t="shared" si="107"/>
        <v>0</v>
      </c>
      <c r="S358" s="19">
        <f t="shared" si="108"/>
        <v>0</v>
      </c>
      <c r="T358" s="83">
        <f t="shared" si="109"/>
        <v>72.080815926235317</v>
      </c>
    </row>
    <row r="359" spans="1:20">
      <c r="A359" s="9" t="s">
        <v>1315</v>
      </c>
      <c r="B359" s="9" t="s">
        <v>11</v>
      </c>
      <c r="D359" s="9"/>
      <c r="E359">
        <v>0</v>
      </c>
      <c r="F359">
        <v>1</v>
      </c>
      <c r="G359" s="1">
        <f t="shared" si="98"/>
        <v>0</v>
      </c>
      <c r="H359" s="19">
        <f t="shared" si="99"/>
        <v>0</v>
      </c>
      <c r="I359" s="1">
        <f t="shared" si="100"/>
        <v>0</v>
      </c>
      <c r="J359" s="1">
        <f t="shared" si="101"/>
        <v>0</v>
      </c>
      <c r="K359" s="19">
        <f t="shared" si="102"/>
        <v>0</v>
      </c>
      <c r="L359" s="19">
        <f t="shared" si="103"/>
        <v>0</v>
      </c>
      <c r="M359" s="19">
        <f t="shared" si="104"/>
        <v>0</v>
      </c>
      <c r="N359" s="19">
        <f t="shared" si="110"/>
        <v>1.8728799615228837E-2</v>
      </c>
      <c r="O359" s="19">
        <v>314.36</v>
      </c>
      <c r="P359" s="19">
        <f t="shared" si="105"/>
        <v>0</v>
      </c>
      <c r="Q359" s="19">
        <f t="shared" si="106"/>
        <v>0</v>
      </c>
      <c r="R359" s="19">
        <f t="shared" si="107"/>
        <v>0</v>
      </c>
      <c r="S359" s="19">
        <f t="shared" si="108"/>
        <v>0</v>
      </c>
      <c r="T359" s="83">
        <f t="shared" si="109"/>
        <v>72.310815926235321</v>
      </c>
    </row>
    <row r="360" spans="1:20">
      <c r="A360" s="9" t="s">
        <v>1016</v>
      </c>
      <c r="B360" s="9" t="s">
        <v>11</v>
      </c>
      <c r="C360">
        <v>16</v>
      </c>
      <c r="D360" s="9">
        <v>1.2</v>
      </c>
      <c r="E360">
        <v>0</v>
      </c>
      <c r="F360">
        <v>1</v>
      </c>
      <c r="G360" s="1">
        <f t="shared" si="98"/>
        <v>0</v>
      </c>
      <c r="H360" s="19">
        <f t="shared" si="99"/>
        <v>-2.4189064398541912E-6</v>
      </c>
      <c r="I360" s="1">
        <f t="shared" si="100"/>
        <v>0</v>
      </c>
      <c r="J360" s="1">
        <f t="shared" si="101"/>
        <v>0</v>
      </c>
      <c r="K360" s="19">
        <f t="shared" si="102"/>
        <v>1.0682867557715675E-4</v>
      </c>
      <c r="L360" s="19">
        <f t="shared" si="103"/>
        <v>6.6844228432563796E-2</v>
      </c>
      <c r="M360" s="19">
        <f t="shared" si="104"/>
        <v>2.2891859052247873E-6</v>
      </c>
      <c r="N360" s="19">
        <f t="shared" si="110"/>
        <v>1.8728799615228837E-2</v>
      </c>
      <c r="O360" s="19">
        <v>315.36</v>
      </c>
      <c r="P360" s="19">
        <f t="shared" si="105"/>
        <v>1.264775212636695E-2</v>
      </c>
      <c r="Q360" s="19">
        <f t="shared" si="106"/>
        <v>7.7832320777642772E-4</v>
      </c>
      <c r="R360" s="19">
        <f t="shared" si="107"/>
        <v>2.4036452004860269</v>
      </c>
      <c r="S360" s="19">
        <f t="shared" si="108"/>
        <v>2.0348319157553667E-15</v>
      </c>
      <c r="T360" s="83">
        <f t="shared" si="109"/>
        <v>76.700257638770765</v>
      </c>
    </row>
    <row r="361" spans="1:20">
      <c r="A361" s="9" t="s">
        <v>1017</v>
      </c>
      <c r="B361" s="9" t="s">
        <v>11</v>
      </c>
      <c r="C361">
        <v>2</v>
      </c>
      <c r="D361" s="9">
        <v>1.2</v>
      </c>
      <c r="E361">
        <v>0</v>
      </c>
      <c r="F361">
        <v>1</v>
      </c>
      <c r="G361" s="1">
        <f t="shared" si="98"/>
        <v>0</v>
      </c>
      <c r="H361" s="19">
        <f t="shared" si="99"/>
        <v>-3.023633049817739E-7</v>
      </c>
      <c r="I361" s="1">
        <f t="shared" si="100"/>
        <v>0</v>
      </c>
      <c r="J361" s="1">
        <f t="shared" si="101"/>
        <v>0</v>
      </c>
      <c r="K361" s="19">
        <f t="shared" si="102"/>
        <v>1.3353584447144593E-5</v>
      </c>
      <c r="L361" s="19">
        <f t="shared" si="103"/>
        <v>8.3555285540704745E-3</v>
      </c>
      <c r="M361" s="19">
        <f t="shared" si="104"/>
        <v>2.8614823815309842E-7</v>
      </c>
      <c r="N361" s="19">
        <f t="shared" si="110"/>
        <v>1.8728799615228837E-2</v>
      </c>
      <c r="O361" s="19">
        <v>316.36</v>
      </c>
      <c r="P361" s="19">
        <f t="shared" si="105"/>
        <v>1.5809690157958687E-3</v>
      </c>
      <c r="Q361" s="19">
        <f t="shared" si="106"/>
        <v>9.7290400972053465E-5</v>
      </c>
      <c r="R361" s="19">
        <f t="shared" si="107"/>
        <v>0.30045565006075337</v>
      </c>
      <c r="S361" s="19">
        <f t="shared" si="108"/>
        <v>2.5435398946942084E-16</v>
      </c>
      <c r="T361" s="83">
        <f t="shared" si="109"/>
        <v>73.290746140302261</v>
      </c>
    </row>
    <row r="362" spans="1:20">
      <c r="A362" s="9" t="s">
        <v>1018</v>
      </c>
      <c r="B362" s="9" t="s">
        <v>11</v>
      </c>
      <c r="C362">
        <v>0.1</v>
      </c>
      <c r="D362" s="9">
        <v>1.2</v>
      </c>
      <c r="E362">
        <v>0</v>
      </c>
      <c r="F362">
        <v>1</v>
      </c>
      <c r="G362" s="1">
        <f t="shared" si="98"/>
        <v>0</v>
      </c>
      <c r="H362" s="19">
        <f t="shared" si="99"/>
        <v>-1.5118165249088696E-8</v>
      </c>
      <c r="I362" s="1">
        <f t="shared" si="100"/>
        <v>0</v>
      </c>
      <c r="J362" s="1">
        <f t="shared" si="101"/>
        <v>0</v>
      </c>
      <c r="K362" s="19">
        <f t="shared" si="102"/>
        <v>6.6767922235722968E-7</v>
      </c>
      <c r="L362" s="19">
        <f t="shared" si="103"/>
        <v>4.1777642770352377E-4</v>
      </c>
      <c r="M362" s="19">
        <f t="shared" si="104"/>
        <v>1.4307411907654922E-8</v>
      </c>
      <c r="N362" s="19">
        <f t="shared" si="110"/>
        <v>1.8728799615228837E-2</v>
      </c>
      <c r="O362" s="19">
        <v>317.36</v>
      </c>
      <c r="P362" s="19">
        <f t="shared" si="105"/>
        <v>7.9048450789793439E-5</v>
      </c>
      <c r="Q362" s="19">
        <f t="shared" si="106"/>
        <v>4.8645200486026737E-6</v>
      </c>
      <c r="R362" s="19">
        <f t="shared" si="107"/>
        <v>1.5022782503037669E-2</v>
      </c>
      <c r="S362" s="19">
        <f t="shared" si="108"/>
        <v>1.2717699473471043E-17</v>
      </c>
      <c r="T362" s="83">
        <f t="shared" si="109"/>
        <v>73.02681243693867</v>
      </c>
    </row>
    <row r="363" spans="1:20">
      <c r="A363" s="9" t="s">
        <v>1316</v>
      </c>
      <c r="B363" s="9" t="s">
        <v>11</v>
      </c>
      <c r="C363">
        <v>0.1</v>
      </c>
      <c r="D363" s="9">
        <v>1.2</v>
      </c>
      <c r="E363">
        <v>0</v>
      </c>
      <c r="F363">
        <v>1</v>
      </c>
      <c r="G363" s="1">
        <f t="shared" si="98"/>
        <v>0</v>
      </c>
      <c r="H363" s="19">
        <f t="shared" si="99"/>
        <v>-1.5118165249088696E-8</v>
      </c>
      <c r="I363" s="1">
        <f t="shared" si="100"/>
        <v>0</v>
      </c>
      <c r="J363" s="1">
        <f t="shared" si="101"/>
        <v>0</v>
      </c>
      <c r="K363" s="19">
        <f t="shared" si="102"/>
        <v>6.6767922235722968E-7</v>
      </c>
      <c r="L363" s="19">
        <f t="shared" si="103"/>
        <v>4.1777642770352377E-4</v>
      </c>
      <c r="M363" s="19">
        <f t="shared" si="104"/>
        <v>1.4307411907654922E-8</v>
      </c>
      <c r="N363" s="19">
        <f t="shared" si="110"/>
        <v>1.8728799615228837E-2</v>
      </c>
      <c r="O363" s="19">
        <v>318.36</v>
      </c>
      <c r="P363" s="19">
        <f t="shared" si="105"/>
        <v>7.9048450789793439E-5</v>
      </c>
      <c r="Q363" s="19">
        <f t="shared" si="106"/>
        <v>4.8645200486026737E-6</v>
      </c>
      <c r="R363" s="19">
        <f t="shared" si="107"/>
        <v>1.5022782503037669E-2</v>
      </c>
      <c r="S363" s="19">
        <f t="shared" si="108"/>
        <v>1.2717699473471043E-17</v>
      </c>
      <c r="T363" s="83">
        <f t="shared" si="109"/>
        <v>73.256812436938674</v>
      </c>
    </row>
    <row r="364" spans="1:20">
      <c r="A364" s="9" t="s">
        <v>1317</v>
      </c>
      <c r="B364" s="9" t="s">
        <v>11</v>
      </c>
      <c r="D364" s="9"/>
      <c r="E364">
        <v>0</v>
      </c>
      <c r="F364">
        <v>1</v>
      </c>
      <c r="G364" s="1">
        <f t="shared" si="98"/>
        <v>0</v>
      </c>
      <c r="H364" s="19">
        <f t="shared" si="99"/>
        <v>0</v>
      </c>
      <c r="I364" s="1">
        <f t="shared" si="100"/>
        <v>0</v>
      </c>
      <c r="J364" s="1">
        <f t="shared" si="101"/>
        <v>0</v>
      </c>
      <c r="K364" s="19">
        <f t="shared" si="102"/>
        <v>0</v>
      </c>
      <c r="L364" s="19">
        <f t="shared" si="103"/>
        <v>0</v>
      </c>
      <c r="M364" s="19">
        <f t="shared" si="104"/>
        <v>0</v>
      </c>
      <c r="N364" s="19">
        <f t="shared" si="110"/>
        <v>1.8728799615228837E-2</v>
      </c>
      <c r="O364" s="19">
        <v>319.36</v>
      </c>
      <c r="P364" s="19">
        <f t="shared" si="105"/>
        <v>0</v>
      </c>
      <c r="Q364" s="19">
        <f t="shared" si="106"/>
        <v>0</v>
      </c>
      <c r="R364" s="19">
        <f t="shared" si="107"/>
        <v>0</v>
      </c>
      <c r="S364" s="19">
        <f t="shared" si="108"/>
        <v>0</v>
      </c>
      <c r="T364" s="83">
        <f t="shared" si="109"/>
        <v>73.460815926235327</v>
      </c>
    </row>
    <row r="365" spans="1:20">
      <c r="A365" s="9" t="s">
        <v>1318</v>
      </c>
      <c r="B365" s="9" t="s">
        <v>11</v>
      </c>
      <c r="D365" s="9"/>
      <c r="E365">
        <v>0</v>
      </c>
      <c r="F365">
        <v>1</v>
      </c>
      <c r="G365" s="1">
        <f t="shared" si="98"/>
        <v>0</v>
      </c>
      <c r="H365" s="19">
        <f t="shared" si="99"/>
        <v>0</v>
      </c>
      <c r="I365" s="1">
        <f t="shared" si="100"/>
        <v>0</v>
      </c>
      <c r="J365" s="1">
        <f t="shared" si="101"/>
        <v>0</v>
      </c>
      <c r="K365" s="19">
        <f t="shared" si="102"/>
        <v>0</v>
      </c>
      <c r="L365" s="19">
        <f t="shared" si="103"/>
        <v>0</v>
      </c>
      <c r="M365" s="19">
        <f t="shared" si="104"/>
        <v>0</v>
      </c>
      <c r="N365" s="19">
        <f t="shared" si="110"/>
        <v>1.8728799615228837E-2</v>
      </c>
      <c r="O365" s="19">
        <v>320.36</v>
      </c>
      <c r="P365" s="19">
        <f t="shared" si="105"/>
        <v>0</v>
      </c>
      <c r="Q365" s="19">
        <f t="shared" si="106"/>
        <v>0</v>
      </c>
      <c r="R365" s="19">
        <f t="shared" si="107"/>
        <v>0</v>
      </c>
      <c r="S365" s="19">
        <f t="shared" si="108"/>
        <v>0</v>
      </c>
      <c r="T365" s="83">
        <f t="shared" si="109"/>
        <v>73.690815926235317</v>
      </c>
    </row>
    <row r="366" spans="1:20">
      <c r="A366" s="9" t="s">
        <v>1319</v>
      </c>
      <c r="B366" s="9" t="s">
        <v>11</v>
      </c>
      <c r="C366">
        <v>0.1</v>
      </c>
      <c r="D366" s="9">
        <v>1.2</v>
      </c>
      <c r="E366">
        <v>0</v>
      </c>
      <c r="F366">
        <v>1</v>
      </c>
      <c r="G366" s="1">
        <f t="shared" si="98"/>
        <v>0</v>
      </c>
      <c r="H366" s="19">
        <f t="shared" si="99"/>
        <v>-1.5118165249088696E-8</v>
      </c>
      <c r="I366" s="1">
        <f t="shared" si="100"/>
        <v>0</v>
      </c>
      <c r="J366" s="1">
        <f t="shared" si="101"/>
        <v>0</v>
      </c>
      <c r="K366" s="19">
        <f t="shared" si="102"/>
        <v>6.6767922235722968E-7</v>
      </c>
      <c r="L366" s="19">
        <f t="shared" si="103"/>
        <v>4.1777642770352377E-4</v>
      </c>
      <c r="M366" s="19">
        <f t="shared" si="104"/>
        <v>1.4307411907654922E-8</v>
      </c>
      <c r="N366" s="19">
        <f t="shared" si="110"/>
        <v>1.8728799615228837E-2</v>
      </c>
      <c r="O366" s="19">
        <v>321.36</v>
      </c>
      <c r="P366" s="19">
        <f t="shared" si="105"/>
        <v>7.9048450789793439E-5</v>
      </c>
      <c r="Q366" s="19">
        <f t="shared" si="106"/>
        <v>4.8645200486026737E-6</v>
      </c>
      <c r="R366" s="19">
        <f t="shared" si="107"/>
        <v>1.5022782503037669E-2</v>
      </c>
      <c r="S366" s="19">
        <f t="shared" si="108"/>
        <v>1.2717699473471043E-17</v>
      </c>
      <c r="T366" s="83">
        <f t="shared" si="109"/>
        <v>73.946812436938671</v>
      </c>
    </row>
    <row r="367" spans="1:20">
      <c r="A367" s="9" t="s">
        <v>1320</v>
      </c>
      <c r="B367" s="9" t="s">
        <v>11</v>
      </c>
      <c r="C367">
        <v>0.1</v>
      </c>
      <c r="D367" s="9">
        <v>1.2</v>
      </c>
      <c r="E367">
        <v>0</v>
      </c>
      <c r="F367">
        <v>1</v>
      </c>
      <c r="G367" s="1">
        <f t="shared" si="98"/>
        <v>0</v>
      </c>
      <c r="H367" s="19">
        <f t="shared" si="99"/>
        <v>-1.5118165249088696E-8</v>
      </c>
      <c r="I367" s="1">
        <f t="shared" si="100"/>
        <v>0</v>
      </c>
      <c r="J367" s="1">
        <f t="shared" si="101"/>
        <v>0</v>
      </c>
      <c r="K367" s="19">
        <f t="shared" si="102"/>
        <v>6.6767922235722968E-7</v>
      </c>
      <c r="L367" s="19">
        <f t="shared" si="103"/>
        <v>4.1777642770352377E-4</v>
      </c>
      <c r="M367" s="19">
        <f t="shared" si="104"/>
        <v>1.4307411907654922E-8</v>
      </c>
      <c r="N367" s="19">
        <f t="shared" si="110"/>
        <v>1.8728799615228837E-2</v>
      </c>
      <c r="O367" s="19">
        <v>322.36</v>
      </c>
      <c r="P367" s="19">
        <f t="shared" si="105"/>
        <v>7.9048450789793439E-5</v>
      </c>
      <c r="Q367" s="19">
        <f t="shared" si="106"/>
        <v>4.8645200486026737E-6</v>
      </c>
      <c r="R367" s="19">
        <f t="shared" si="107"/>
        <v>1.5022782503037669E-2</v>
      </c>
      <c r="S367" s="19">
        <f t="shared" si="108"/>
        <v>1.2717699473471043E-17</v>
      </c>
      <c r="T367" s="83">
        <f t="shared" si="109"/>
        <v>74.176812436938675</v>
      </c>
    </row>
    <row r="368" spans="1:20">
      <c r="A368" s="9" t="s">
        <v>1321</v>
      </c>
      <c r="B368" s="9" t="s">
        <v>11</v>
      </c>
      <c r="C368">
        <v>0.1</v>
      </c>
      <c r="D368" s="9">
        <v>1.2</v>
      </c>
      <c r="E368">
        <v>0</v>
      </c>
      <c r="F368">
        <v>1</v>
      </c>
      <c r="G368" s="1">
        <f t="shared" si="98"/>
        <v>0</v>
      </c>
      <c r="H368" s="19">
        <f t="shared" si="99"/>
        <v>-1.5118165249088696E-8</v>
      </c>
      <c r="I368" s="1">
        <f t="shared" si="100"/>
        <v>0</v>
      </c>
      <c r="J368" s="1">
        <f t="shared" si="101"/>
        <v>0</v>
      </c>
      <c r="K368" s="19">
        <f t="shared" si="102"/>
        <v>6.6767922235722968E-7</v>
      </c>
      <c r="L368" s="19">
        <f t="shared" si="103"/>
        <v>4.1777642770352377E-4</v>
      </c>
      <c r="M368" s="19">
        <f t="shared" si="104"/>
        <v>1.4307411907654922E-8</v>
      </c>
      <c r="N368" s="19">
        <f t="shared" si="110"/>
        <v>1.8728799615228837E-2</v>
      </c>
      <c r="O368" s="19">
        <v>323.36</v>
      </c>
      <c r="P368" s="19">
        <f t="shared" si="105"/>
        <v>7.9048450789793439E-5</v>
      </c>
      <c r="Q368" s="19">
        <f t="shared" si="106"/>
        <v>4.8645200486026737E-6</v>
      </c>
      <c r="R368" s="19">
        <f t="shared" si="107"/>
        <v>1.5022782503037669E-2</v>
      </c>
      <c r="S368" s="19">
        <f t="shared" si="108"/>
        <v>1.2717699473471043E-17</v>
      </c>
      <c r="T368" s="83">
        <f t="shared" si="109"/>
        <v>74.406812436938679</v>
      </c>
    </row>
    <row r="369" spans="1:20">
      <c r="A369" s="9" t="s">
        <v>1028</v>
      </c>
      <c r="B369" s="9" t="s">
        <v>11</v>
      </c>
      <c r="C369">
        <v>11</v>
      </c>
      <c r="D369" s="9">
        <v>1.2</v>
      </c>
      <c r="E369">
        <v>0</v>
      </c>
      <c r="F369">
        <v>1</v>
      </c>
      <c r="G369" s="1">
        <f t="shared" si="98"/>
        <v>0</v>
      </c>
      <c r="H369" s="19">
        <f t="shared" si="99"/>
        <v>-1.6629981773997564E-6</v>
      </c>
      <c r="I369" s="1">
        <f t="shared" si="100"/>
        <v>0</v>
      </c>
      <c r="J369" s="1">
        <f t="shared" si="101"/>
        <v>0</v>
      </c>
      <c r="K369" s="19">
        <f t="shared" si="102"/>
        <v>7.3444714459295257E-5</v>
      </c>
      <c r="L369" s="19">
        <f t="shared" si="103"/>
        <v>4.5955407047387611E-2</v>
      </c>
      <c r="M369" s="19">
        <f t="shared" si="104"/>
        <v>1.5738153098420414E-6</v>
      </c>
      <c r="N369" s="19">
        <f t="shared" si="110"/>
        <v>1.8728799615228837E-2</v>
      </c>
      <c r="O369" s="19">
        <v>324.36</v>
      </c>
      <c r="P369" s="19">
        <f t="shared" si="105"/>
        <v>8.6953295868772776E-3</v>
      </c>
      <c r="Q369" s="19">
        <f t="shared" si="106"/>
        <v>5.3509720534629401E-4</v>
      </c>
      <c r="R369" s="19">
        <f t="shared" si="107"/>
        <v>1.6525060753341436</v>
      </c>
      <c r="S369" s="19">
        <f t="shared" si="108"/>
        <v>1.3989469420818145E-15</v>
      </c>
      <c r="T369" s="83">
        <f t="shared" si="109"/>
        <v>77.470432103603443</v>
      </c>
    </row>
    <row r="370" spans="1:20">
      <c r="A370" s="2" t="s">
        <v>1322</v>
      </c>
      <c r="B370" s="2"/>
      <c r="H370" s="17"/>
      <c r="K370" s="17"/>
      <c r="L370" s="17"/>
      <c r="M370" s="17"/>
      <c r="N370" s="17"/>
      <c r="O370" s="17"/>
      <c r="P370" s="17"/>
      <c r="Q370" s="17"/>
      <c r="R370" s="17"/>
      <c r="S370" s="17"/>
      <c r="T370" s="86"/>
    </row>
    <row r="371" spans="1:20">
      <c r="A371" t="s">
        <v>1323</v>
      </c>
      <c r="B371" s="9" t="s">
        <v>11</v>
      </c>
      <c r="C371">
        <v>161</v>
      </c>
      <c r="D371">
        <v>1.2</v>
      </c>
      <c r="E371" s="69">
        <v>0.16</v>
      </c>
      <c r="F371">
        <v>1.05</v>
      </c>
      <c r="G371" s="1">
        <f t="shared" si="98"/>
        <v>2.8639999999999997E-5</v>
      </c>
      <c r="H371" s="19">
        <f>CO2_YLL_charfact*C371</f>
        <v>-2.43402460510328E-5</v>
      </c>
      <c r="I371" s="1">
        <f>E371*0.00000133</f>
        <v>2.128E-7</v>
      </c>
      <c r="J371" s="1">
        <f>E371*0.000266</f>
        <v>4.2560000000000006E-5</v>
      </c>
      <c r="K371" s="19">
        <f>CO2_severewasting_charfact*C371</f>
        <v>1.0749635479951397E-3</v>
      </c>
      <c r="L371" s="19">
        <f>CO2_workingcapacity_charfact*C371</f>
        <v>0.67262004860267322</v>
      </c>
      <c r="M371" s="19">
        <f>CO2_diarrhea_charfact*C371</f>
        <v>2.3034933171324423E-5</v>
      </c>
      <c r="N371" s="19">
        <f t="shared" si="110"/>
        <v>1.8728799615228837E-2</v>
      </c>
      <c r="O371" s="19">
        <v>324.36</v>
      </c>
      <c r="P371" s="19">
        <f>CO2_meat_charfact*C371</f>
        <v>0.12726800577156744</v>
      </c>
      <c r="Q371" s="19">
        <f>CO2_fish_charfact*C371</f>
        <v>7.831877278250304E-3</v>
      </c>
      <c r="R371" s="19">
        <f>CO2_drinkingwater_charfact*C371</f>
        <v>24.186679829890647</v>
      </c>
      <c r="S371" s="19">
        <f>CO2_NEX_charfact*C371</f>
        <v>2.0475496152288378E-14</v>
      </c>
      <c r="T371" s="83">
        <f>(G371+H371)*YLLvalue+I371*skincancervalue+J371*Lowvisionvalue+K371*severe_wasting_value+L371*working_capacity+M371*diarrhea_value+N371*cropvalue+O371*woodvalue+P371*meatvalue+Q371*fishvalue+R371*drinkingwatervalue+S371*speciesvalue</f>
        <v>119.43007523062317</v>
      </c>
    </row>
    <row r="372" spans="1:20">
      <c r="A372" t="s">
        <v>1324</v>
      </c>
      <c r="B372" s="9" t="s">
        <v>11</v>
      </c>
      <c r="C372">
        <v>2200</v>
      </c>
      <c r="D372">
        <v>1.2</v>
      </c>
      <c r="E372" s="69">
        <v>0.89</v>
      </c>
      <c r="F372">
        <v>1.05</v>
      </c>
      <c r="G372" s="1">
        <f t="shared" ref="G372:G381" si="111">E372*0.000179</f>
        <v>1.5930999999999999E-4</v>
      </c>
      <c r="H372" s="19">
        <f t="shared" ref="H372:H381" si="112">CO2_YLL_charfact*C372</f>
        <v>-3.3259963547995131E-4</v>
      </c>
      <c r="I372" s="1">
        <f t="shared" ref="I372:I381" si="113">E372*0.00000133</f>
        <v>1.1837E-6</v>
      </c>
      <c r="J372" s="1">
        <f t="shared" ref="J372:J381" si="114">E372*0.000266</f>
        <v>2.3674000000000001E-4</v>
      </c>
      <c r="K372" s="19">
        <f t="shared" ref="K372:K381" si="115">CO2_severewasting_charfact*C372</f>
        <v>1.4688942891859052E-2</v>
      </c>
      <c r="L372" s="19">
        <f t="shared" ref="L372:L381" si="116">CO2_workingcapacity_charfact*C372</f>
        <v>9.1910814094775226</v>
      </c>
      <c r="M372" s="19">
        <f t="shared" ref="M372:M381" si="117">CO2_diarrhea_charfact*C372</f>
        <v>3.1476306196840824E-4</v>
      </c>
      <c r="N372" s="19">
        <f t="shared" si="110"/>
        <v>1.8728799615228837E-2</v>
      </c>
      <c r="O372" s="19">
        <v>325.36</v>
      </c>
      <c r="P372" s="19">
        <f t="shared" ref="P372:P381" si="118">CO2_meat_charfact*C372</f>
        <v>1.7390659173754557</v>
      </c>
      <c r="Q372" s="19">
        <f t="shared" ref="Q372:Q381" si="119">CO2_fish_charfact*C372</f>
        <v>0.10701944106925881</v>
      </c>
      <c r="R372" s="19">
        <f t="shared" ref="R372:R381" si="120">CO2_drinkingwater_charfact*C372</f>
        <v>330.50121506682871</v>
      </c>
      <c r="S372" s="19">
        <f t="shared" ref="S372:S381" si="121">CO2_NEX_charfact*C372</f>
        <v>2.797893884163629E-13</v>
      </c>
      <c r="T372" s="83">
        <f t="shared" ref="T372:T381" si="122">(G372+H372)*YLLvalue+I372*skincancervalue+J372*Lowvisionvalue+K372*severe_wasting_value+L372*working_capacity+M372*diarrhea_value+N372*cropvalue+O372*woodvalue+P372*meatvalue+Q372*fishvalue+R372*drinkingwatervalue+S372*speciesvalue</f>
        <v>663.25618011285826</v>
      </c>
    </row>
    <row r="373" spans="1:20">
      <c r="A373" t="s">
        <v>1325</v>
      </c>
      <c r="B373" s="9" t="s">
        <v>11</v>
      </c>
      <c r="C373">
        <v>5.54</v>
      </c>
      <c r="D373">
        <v>1.2</v>
      </c>
      <c r="E373">
        <v>1.4999999999999999E-2</v>
      </c>
      <c r="F373">
        <v>1.2</v>
      </c>
      <c r="G373" s="1">
        <f t="shared" si="111"/>
        <v>2.6849999999999997E-6</v>
      </c>
      <c r="H373" s="19">
        <f t="shared" si="112"/>
        <v>-8.375463547995137E-7</v>
      </c>
      <c r="I373" s="1">
        <f t="shared" si="113"/>
        <v>1.995E-8</v>
      </c>
      <c r="J373" s="1">
        <f t="shared" si="114"/>
        <v>3.9899999999999999E-6</v>
      </c>
      <c r="K373" s="19">
        <f t="shared" si="115"/>
        <v>3.6989428918590526E-5</v>
      </c>
      <c r="L373" s="19">
        <f t="shared" si="116"/>
        <v>2.3144814094775215E-2</v>
      </c>
      <c r="M373" s="19">
        <f t="shared" si="117"/>
        <v>7.9263061968408259E-7</v>
      </c>
      <c r="N373" s="19">
        <f t="shared" si="110"/>
        <v>1.8728799615228837E-2</v>
      </c>
      <c r="O373" s="19">
        <v>326.36</v>
      </c>
      <c r="P373" s="19">
        <f t="shared" si="118"/>
        <v>4.3792841737545565E-3</v>
      </c>
      <c r="Q373" s="19">
        <f t="shared" si="119"/>
        <v>2.6949441069258812E-4</v>
      </c>
      <c r="R373" s="19">
        <f t="shared" si="120"/>
        <v>0.83226215066828679</v>
      </c>
      <c r="S373" s="19">
        <f t="shared" si="121"/>
        <v>7.0456055083029568E-16</v>
      </c>
      <c r="T373" s="83">
        <f t="shared" si="122"/>
        <v>76.788979844700719</v>
      </c>
    </row>
    <row r="374" spans="1:20">
      <c r="A374" s="9" t="s">
        <v>1326</v>
      </c>
      <c r="B374" s="9" t="s">
        <v>11</v>
      </c>
      <c r="C374">
        <v>11.2</v>
      </c>
      <c r="D374">
        <v>1.2</v>
      </c>
      <c r="E374">
        <v>1.4999999999999999E-2</v>
      </c>
      <c r="F374">
        <v>1.2</v>
      </c>
      <c r="G374" s="1">
        <f t="shared" si="111"/>
        <v>2.6849999999999997E-6</v>
      </c>
      <c r="H374" s="19">
        <f t="shared" si="112"/>
        <v>-1.6932345078979338E-6</v>
      </c>
      <c r="I374" s="1">
        <f t="shared" si="113"/>
        <v>1.995E-8</v>
      </c>
      <c r="J374" s="1">
        <f t="shared" si="114"/>
        <v>3.9899999999999999E-6</v>
      </c>
      <c r="K374" s="19">
        <f t="shared" si="115"/>
        <v>7.4780072904009719E-5</v>
      </c>
      <c r="L374" s="19">
        <f t="shared" si="116"/>
        <v>4.6790959902794652E-2</v>
      </c>
      <c r="M374" s="19">
        <f t="shared" si="117"/>
        <v>1.602430133657351E-6</v>
      </c>
      <c r="N374" s="19">
        <f t="shared" si="110"/>
        <v>1.8728799615228837E-2</v>
      </c>
      <c r="O374" s="19">
        <v>327.36</v>
      </c>
      <c r="P374" s="19">
        <f t="shared" si="118"/>
        <v>8.8534264884568645E-3</v>
      </c>
      <c r="Q374" s="19">
        <f t="shared" si="119"/>
        <v>5.4482624544349939E-4</v>
      </c>
      <c r="R374" s="19">
        <f t="shared" si="120"/>
        <v>1.6825516403402188</v>
      </c>
      <c r="S374" s="19">
        <f t="shared" si="121"/>
        <v>1.4243823410287565E-15</v>
      </c>
      <c r="T374" s="83">
        <f t="shared" si="122"/>
        <v>78.490382350510117</v>
      </c>
    </row>
    <row r="375" spans="1:20">
      <c r="A375" t="s">
        <v>1327</v>
      </c>
      <c r="B375" s="9" t="s">
        <v>11</v>
      </c>
      <c r="C375">
        <v>20.6</v>
      </c>
      <c r="D375">
        <v>1.2</v>
      </c>
      <c r="E375">
        <v>0.02</v>
      </c>
      <c r="F375">
        <v>1.2</v>
      </c>
      <c r="G375" s="1">
        <f t="shared" si="111"/>
        <v>3.5799999999999996E-6</v>
      </c>
      <c r="H375" s="19">
        <f t="shared" si="112"/>
        <v>-3.1143420413122713E-6</v>
      </c>
      <c r="I375" s="1">
        <f t="shared" si="113"/>
        <v>2.66E-8</v>
      </c>
      <c r="J375" s="1">
        <f t="shared" si="114"/>
        <v>5.3200000000000007E-6</v>
      </c>
      <c r="K375" s="19">
        <f t="shared" si="115"/>
        <v>1.3754191980558931E-4</v>
      </c>
      <c r="L375" s="19">
        <f t="shared" si="116"/>
        <v>8.60619441069259E-2</v>
      </c>
      <c r="M375" s="19">
        <f t="shared" si="117"/>
        <v>2.9473268529769137E-6</v>
      </c>
      <c r="N375" s="19">
        <f t="shared" si="110"/>
        <v>1.8728799615228837E-2</v>
      </c>
      <c r="O375" s="19">
        <v>328.36</v>
      </c>
      <c r="P375" s="19">
        <f t="shared" si="118"/>
        <v>1.6283980862697448E-2</v>
      </c>
      <c r="Q375" s="19">
        <f t="shared" si="119"/>
        <v>1.0020911300121507E-3</v>
      </c>
      <c r="R375" s="19">
        <f t="shared" si="120"/>
        <v>3.09469319562576</v>
      </c>
      <c r="S375" s="19">
        <f t="shared" si="121"/>
        <v>2.6198460915350346E-15</v>
      </c>
      <c r="T375" s="83">
        <f t="shared" si="122"/>
        <v>81.256706765124704</v>
      </c>
    </row>
    <row r="376" spans="1:20">
      <c r="A376" s="9" t="s">
        <v>1328</v>
      </c>
      <c r="B376" s="9" t="s">
        <v>11</v>
      </c>
      <c r="C376">
        <v>0.48099999999999998</v>
      </c>
      <c r="D376">
        <v>1.2</v>
      </c>
      <c r="E376">
        <v>0.18</v>
      </c>
      <c r="F376">
        <v>2</v>
      </c>
      <c r="G376" s="1">
        <f t="shared" si="111"/>
        <v>3.222E-5</v>
      </c>
      <c r="H376" s="19">
        <f t="shared" si="112"/>
        <v>-7.2718374848116617E-8</v>
      </c>
      <c r="I376" s="1">
        <f t="shared" si="113"/>
        <v>2.3939999999999999E-7</v>
      </c>
      <c r="J376" s="1">
        <f t="shared" si="114"/>
        <v>4.7880000000000002E-5</v>
      </c>
      <c r="K376" s="19">
        <f t="shared" si="115"/>
        <v>3.2115370595382746E-6</v>
      </c>
      <c r="L376" s="19">
        <f t="shared" si="116"/>
        <v>2.009504617253949E-3</v>
      </c>
      <c r="M376" s="19">
        <f t="shared" si="117"/>
        <v>6.8818651275820166E-8</v>
      </c>
      <c r="N376" s="19">
        <f t="shared" si="110"/>
        <v>1.8728799615228837E-2</v>
      </c>
      <c r="O376" s="19">
        <v>329.36</v>
      </c>
      <c r="P376" s="19">
        <f t="shared" si="118"/>
        <v>3.8022304829890644E-4</v>
      </c>
      <c r="Q376" s="19">
        <f t="shared" si="119"/>
        <v>2.3398341433778859E-5</v>
      </c>
      <c r="R376" s="19">
        <f t="shared" si="120"/>
        <v>7.2259583839611188E-2</v>
      </c>
      <c r="S376" s="19">
        <f t="shared" si="121"/>
        <v>6.1172134467395705E-17</v>
      </c>
      <c r="T376" s="83">
        <f t="shared" si="122"/>
        <v>79.221345848718428</v>
      </c>
    </row>
    <row r="377" spans="1:20">
      <c r="A377" t="s">
        <v>1329</v>
      </c>
      <c r="B377" s="9" t="s">
        <v>11</v>
      </c>
      <c r="C377">
        <v>1.3</v>
      </c>
      <c r="D377">
        <v>1.2</v>
      </c>
      <c r="E377">
        <v>7.4000000000000003E-3</v>
      </c>
      <c r="F377">
        <v>1.2</v>
      </c>
      <c r="G377" s="1">
        <f t="shared" si="111"/>
        <v>1.3246E-6</v>
      </c>
      <c r="H377" s="19">
        <f t="shared" si="112"/>
        <v>-1.9653614823815304E-7</v>
      </c>
      <c r="I377" s="1">
        <f t="shared" si="113"/>
        <v>9.8419999999999997E-9</v>
      </c>
      <c r="J377" s="1">
        <f t="shared" si="114"/>
        <v>1.9684000000000001E-6</v>
      </c>
      <c r="K377" s="19">
        <f t="shared" si="115"/>
        <v>8.6798298906439857E-6</v>
      </c>
      <c r="L377" s="19">
        <f t="shared" si="116"/>
        <v>5.4310935601458088E-3</v>
      </c>
      <c r="M377" s="19">
        <f t="shared" si="117"/>
        <v>1.8599635479951398E-7</v>
      </c>
      <c r="N377" s="19">
        <f t="shared" si="110"/>
        <v>1.8728799615228837E-2</v>
      </c>
      <c r="O377" s="19">
        <v>330.36</v>
      </c>
      <c r="P377" s="19">
        <f t="shared" si="118"/>
        <v>1.0276298602673148E-3</v>
      </c>
      <c r="Q377" s="19">
        <f t="shared" si="119"/>
        <v>6.323876063183476E-5</v>
      </c>
      <c r="R377" s="19">
        <f t="shared" si="120"/>
        <v>0.19529617253948969</v>
      </c>
      <c r="S377" s="19">
        <f t="shared" si="121"/>
        <v>1.6533009315512354E-16</v>
      </c>
      <c r="T377" s="83">
        <f t="shared" si="122"/>
        <v>76.465896129958821</v>
      </c>
    </row>
    <row r="378" spans="1:20">
      <c r="A378" s="9" t="s">
        <v>1330</v>
      </c>
      <c r="B378" s="9" t="s">
        <v>11</v>
      </c>
      <c r="C378">
        <v>4.3999999999999997E-2</v>
      </c>
      <c r="D378">
        <v>1.2</v>
      </c>
      <c r="E378">
        <v>0.18</v>
      </c>
      <c r="F378">
        <v>2</v>
      </c>
      <c r="G378" s="1">
        <f t="shared" si="111"/>
        <v>3.222E-5</v>
      </c>
      <c r="H378" s="19">
        <f t="shared" si="112"/>
        <v>-6.6519927095990256E-9</v>
      </c>
      <c r="I378" s="1">
        <f t="shared" si="113"/>
        <v>2.3939999999999999E-7</v>
      </c>
      <c r="J378" s="1">
        <f t="shared" si="114"/>
        <v>4.7880000000000002E-5</v>
      </c>
      <c r="K378" s="19">
        <f t="shared" si="115"/>
        <v>2.9377885783718101E-7</v>
      </c>
      <c r="L378" s="19">
        <f t="shared" si="116"/>
        <v>1.8382162818955043E-4</v>
      </c>
      <c r="M378" s="19">
        <f t="shared" si="117"/>
        <v>6.2952612393681649E-9</v>
      </c>
      <c r="N378" s="19">
        <f t="shared" si="110"/>
        <v>1.8728799615228837E-2</v>
      </c>
      <c r="O378" s="19">
        <v>331.36</v>
      </c>
      <c r="P378" s="19">
        <f t="shared" si="118"/>
        <v>3.4781318347509112E-5</v>
      </c>
      <c r="Q378" s="19">
        <f t="shared" si="119"/>
        <v>2.1403888213851762E-6</v>
      </c>
      <c r="R378" s="19">
        <f t="shared" si="120"/>
        <v>6.6100243013365737E-3</v>
      </c>
      <c r="S378" s="19">
        <f t="shared" si="121"/>
        <v>5.5957877683272581E-18</v>
      </c>
      <c r="T378" s="83">
        <f t="shared" si="122"/>
        <v>79.567741096944786</v>
      </c>
    </row>
    <row r="379" spans="1:20">
      <c r="A379" t="s">
        <v>1331</v>
      </c>
      <c r="B379" s="9" t="s">
        <v>11</v>
      </c>
      <c r="C379">
        <v>6.34</v>
      </c>
      <c r="D379">
        <v>1.2</v>
      </c>
      <c r="E379">
        <v>0.18</v>
      </c>
      <c r="F379">
        <v>2</v>
      </c>
      <c r="G379" s="1">
        <f t="shared" si="111"/>
        <v>3.222E-5</v>
      </c>
      <c r="H379" s="19">
        <f t="shared" si="112"/>
        <v>-9.5849167679222324E-7</v>
      </c>
      <c r="I379" s="1">
        <f t="shared" si="113"/>
        <v>2.3939999999999999E-7</v>
      </c>
      <c r="J379" s="1">
        <f t="shared" si="114"/>
        <v>4.7880000000000002E-5</v>
      </c>
      <c r="K379" s="19">
        <f t="shared" si="115"/>
        <v>4.233086269744836E-5</v>
      </c>
      <c r="L379" s="19">
        <f t="shared" si="116"/>
        <v>2.6487025516403404E-2</v>
      </c>
      <c r="M379" s="19">
        <f t="shared" si="117"/>
        <v>9.0708991494532192E-7</v>
      </c>
      <c r="N379" s="19">
        <f t="shared" si="110"/>
        <v>1.8728799615228837E-2</v>
      </c>
      <c r="O379" s="19">
        <v>332.36</v>
      </c>
      <c r="P379" s="19">
        <f t="shared" si="118"/>
        <v>5.0116717800729035E-3</v>
      </c>
      <c r="Q379" s="19">
        <f t="shared" si="119"/>
        <v>3.0841057108140949E-4</v>
      </c>
      <c r="R379" s="19">
        <f t="shared" si="120"/>
        <v>0.95244441069258812</v>
      </c>
      <c r="S379" s="19">
        <f t="shared" si="121"/>
        <v>8.0630214661806407E-16</v>
      </c>
      <c r="T379" s="83">
        <f t="shared" si="122"/>
        <v>81.434481410827487</v>
      </c>
    </row>
    <row r="380" spans="1:20">
      <c r="A380" s="9" t="s">
        <v>1332</v>
      </c>
      <c r="B380" s="9" t="s">
        <v>11</v>
      </c>
      <c r="C380">
        <v>0.18099999999999999</v>
      </c>
      <c r="D380">
        <v>1.2</v>
      </c>
      <c r="E380">
        <v>0.18</v>
      </c>
      <c r="F380">
        <v>2</v>
      </c>
      <c r="G380" s="1">
        <f t="shared" si="111"/>
        <v>3.222E-5</v>
      </c>
      <c r="H380" s="19">
        <f t="shared" si="112"/>
        <v>-2.7363879100850536E-8</v>
      </c>
      <c r="I380" s="1">
        <f t="shared" si="113"/>
        <v>2.3939999999999999E-7</v>
      </c>
      <c r="J380" s="1">
        <f t="shared" si="114"/>
        <v>4.7880000000000002E-5</v>
      </c>
      <c r="K380" s="19">
        <f t="shared" si="115"/>
        <v>1.2084993924665856E-6</v>
      </c>
      <c r="L380" s="19">
        <f t="shared" si="116"/>
        <v>7.5617533414337789E-4</v>
      </c>
      <c r="M380" s="19">
        <f t="shared" si="117"/>
        <v>2.5896415552855406E-8</v>
      </c>
      <c r="N380" s="19">
        <f t="shared" si="110"/>
        <v>1.8728799615228837E-2</v>
      </c>
      <c r="O380" s="19">
        <v>333.36</v>
      </c>
      <c r="P380" s="19">
        <f t="shared" si="118"/>
        <v>1.4307769592952611E-4</v>
      </c>
      <c r="Q380" s="19">
        <f t="shared" si="119"/>
        <v>8.8047812879708382E-6</v>
      </c>
      <c r="R380" s="19">
        <f t="shared" si="120"/>
        <v>2.7191236330498178E-2</v>
      </c>
      <c r="S380" s="19">
        <f t="shared" si="121"/>
        <v>2.3019036046982585E-17</v>
      </c>
      <c r="T380" s="83">
        <f t="shared" si="122"/>
        <v>80.063356316608392</v>
      </c>
    </row>
    <row r="381" spans="1:20">
      <c r="A381" t="s">
        <v>1333</v>
      </c>
      <c r="B381" s="9" t="s">
        <v>11</v>
      </c>
      <c r="C381">
        <v>7.0000000000000001E-3</v>
      </c>
      <c r="D381">
        <v>1.2</v>
      </c>
      <c r="E381">
        <v>0.18</v>
      </c>
      <c r="F381">
        <v>2</v>
      </c>
      <c r="G381" s="1">
        <f t="shared" si="111"/>
        <v>3.222E-5</v>
      </c>
      <c r="H381" s="19">
        <f t="shared" si="112"/>
        <v>-1.0582715674362088E-9</v>
      </c>
      <c r="I381" s="1">
        <f t="shared" si="113"/>
        <v>2.3939999999999999E-7</v>
      </c>
      <c r="J381" s="1">
        <f t="shared" si="114"/>
        <v>4.7880000000000002E-5</v>
      </c>
      <c r="K381" s="19">
        <f t="shared" si="115"/>
        <v>4.6737545565006077E-8</v>
      </c>
      <c r="L381" s="19">
        <f t="shared" si="116"/>
        <v>2.9244349939246661E-5</v>
      </c>
      <c r="M381" s="19">
        <f t="shared" si="117"/>
        <v>1.0015188335358446E-9</v>
      </c>
      <c r="N381" s="19">
        <f t="shared" si="110"/>
        <v>1.8728799615228837E-2</v>
      </c>
      <c r="O381" s="19">
        <v>334.36</v>
      </c>
      <c r="P381" s="19">
        <f t="shared" si="118"/>
        <v>5.5333915552855409E-6</v>
      </c>
      <c r="Q381" s="19">
        <f t="shared" si="119"/>
        <v>3.4051640340218713E-7</v>
      </c>
      <c r="R381" s="19">
        <f t="shared" si="120"/>
        <v>1.0515947752126368E-3</v>
      </c>
      <c r="S381" s="19">
        <f t="shared" si="121"/>
        <v>8.9023896314297302E-19</v>
      </c>
      <c r="T381" s="83">
        <f t="shared" si="122"/>
        <v>80.248122387984552</v>
      </c>
    </row>
    <row r="382" spans="1:20">
      <c r="A382" s="2" t="s">
        <v>1334</v>
      </c>
      <c r="B382" s="2"/>
      <c r="H382" s="17"/>
      <c r="K382" s="17"/>
      <c r="L382" s="17"/>
      <c r="M382" s="17"/>
      <c r="N382" s="17"/>
      <c r="O382" s="17"/>
      <c r="P382" s="17"/>
      <c r="Q382" s="17"/>
      <c r="R382" s="17"/>
      <c r="S382" s="17"/>
      <c r="T382" s="86"/>
    </row>
    <row r="383" spans="1:20">
      <c r="A383" t="s">
        <v>1335</v>
      </c>
      <c r="B383" s="9" t="s">
        <v>11</v>
      </c>
      <c r="C383">
        <v>2.4300000000000002</v>
      </c>
      <c r="D383">
        <v>1.2</v>
      </c>
      <c r="E383">
        <v>0.66</v>
      </c>
      <c r="F383">
        <v>1.2</v>
      </c>
      <c r="G383" s="1">
        <f>E383*0.000179</f>
        <v>1.1813999999999999E-4</v>
      </c>
      <c r="H383" s="19">
        <f t="shared" ref="H383:H399" si="123">CO2_YLL_charfact*C383</f>
        <v>-3.6737141555285532E-7</v>
      </c>
      <c r="I383" s="1">
        <f>E383*0.00000133</f>
        <v>8.7779999999999999E-7</v>
      </c>
      <c r="J383" s="1">
        <f>E383*0.000266</f>
        <v>1.7556000000000001E-4</v>
      </c>
      <c r="K383" s="19">
        <f t="shared" ref="K383:K399" si="124">CO2_severewasting_charfact*C383</f>
        <v>1.6224605103280683E-5</v>
      </c>
      <c r="L383" s="19">
        <f t="shared" ref="L383:L399" si="125">CO2_workingcapacity_charfact*C383</f>
        <v>1.0151967193195627E-2</v>
      </c>
      <c r="M383" s="19">
        <f t="shared" ref="M383:M399" si="126">CO2_diarrhea_charfact*C383</f>
        <v>3.4767010935601458E-7</v>
      </c>
      <c r="N383" s="19">
        <f t="shared" ref="N383:N446" si="127">CO2_crop_charfact</f>
        <v>1.8728799615228837E-2</v>
      </c>
      <c r="O383" s="19">
        <v>100.36</v>
      </c>
      <c r="P383" s="19">
        <f t="shared" ref="P383:P399" si="128">CO2_meat_charfact*C383</f>
        <v>1.9208773541919807E-3</v>
      </c>
      <c r="Q383" s="19">
        <f t="shared" ref="Q383:Q399" si="129">CO2_fish_charfact*C383</f>
        <v>1.1820783718104496E-4</v>
      </c>
      <c r="R383" s="19">
        <f t="shared" ref="R383:R399" si="130">CO2_drinkingwater_charfact*C383</f>
        <v>0.36505361482381538</v>
      </c>
      <c r="S383" s="19">
        <f t="shared" ref="S383:S399" si="131">CO2_NEX_charfact*C383</f>
        <v>3.0904009720534632E-16</v>
      </c>
      <c r="T383" s="83">
        <f t="shared" ref="T383:T399" si="132">(G383+H383)*YLLvalue+I383*skincancervalue+J383*Lowvisionvalue+K383*severe_wasting_value+L383*working_capacity+M383*diarrhea_value+N383*cropvalue+O383*woodvalue+P383*meatvalue+Q383*fishvalue+R383*drinkingwatervalue+S383*speciesvalue</f>
        <v>35.952649058326635</v>
      </c>
    </row>
    <row r="384" spans="1:20">
      <c r="A384" s="9" t="s">
        <v>1336</v>
      </c>
      <c r="B384" s="9" t="s">
        <v>11</v>
      </c>
      <c r="C384">
        <v>1.51</v>
      </c>
      <c r="D384">
        <v>1.2</v>
      </c>
      <c r="E384">
        <v>0.17</v>
      </c>
      <c r="F384">
        <v>1.2</v>
      </c>
      <c r="G384" s="1">
        <f>E384*0.000179</f>
        <v>3.0429999999999998E-5</v>
      </c>
      <c r="H384" s="19">
        <f t="shared" si="123"/>
        <v>-2.282842952612393E-7</v>
      </c>
      <c r="I384" s="1">
        <f>E384*0.00000133</f>
        <v>2.2610000000000002E-7</v>
      </c>
      <c r="J384" s="1">
        <f>E384*0.000266</f>
        <v>4.5220000000000004E-5</v>
      </c>
      <c r="K384" s="19">
        <f t="shared" si="124"/>
        <v>1.0081956257594168E-5</v>
      </c>
      <c r="L384" s="19">
        <f t="shared" si="125"/>
        <v>6.3084240583232082E-3</v>
      </c>
      <c r="M384" s="19">
        <f t="shared" si="126"/>
        <v>2.1604191980558931E-7</v>
      </c>
      <c r="N384" s="19">
        <f t="shared" si="127"/>
        <v>1.8728799615228837E-2</v>
      </c>
      <c r="O384" s="19">
        <v>101.36</v>
      </c>
      <c r="P384" s="19">
        <f t="shared" si="128"/>
        <v>1.193631606925881E-3</v>
      </c>
      <c r="Q384" s="19">
        <f t="shared" si="129"/>
        <v>7.3454252733900368E-5</v>
      </c>
      <c r="R384" s="19">
        <f t="shared" si="130"/>
        <v>0.2268440157958688</v>
      </c>
      <c r="S384" s="19">
        <f t="shared" si="131"/>
        <v>1.9203726204941274E-16</v>
      </c>
      <c r="T384" s="83">
        <f t="shared" si="132"/>
        <v>26.863545126855847</v>
      </c>
    </row>
    <row r="385" spans="1:20">
      <c r="A385" s="9" t="s">
        <v>1337</v>
      </c>
      <c r="B385" s="9" t="s">
        <v>11</v>
      </c>
      <c r="C385">
        <v>454</v>
      </c>
      <c r="D385">
        <v>1.2</v>
      </c>
      <c r="E385">
        <v>0.74</v>
      </c>
      <c r="F385">
        <v>1.2</v>
      </c>
      <c r="G385" s="1">
        <f>E385*0.000179</f>
        <v>1.3245999999999999E-4</v>
      </c>
      <c r="H385" s="19">
        <f t="shared" si="123"/>
        <v>-6.8636470230862683E-5</v>
      </c>
      <c r="I385" s="1">
        <f>E385*0.00000133</f>
        <v>9.8420000000000004E-7</v>
      </c>
      <c r="J385" s="1">
        <f>E385*0.000266</f>
        <v>1.9684000000000002E-4</v>
      </c>
      <c r="K385" s="19">
        <f t="shared" si="124"/>
        <v>3.0312636695018227E-3</v>
      </c>
      <c r="L385" s="19">
        <f t="shared" si="125"/>
        <v>1.8967049817739976</v>
      </c>
      <c r="M385" s="19">
        <f t="shared" si="126"/>
        <v>6.4955650060753345E-5</v>
      </c>
      <c r="N385" s="19">
        <f t="shared" si="127"/>
        <v>1.8728799615228837E-2</v>
      </c>
      <c r="O385" s="19">
        <v>100.36</v>
      </c>
      <c r="P385" s="19">
        <f t="shared" si="128"/>
        <v>0.35887996658566218</v>
      </c>
      <c r="Q385" s="19">
        <f t="shared" si="129"/>
        <v>2.2084921020656137E-2</v>
      </c>
      <c r="R385" s="19">
        <f t="shared" si="130"/>
        <v>68.203432563791011</v>
      </c>
      <c r="S385" s="19">
        <f t="shared" si="131"/>
        <v>5.7738355609558528E-14</v>
      </c>
      <c r="T385" s="83">
        <f t="shared" si="132"/>
        <v>154.82753097742844</v>
      </c>
    </row>
    <row r="386" spans="1:20">
      <c r="A386" s="9" t="s">
        <v>1338</v>
      </c>
      <c r="B386" s="9" t="s">
        <v>11</v>
      </c>
      <c r="C386">
        <v>380</v>
      </c>
      <c r="D386">
        <v>1.2</v>
      </c>
      <c r="E386">
        <v>0.74</v>
      </c>
      <c r="F386">
        <v>1.2</v>
      </c>
      <c r="G386" s="1">
        <f t="shared" ref="G386:G399" si="133">E386*0.000179</f>
        <v>1.3245999999999999E-4</v>
      </c>
      <c r="H386" s="19">
        <f t="shared" si="123"/>
        <v>-5.7449027946537044E-5</v>
      </c>
      <c r="I386" s="1">
        <f t="shared" ref="I386:I399" si="134">E386*0.00000133</f>
        <v>9.8420000000000004E-7</v>
      </c>
      <c r="J386" s="1">
        <f t="shared" ref="J386:J399" si="135">E386*0.000266</f>
        <v>1.9684000000000002E-4</v>
      </c>
      <c r="K386" s="19">
        <f t="shared" si="124"/>
        <v>2.5371810449574725E-3</v>
      </c>
      <c r="L386" s="19">
        <f t="shared" si="125"/>
        <v>1.5875504252733901</v>
      </c>
      <c r="M386" s="19">
        <f t="shared" si="126"/>
        <v>5.4368165249088696E-5</v>
      </c>
      <c r="N386" s="19">
        <f t="shared" si="127"/>
        <v>1.8728799615228837E-2</v>
      </c>
      <c r="O386" s="19">
        <v>101.36</v>
      </c>
      <c r="P386" s="19">
        <f t="shared" si="128"/>
        <v>0.30038411300121504</v>
      </c>
      <c r="Q386" s="19">
        <f t="shared" si="129"/>
        <v>1.8485176184690158E-2</v>
      </c>
      <c r="R386" s="19">
        <f t="shared" si="130"/>
        <v>57.086573511543136</v>
      </c>
      <c r="S386" s="19">
        <f t="shared" si="131"/>
        <v>4.8327257999189956E-14</v>
      </c>
      <c r="T386" s="83">
        <f t="shared" si="132"/>
        <v>135.82011305695198</v>
      </c>
    </row>
    <row r="387" spans="1:20">
      <c r="A387" t="s">
        <v>1339</v>
      </c>
      <c r="B387" s="9" t="s">
        <v>11</v>
      </c>
      <c r="C387">
        <v>216</v>
      </c>
      <c r="D387">
        <v>1.2</v>
      </c>
      <c r="E387">
        <v>1.8</v>
      </c>
      <c r="F387">
        <v>1.2</v>
      </c>
      <c r="G387" s="1">
        <f t="shared" si="133"/>
        <v>3.2219999999999997E-4</v>
      </c>
      <c r="H387" s="19">
        <f t="shared" si="123"/>
        <v>-3.2655236938031584E-5</v>
      </c>
      <c r="I387" s="1">
        <f t="shared" si="134"/>
        <v>2.3939999999999999E-6</v>
      </c>
      <c r="J387" s="1">
        <f t="shared" si="135"/>
        <v>4.7880000000000004E-4</v>
      </c>
      <c r="K387" s="19">
        <f t="shared" si="124"/>
        <v>1.442187120291616E-3</v>
      </c>
      <c r="L387" s="19">
        <f t="shared" si="125"/>
        <v>0.90239708383961126</v>
      </c>
      <c r="M387" s="19">
        <f t="shared" si="126"/>
        <v>3.0904009720534627E-5</v>
      </c>
      <c r="N387" s="19">
        <f t="shared" si="127"/>
        <v>1.8728799615228837E-2</v>
      </c>
      <c r="O387" s="19">
        <v>102.36</v>
      </c>
      <c r="P387" s="19">
        <f t="shared" si="128"/>
        <v>0.17074465370595382</v>
      </c>
      <c r="Q387" s="19">
        <f t="shared" si="129"/>
        <v>1.0507363304981775E-2</v>
      </c>
      <c r="R387" s="19">
        <f t="shared" si="130"/>
        <v>32.449210206561361</v>
      </c>
      <c r="S387" s="19">
        <f t="shared" si="131"/>
        <v>2.7470230862697451E-14</v>
      </c>
      <c r="T387" s="83">
        <f t="shared" si="132"/>
        <v>113.05814610546376</v>
      </c>
    </row>
    <row r="388" spans="1:20">
      <c r="A388" t="s">
        <v>1340</v>
      </c>
      <c r="B388" s="9" t="s">
        <v>11</v>
      </c>
      <c r="C388">
        <v>1930</v>
      </c>
      <c r="D388">
        <v>1.2</v>
      </c>
      <c r="E388">
        <v>7.9</v>
      </c>
      <c r="F388">
        <v>1.5</v>
      </c>
      <c r="G388" s="1">
        <f t="shared" si="133"/>
        <v>1.4140999999999999E-3</v>
      </c>
      <c r="H388" s="19">
        <f t="shared" si="123"/>
        <v>-2.9178058930741179E-4</v>
      </c>
      <c r="I388" s="1">
        <f t="shared" si="134"/>
        <v>1.0507E-5</v>
      </c>
      <c r="J388" s="1">
        <f t="shared" si="135"/>
        <v>2.1014000000000002E-3</v>
      </c>
      <c r="K388" s="19">
        <f t="shared" si="124"/>
        <v>1.2886208991494532E-2</v>
      </c>
      <c r="L388" s="19">
        <f t="shared" si="125"/>
        <v>8.0630850546780071</v>
      </c>
      <c r="M388" s="19">
        <f t="shared" si="126"/>
        <v>2.7613304981773996E-4</v>
      </c>
      <c r="N388" s="19">
        <f t="shared" si="127"/>
        <v>1.8728799615228837E-2</v>
      </c>
      <c r="O388" s="19">
        <v>103.36</v>
      </c>
      <c r="P388" s="19">
        <f t="shared" si="128"/>
        <v>1.5256351002430133</v>
      </c>
      <c r="Q388" s="19">
        <f t="shared" si="129"/>
        <v>9.3885236938031594E-2</v>
      </c>
      <c r="R388" s="19">
        <f t="shared" si="130"/>
        <v>289.93970230862698</v>
      </c>
      <c r="S388" s="19">
        <f t="shared" si="131"/>
        <v>2.4545159983799109E-13</v>
      </c>
      <c r="T388" s="83">
        <f t="shared" si="132"/>
        <v>671.90427793082245</v>
      </c>
    </row>
    <row r="389" spans="1:20">
      <c r="A389" t="s">
        <v>1341</v>
      </c>
      <c r="B389" s="9" t="s">
        <v>11</v>
      </c>
      <c r="C389">
        <v>7200</v>
      </c>
      <c r="D389">
        <v>1.2</v>
      </c>
      <c r="E389">
        <v>15.9</v>
      </c>
      <c r="F389">
        <v>1.3</v>
      </c>
      <c r="G389" s="1">
        <f t="shared" si="133"/>
        <v>2.8460999999999998E-3</v>
      </c>
      <c r="H389" s="19">
        <f t="shared" si="123"/>
        <v>-1.088507897934386E-3</v>
      </c>
      <c r="I389" s="1">
        <f t="shared" si="134"/>
        <v>2.1146999999999999E-5</v>
      </c>
      <c r="J389" s="1">
        <f t="shared" si="135"/>
        <v>4.2294000000000003E-3</v>
      </c>
      <c r="K389" s="19">
        <f t="shared" si="124"/>
        <v>4.8072904009720537E-2</v>
      </c>
      <c r="L389" s="19">
        <f t="shared" si="125"/>
        <v>30.079902794653709</v>
      </c>
      <c r="M389" s="19">
        <f t="shared" si="126"/>
        <v>1.0301336573511543E-3</v>
      </c>
      <c r="N389" s="19">
        <f t="shared" si="127"/>
        <v>1.8728799615228837E-2</v>
      </c>
      <c r="O389" s="19">
        <v>104.36</v>
      </c>
      <c r="P389" s="19">
        <f t="shared" si="128"/>
        <v>5.6914884568651276</v>
      </c>
      <c r="Q389" s="19">
        <f t="shared" si="129"/>
        <v>0.35024544349939246</v>
      </c>
      <c r="R389" s="19">
        <f t="shared" si="130"/>
        <v>1081.640340218712</v>
      </c>
      <c r="S389" s="19">
        <f t="shared" si="131"/>
        <v>9.1567436208991508E-13</v>
      </c>
      <c r="T389" s="83">
        <f t="shared" si="132"/>
        <v>2190.3942455971833</v>
      </c>
    </row>
    <row r="390" spans="1:20">
      <c r="A390" t="s">
        <v>1342</v>
      </c>
      <c r="B390" s="9" t="s">
        <v>11</v>
      </c>
      <c r="C390">
        <v>177</v>
      </c>
      <c r="D390">
        <v>1.2</v>
      </c>
      <c r="E390">
        <v>1</v>
      </c>
      <c r="F390">
        <v>1.2</v>
      </c>
      <c r="G390" s="1">
        <f t="shared" si="133"/>
        <v>1.7899999999999999E-4</v>
      </c>
      <c r="H390" s="19">
        <f t="shared" si="123"/>
        <v>-2.6759152490886989E-5</v>
      </c>
      <c r="I390" s="1">
        <f t="shared" si="134"/>
        <v>1.33E-6</v>
      </c>
      <c r="J390" s="1">
        <f t="shared" si="135"/>
        <v>2.6600000000000001E-4</v>
      </c>
      <c r="K390" s="19">
        <f t="shared" si="124"/>
        <v>1.1817922235722964E-3</v>
      </c>
      <c r="L390" s="19">
        <f t="shared" si="125"/>
        <v>0.73946427703523698</v>
      </c>
      <c r="M390" s="19">
        <f t="shared" si="126"/>
        <v>2.5324119076549209E-5</v>
      </c>
      <c r="N390" s="19">
        <f t="shared" si="127"/>
        <v>1.8728799615228837E-2</v>
      </c>
      <c r="O390" s="19">
        <v>105.36</v>
      </c>
      <c r="P390" s="19">
        <f t="shared" si="128"/>
        <v>0.1399157578979344</v>
      </c>
      <c r="Q390" s="19">
        <f t="shared" si="129"/>
        <v>8.6102004860267312E-3</v>
      </c>
      <c r="R390" s="19">
        <f t="shared" si="130"/>
        <v>26.590325030376672</v>
      </c>
      <c r="S390" s="19">
        <f t="shared" si="131"/>
        <v>2.2510328068043744E-14</v>
      </c>
      <c r="T390" s="83">
        <f t="shared" si="132"/>
        <v>88.785121571158626</v>
      </c>
    </row>
    <row r="391" spans="1:20">
      <c r="A391" t="s">
        <v>1343</v>
      </c>
      <c r="B391" s="9" t="s">
        <v>11</v>
      </c>
      <c r="C391">
        <v>45</v>
      </c>
      <c r="D391">
        <v>1.2</v>
      </c>
      <c r="E391">
        <v>1.6</v>
      </c>
      <c r="F391">
        <v>1.4</v>
      </c>
      <c r="G391" s="1">
        <f t="shared" si="133"/>
        <v>2.8639999999999997E-4</v>
      </c>
      <c r="H391" s="19">
        <f t="shared" si="123"/>
        <v>-6.8031743620899129E-6</v>
      </c>
      <c r="I391" s="1">
        <f t="shared" si="134"/>
        <v>2.1280000000000002E-6</v>
      </c>
      <c r="J391" s="1">
        <f t="shared" si="135"/>
        <v>4.2560000000000005E-4</v>
      </c>
      <c r="K391" s="19">
        <f t="shared" si="124"/>
        <v>3.0045565006075336E-4</v>
      </c>
      <c r="L391" s="19">
        <f t="shared" si="125"/>
        <v>0.18799939246658567</v>
      </c>
      <c r="M391" s="19">
        <f t="shared" si="126"/>
        <v>6.4383353584447147E-6</v>
      </c>
      <c r="N391" s="19">
        <f t="shared" si="127"/>
        <v>1.8728799615228837E-2</v>
      </c>
      <c r="O391" s="19">
        <v>106.36</v>
      </c>
      <c r="P391" s="19">
        <f t="shared" si="128"/>
        <v>3.5571802855407043E-2</v>
      </c>
      <c r="Q391" s="19">
        <f t="shared" si="129"/>
        <v>2.1890340218712031E-3</v>
      </c>
      <c r="R391" s="19">
        <f t="shared" si="130"/>
        <v>6.7602521263669511</v>
      </c>
      <c r="S391" s="19">
        <f t="shared" si="131"/>
        <v>5.7229647630619685E-15</v>
      </c>
      <c r="T391" s="83">
        <f t="shared" si="132"/>
        <v>65.818016462741241</v>
      </c>
    </row>
    <row r="392" spans="1:20">
      <c r="A392" t="s">
        <v>1344</v>
      </c>
      <c r="B392" s="9" t="s">
        <v>11</v>
      </c>
      <c r="C392">
        <v>201</v>
      </c>
      <c r="D392">
        <v>1.2</v>
      </c>
      <c r="E392">
        <v>2</v>
      </c>
      <c r="F392">
        <v>2</v>
      </c>
      <c r="G392" s="1">
        <f t="shared" si="133"/>
        <v>3.5799999999999997E-4</v>
      </c>
      <c r="H392" s="19">
        <f t="shared" si="123"/>
        <v>-3.0387512150668279E-5</v>
      </c>
      <c r="I392" s="1">
        <f t="shared" si="134"/>
        <v>2.6599999999999999E-6</v>
      </c>
      <c r="J392" s="1">
        <f t="shared" si="135"/>
        <v>5.3200000000000003E-4</v>
      </c>
      <c r="K392" s="19">
        <f t="shared" si="124"/>
        <v>1.3420352369380316E-3</v>
      </c>
      <c r="L392" s="19">
        <f t="shared" si="125"/>
        <v>0.83973061968408269</v>
      </c>
      <c r="M392" s="19">
        <f t="shared" si="126"/>
        <v>2.8757897934386391E-5</v>
      </c>
      <c r="N392" s="19">
        <f t="shared" si="127"/>
        <v>1.8728799615228837E-2</v>
      </c>
      <c r="O392" s="19">
        <v>107.36</v>
      </c>
      <c r="P392" s="19">
        <f t="shared" si="128"/>
        <v>0.15888738608748482</v>
      </c>
      <c r="Q392" s="19">
        <f t="shared" si="129"/>
        <v>9.7776852976913728E-3</v>
      </c>
      <c r="R392" s="19">
        <f t="shared" si="130"/>
        <v>30.195792831105713</v>
      </c>
      <c r="S392" s="19">
        <f t="shared" si="131"/>
        <v>2.5562575941676794E-14</v>
      </c>
      <c r="T392" s="83">
        <f t="shared" si="132"/>
        <v>114.01476583996178</v>
      </c>
    </row>
    <row r="393" spans="1:20">
      <c r="A393" t="s">
        <v>1345</v>
      </c>
      <c r="B393" s="9" t="s">
        <v>11</v>
      </c>
      <c r="C393">
        <v>2170</v>
      </c>
      <c r="D393">
        <v>1.2</v>
      </c>
      <c r="E393">
        <v>13</v>
      </c>
      <c r="F393">
        <v>1.5</v>
      </c>
      <c r="G393" s="1">
        <f t="shared" si="133"/>
        <v>2.3269999999999996E-3</v>
      </c>
      <c r="H393" s="19">
        <f t="shared" si="123"/>
        <v>-3.2806418590522468E-4</v>
      </c>
      <c r="I393" s="1">
        <f t="shared" si="134"/>
        <v>1.7289999999999999E-5</v>
      </c>
      <c r="J393" s="1">
        <f t="shared" si="135"/>
        <v>3.4580000000000001E-3</v>
      </c>
      <c r="K393" s="19">
        <f t="shared" si="124"/>
        <v>1.4488639125151883E-2</v>
      </c>
      <c r="L393" s="19">
        <f t="shared" si="125"/>
        <v>9.0657484811664641</v>
      </c>
      <c r="M393" s="19">
        <f t="shared" si="126"/>
        <v>3.1047083839611179E-4</v>
      </c>
      <c r="N393" s="19">
        <f t="shared" si="127"/>
        <v>1.8728799615228837E-2</v>
      </c>
      <c r="O393" s="19">
        <v>108.36</v>
      </c>
      <c r="P393" s="19">
        <f t="shared" si="128"/>
        <v>1.7153513821385176</v>
      </c>
      <c r="Q393" s="19">
        <f t="shared" si="129"/>
        <v>0.10556008505467801</v>
      </c>
      <c r="R393" s="19">
        <f t="shared" si="130"/>
        <v>325.9943803159174</v>
      </c>
      <c r="S393" s="19">
        <f t="shared" si="131"/>
        <v>2.7597407857432161E-13</v>
      </c>
      <c r="T393" s="83">
        <f t="shared" si="132"/>
        <v>829.95136028885429</v>
      </c>
    </row>
    <row r="394" spans="1:20">
      <c r="A394" t="s">
        <v>1346</v>
      </c>
      <c r="B394" s="9" t="s">
        <v>11</v>
      </c>
      <c r="C394">
        <v>0.25</v>
      </c>
      <c r="D394">
        <v>1.2</v>
      </c>
      <c r="E394">
        <v>3</v>
      </c>
      <c r="F394">
        <v>1.5</v>
      </c>
      <c r="G394" s="1">
        <f t="shared" si="133"/>
        <v>5.3699999999999993E-4</v>
      </c>
      <c r="H394" s="19">
        <f t="shared" si="123"/>
        <v>-3.7795413122721738E-8</v>
      </c>
      <c r="I394" s="1">
        <f t="shared" si="134"/>
        <v>3.9899999999999999E-6</v>
      </c>
      <c r="J394" s="1">
        <f t="shared" si="135"/>
        <v>7.980000000000001E-4</v>
      </c>
      <c r="K394" s="19">
        <f t="shared" si="124"/>
        <v>1.6691980558930741E-6</v>
      </c>
      <c r="L394" s="19">
        <f t="shared" si="125"/>
        <v>1.0444410692588093E-3</v>
      </c>
      <c r="M394" s="19">
        <f t="shared" si="126"/>
        <v>3.5768529769137302E-8</v>
      </c>
      <c r="N394" s="19">
        <f t="shared" si="127"/>
        <v>1.8728799615228837E-2</v>
      </c>
      <c r="O394" s="19">
        <v>109.36</v>
      </c>
      <c r="P394" s="19">
        <f t="shared" si="128"/>
        <v>1.9762112697448359E-4</v>
      </c>
      <c r="Q394" s="19">
        <f t="shared" si="129"/>
        <v>1.2161300121506683E-5</v>
      </c>
      <c r="R394" s="19">
        <f t="shared" si="130"/>
        <v>3.7556956257594171E-2</v>
      </c>
      <c r="S394" s="19">
        <f t="shared" si="131"/>
        <v>3.1794248683677604E-17</v>
      </c>
      <c r="T394" s="83">
        <f t="shared" si="132"/>
        <v>80.81725230299368</v>
      </c>
    </row>
    <row r="395" spans="1:20">
      <c r="A395" t="s">
        <v>1347</v>
      </c>
      <c r="B395" s="9" t="s">
        <v>11</v>
      </c>
      <c r="C395">
        <v>4.74</v>
      </c>
      <c r="D395">
        <v>1.2</v>
      </c>
      <c r="E395">
        <v>1</v>
      </c>
      <c r="F395">
        <v>2</v>
      </c>
      <c r="G395" s="1">
        <f t="shared" si="133"/>
        <v>1.7899999999999999E-4</v>
      </c>
      <c r="H395" s="19">
        <f t="shared" si="123"/>
        <v>-7.1660103280680416E-7</v>
      </c>
      <c r="I395" s="1">
        <f t="shared" si="134"/>
        <v>1.33E-6</v>
      </c>
      <c r="J395" s="1">
        <f t="shared" si="135"/>
        <v>2.6600000000000001E-4</v>
      </c>
      <c r="K395" s="19">
        <f t="shared" si="124"/>
        <v>3.1647995139732686E-5</v>
      </c>
      <c r="L395" s="19">
        <f t="shared" si="125"/>
        <v>1.9802602673147027E-2</v>
      </c>
      <c r="M395" s="19">
        <f t="shared" si="126"/>
        <v>6.7817132442284327E-7</v>
      </c>
      <c r="N395" s="19">
        <f t="shared" si="127"/>
        <v>1.8728799615228837E-2</v>
      </c>
      <c r="O395" s="19">
        <v>110.36</v>
      </c>
      <c r="P395" s="19">
        <f t="shared" si="128"/>
        <v>3.7468965674362091E-3</v>
      </c>
      <c r="Q395" s="19">
        <f t="shared" si="129"/>
        <v>2.3057825030376673E-4</v>
      </c>
      <c r="R395" s="19">
        <f t="shared" si="130"/>
        <v>0.71207989064398547</v>
      </c>
      <c r="S395" s="19">
        <f t="shared" si="131"/>
        <v>6.0281895504252739E-16</v>
      </c>
      <c r="T395" s="83">
        <f t="shared" si="132"/>
        <v>45.153532233573941</v>
      </c>
    </row>
    <row r="396" spans="1:20">
      <c r="A396" t="s">
        <v>1348</v>
      </c>
      <c r="B396" s="9" t="s">
        <v>11</v>
      </c>
      <c r="C396">
        <v>0.48699999999999999</v>
      </c>
      <c r="D396">
        <v>1.2</v>
      </c>
      <c r="E396">
        <v>0.23</v>
      </c>
      <c r="F396">
        <v>1.5</v>
      </c>
      <c r="G396" s="1">
        <f t="shared" si="133"/>
        <v>4.1170000000000001E-5</v>
      </c>
      <c r="H396" s="19">
        <f t="shared" si="123"/>
        <v>-7.362546476306194E-8</v>
      </c>
      <c r="I396" s="1">
        <f t="shared" si="134"/>
        <v>3.0590000000000001E-7</v>
      </c>
      <c r="J396" s="1">
        <f t="shared" si="135"/>
        <v>6.1180000000000007E-5</v>
      </c>
      <c r="K396" s="19">
        <f t="shared" si="124"/>
        <v>3.2515978128797085E-6</v>
      </c>
      <c r="L396" s="19">
        <f t="shared" si="125"/>
        <v>2.0345712029161606E-3</v>
      </c>
      <c r="M396" s="19">
        <f t="shared" si="126"/>
        <v>6.9677095990279463E-8</v>
      </c>
      <c r="N396" s="19">
        <f t="shared" si="127"/>
        <v>1.8728799615228837E-2</v>
      </c>
      <c r="O396" s="19">
        <v>111.36</v>
      </c>
      <c r="P396" s="19">
        <f t="shared" si="128"/>
        <v>3.8496595534629402E-4</v>
      </c>
      <c r="Q396" s="19">
        <f t="shared" si="129"/>
        <v>2.3690212636695017E-5</v>
      </c>
      <c r="R396" s="19">
        <f t="shared" si="130"/>
        <v>7.3160950789793441E-2</v>
      </c>
      <c r="S396" s="19">
        <f t="shared" si="131"/>
        <v>6.1935196435803975E-17</v>
      </c>
      <c r="T396" s="83">
        <f t="shared" si="132"/>
        <v>30.009429724360619</v>
      </c>
    </row>
    <row r="397" spans="1:20">
      <c r="A397" t="s">
        <v>1349</v>
      </c>
      <c r="B397" s="9" t="s">
        <v>11</v>
      </c>
      <c r="C397">
        <v>1.02</v>
      </c>
      <c r="D397">
        <v>1.2</v>
      </c>
      <c r="E397">
        <v>0.1</v>
      </c>
      <c r="F397">
        <v>2</v>
      </c>
      <c r="G397" s="1">
        <f t="shared" si="133"/>
        <v>1.7899999999999998E-5</v>
      </c>
      <c r="H397" s="19">
        <f t="shared" si="123"/>
        <v>-1.542052855407047E-7</v>
      </c>
      <c r="I397" s="1">
        <f t="shared" si="134"/>
        <v>1.3300000000000001E-7</v>
      </c>
      <c r="J397" s="1">
        <f t="shared" si="135"/>
        <v>2.6600000000000003E-5</v>
      </c>
      <c r="K397" s="19">
        <f t="shared" si="124"/>
        <v>6.8103280680437429E-6</v>
      </c>
      <c r="L397" s="19">
        <f t="shared" si="125"/>
        <v>4.261319562575942E-3</v>
      </c>
      <c r="M397" s="19">
        <f t="shared" si="126"/>
        <v>1.4593560145808021E-7</v>
      </c>
      <c r="N397" s="19">
        <f t="shared" si="127"/>
        <v>1.8728799615228837E-2</v>
      </c>
      <c r="O397" s="19">
        <v>112.36</v>
      </c>
      <c r="P397" s="19">
        <f t="shared" si="128"/>
        <v>8.0629419805589302E-4</v>
      </c>
      <c r="Q397" s="19">
        <f t="shared" si="129"/>
        <v>4.9618104495747265E-5</v>
      </c>
      <c r="R397" s="19">
        <f t="shared" si="130"/>
        <v>0.15323238153098423</v>
      </c>
      <c r="S397" s="19">
        <f t="shared" si="131"/>
        <v>1.2972053462940463E-16</v>
      </c>
      <c r="T397" s="83">
        <f t="shared" si="132"/>
        <v>27.969028505409451</v>
      </c>
    </row>
    <row r="398" spans="1:20">
      <c r="A398" t="s">
        <v>1350</v>
      </c>
      <c r="B398" s="9" t="s">
        <v>11</v>
      </c>
      <c r="C398">
        <v>5.1999999999999998E-2</v>
      </c>
      <c r="D398">
        <v>1.2</v>
      </c>
      <c r="E398">
        <v>0.09</v>
      </c>
      <c r="F398">
        <v>1.5</v>
      </c>
      <c r="G398" s="1">
        <f t="shared" si="133"/>
        <v>1.611E-5</v>
      </c>
      <c r="H398" s="19">
        <f t="shared" si="123"/>
        <v>-7.8614459295261209E-9</v>
      </c>
      <c r="I398" s="1">
        <f t="shared" si="134"/>
        <v>1.1969999999999999E-7</v>
      </c>
      <c r="J398" s="1">
        <f t="shared" si="135"/>
        <v>2.3940000000000001E-5</v>
      </c>
      <c r="K398" s="19">
        <f t="shared" si="124"/>
        <v>3.4719319562575943E-7</v>
      </c>
      <c r="L398" s="19">
        <f t="shared" si="125"/>
        <v>2.1724374240583233E-4</v>
      </c>
      <c r="M398" s="19">
        <f t="shared" si="126"/>
        <v>7.4398541919805582E-9</v>
      </c>
      <c r="N398" s="19">
        <f t="shared" si="127"/>
        <v>1.8728799615228837E-2</v>
      </c>
      <c r="O398" s="19">
        <v>113.36</v>
      </c>
      <c r="P398" s="19">
        <f t="shared" si="128"/>
        <v>4.1105194410692582E-5</v>
      </c>
      <c r="Q398" s="19">
        <f t="shared" si="129"/>
        <v>2.52955042527339E-6</v>
      </c>
      <c r="R398" s="19">
        <f t="shared" si="130"/>
        <v>7.8118469015795869E-3</v>
      </c>
      <c r="S398" s="19">
        <f t="shared" si="131"/>
        <v>6.6132037262049411E-18</v>
      </c>
      <c r="T398" s="83">
        <f t="shared" si="132"/>
        <v>27.76207746480106</v>
      </c>
    </row>
    <row r="399" spans="1:20">
      <c r="A399" t="s">
        <v>1351</v>
      </c>
      <c r="B399" s="9" t="s">
        <v>11</v>
      </c>
      <c r="C399">
        <v>0.126</v>
      </c>
      <c r="D399">
        <v>1.2</v>
      </c>
      <c r="E399">
        <v>0.09</v>
      </c>
      <c r="F399">
        <v>1.5</v>
      </c>
      <c r="G399" s="1">
        <f t="shared" si="133"/>
        <v>1.611E-5</v>
      </c>
      <c r="H399" s="19">
        <f t="shared" si="123"/>
        <v>-1.9048888213851756E-8</v>
      </c>
      <c r="I399" s="1">
        <f t="shared" si="134"/>
        <v>1.1969999999999999E-7</v>
      </c>
      <c r="J399" s="1">
        <f t="shared" si="135"/>
        <v>2.3940000000000001E-5</v>
      </c>
      <c r="K399" s="19">
        <f t="shared" si="124"/>
        <v>8.4127582017010937E-7</v>
      </c>
      <c r="L399" s="19">
        <f t="shared" si="125"/>
        <v>5.2639829890643993E-4</v>
      </c>
      <c r="M399" s="19">
        <f t="shared" si="126"/>
        <v>1.8027339003645202E-8</v>
      </c>
      <c r="N399" s="19">
        <f t="shared" si="127"/>
        <v>1.8728799615228837E-2</v>
      </c>
      <c r="O399" s="19">
        <v>114.36</v>
      </c>
      <c r="P399" s="19">
        <f t="shared" si="128"/>
        <v>9.9601047995139734E-5</v>
      </c>
      <c r="Q399" s="19">
        <f t="shared" si="129"/>
        <v>6.1292952612393685E-6</v>
      </c>
      <c r="R399" s="19">
        <f t="shared" si="130"/>
        <v>1.8928705953827462E-2</v>
      </c>
      <c r="S399" s="19">
        <f t="shared" si="131"/>
        <v>1.6024301336573514E-17</v>
      </c>
      <c r="T399" s="83">
        <f t="shared" si="132"/>
        <v>28.011314882721539</v>
      </c>
    </row>
    <row r="400" spans="1:20">
      <c r="A400" s="2" t="s">
        <v>1352</v>
      </c>
      <c r="B400" s="2"/>
      <c r="G400" s="1"/>
      <c r="H400" s="18"/>
      <c r="I400" s="1"/>
      <c r="J400" s="1"/>
      <c r="K400" s="18"/>
      <c r="L400" s="18"/>
      <c r="M400" s="18"/>
      <c r="N400" s="18"/>
      <c r="O400" s="18"/>
      <c r="P400" s="18"/>
      <c r="Q400" s="18"/>
      <c r="R400" s="18"/>
      <c r="S400" s="18"/>
      <c r="T400" s="84"/>
    </row>
    <row r="401" spans="1:20">
      <c r="A401" s="9" t="s">
        <v>1353</v>
      </c>
      <c r="B401" s="9" t="s">
        <v>11</v>
      </c>
      <c r="C401">
        <v>17400</v>
      </c>
      <c r="D401">
        <v>1.2</v>
      </c>
      <c r="E401">
        <v>0</v>
      </c>
      <c r="F401">
        <v>1</v>
      </c>
      <c r="G401" s="1">
        <f t="shared" ref="G401:G464" si="136">E401*0.000179</f>
        <v>0</v>
      </c>
      <c r="H401" s="19">
        <f t="shared" ref="H401:H428" si="137">CO2_YLL_charfact*C401</f>
        <v>-2.6305607533414327E-3</v>
      </c>
      <c r="I401" s="1">
        <f t="shared" ref="I401:I464" si="138">E401*0.00000133</f>
        <v>0</v>
      </c>
      <c r="J401" s="1">
        <f t="shared" ref="J401:J464" si="139">E401*0.000266</f>
        <v>0</v>
      </c>
      <c r="K401" s="19">
        <f t="shared" ref="K401:K428" si="140">CO2_severewasting_charfact*C401</f>
        <v>0.11617618469015796</v>
      </c>
      <c r="L401" s="19">
        <f t="shared" ref="L401:L428" si="141">CO2_workingcapacity_charfact*C401</f>
        <v>72.693098420413122</v>
      </c>
      <c r="M401" s="19">
        <f t="shared" ref="M401:M428" si="142">CO2_diarrhea_charfact*C401</f>
        <v>2.4894896719319564E-3</v>
      </c>
      <c r="N401" s="19">
        <f t="shared" si="127"/>
        <v>1.8728799615228837E-2</v>
      </c>
      <c r="O401" s="19">
        <v>116.36</v>
      </c>
      <c r="P401" s="19">
        <f t="shared" ref="P401:P428" si="143">CO2_meat_charfact*C401</f>
        <v>13.754430437424057</v>
      </c>
      <c r="Q401" s="19">
        <f t="shared" ref="Q401:Q428" si="144">CO2_fish_charfact*C401</f>
        <v>0.84642648845686519</v>
      </c>
      <c r="R401" s="19">
        <f t="shared" ref="R401:R428" si="145">CO2_drinkingwater_charfact*C401</f>
        <v>2613.9641555285543</v>
      </c>
      <c r="S401" s="19">
        <f t="shared" ref="S401:S428" si="146">CO2_NEX_charfact*C401</f>
        <v>2.2128797083839614E-12</v>
      </c>
      <c r="T401" s="83">
        <f t="shared" ref="T401:T428" si="147">(G401+H401)*YLLvalue+I401*skincancervalue+J401*Lowvisionvalue+K401*severe_wasting_value+L401*working_capacity+M401*diarrhea_value+N401*cropvalue+O401*woodvalue+P401*meatvalue+Q401*fishvalue+R401*drinkingwatervalue+S401*speciesvalue</f>
        <v>4550.163678308526</v>
      </c>
    </row>
    <row r="402" spans="1:20">
      <c r="A402" t="s">
        <v>1354</v>
      </c>
      <c r="B402" s="9" t="s">
        <v>11</v>
      </c>
      <c r="C402">
        <v>10300</v>
      </c>
      <c r="D402">
        <v>1.2</v>
      </c>
      <c r="E402">
        <v>0</v>
      </c>
      <c r="F402">
        <v>1</v>
      </c>
      <c r="G402" s="1">
        <f t="shared" si="136"/>
        <v>0</v>
      </c>
      <c r="H402" s="19">
        <f t="shared" si="137"/>
        <v>-1.5571710206561356E-3</v>
      </c>
      <c r="I402" s="1">
        <f t="shared" si="138"/>
        <v>0</v>
      </c>
      <c r="J402" s="1">
        <f t="shared" si="139"/>
        <v>0</v>
      </c>
      <c r="K402" s="19">
        <f t="shared" si="140"/>
        <v>6.8770959902794651E-2</v>
      </c>
      <c r="L402" s="19">
        <f t="shared" si="141"/>
        <v>43.030972053462946</v>
      </c>
      <c r="M402" s="19">
        <f t="shared" si="142"/>
        <v>1.4736634264884568E-3</v>
      </c>
      <c r="N402" s="19">
        <f t="shared" si="127"/>
        <v>1.8728799615228837E-2</v>
      </c>
      <c r="O402" s="19">
        <v>117.36</v>
      </c>
      <c r="P402" s="19">
        <f t="shared" si="143"/>
        <v>8.1419904313487237</v>
      </c>
      <c r="Q402" s="19">
        <f t="shared" si="144"/>
        <v>0.50104556500607533</v>
      </c>
      <c r="R402" s="19">
        <f t="shared" si="145"/>
        <v>1547.3465978128797</v>
      </c>
      <c r="S402" s="19">
        <f t="shared" si="146"/>
        <v>1.3099230457675172E-12</v>
      </c>
      <c r="T402" s="83">
        <f t="shared" si="147"/>
        <v>2704.6414183709244</v>
      </c>
    </row>
    <row r="403" spans="1:20">
      <c r="A403" s="9" t="s">
        <v>1355</v>
      </c>
      <c r="B403" s="9" t="s">
        <v>11</v>
      </c>
      <c r="C403">
        <v>9030</v>
      </c>
      <c r="D403">
        <v>1.2</v>
      </c>
      <c r="E403">
        <v>0</v>
      </c>
      <c r="F403">
        <v>1</v>
      </c>
      <c r="G403" s="1">
        <f t="shared" si="136"/>
        <v>0</v>
      </c>
      <c r="H403" s="19">
        <f t="shared" si="137"/>
        <v>-1.3651703219927092E-3</v>
      </c>
      <c r="I403" s="1">
        <f t="shared" si="138"/>
        <v>0</v>
      </c>
      <c r="J403" s="1">
        <f t="shared" si="139"/>
        <v>0</v>
      </c>
      <c r="K403" s="19">
        <f t="shared" si="140"/>
        <v>6.0291433778857838E-2</v>
      </c>
      <c r="L403" s="19">
        <f t="shared" si="141"/>
        <v>37.725211421628195</v>
      </c>
      <c r="M403" s="19">
        <f t="shared" si="142"/>
        <v>1.2919592952612394E-3</v>
      </c>
      <c r="N403" s="19">
        <f t="shared" si="127"/>
        <v>1.8728799615228837E-2</v>
      </c>
      <c r="O403" s="19">
        <v>118.36</v>
      </c>
      <c r="P403" s="19">
        <f t="shared" si="143"/>
        <v>7.1380751063183476</v>
      </c>
      <c r="Q403" s="19">
        <f t="shared" si="144"/>
        <v>0.43926616038882138</v>
      </c>
      <c r="R403" s="19">
        <f t="shared" si="145"/>
        <v>1356.5572600243015</v>
      </c>
      <c r="S403" s="19">
        <f t="shared" si="146"/>
        <v>1.1484082624544351E-12</v>
      </c>
      <c r="T403" s="83">
        <f t="shared" si="147"/>
        <v>2374.7157324384239</v>
      </c>
    </row>
    <row r="404" spans="1:20">
      <c r="A404" s="9" t="s">
        <v>1356</v>
      </c>
      <c r="B404" s="9" t="s">
        <v>11</v>
      </c>
      <c r="C404">
        <v>8490</v>
      </c>
      <c r="D404">
        <v>1.2</v>
      </c>
      <c r="E404">
        <v>0</v>
      </c>
      <c r="F404">
        <v>1</v>
      </c>
      <c r="G404" s="1">
        <f t="shared" si="136"/>
        <v>0</v>
      </c>
      <c r="H404" s="19">
        <f t="shared" si="137"/>
        <v>-1.2835322296476301E-3</v>
      </c>
      <c r="I404" s="1">
        <f t="shared" si="138"/>
        <v>0</v>
      </c>
      <c r="J404" s="1">
        <f t="shared" si="139"/>
        <v>0</v>
      </c>
      <c r="K404" s="19">
        <f t="shared" si="140"/>
        <v>5.6685965978128798E-2</v>
      </c>
      <c r="L404" s="19">
        <f t="shared" si="141"/>
        <v>35.469218712029161</v>
      </c>
      <c r="M404" s="19">
        <f t="shared" si="142"/>
        <v>1.2146992709599028E-3</v>
      </c>
      <c r="N404" s="19">
        <f t="shared" si="127"/>
        <v>1.8728799615228837E-2</v>
      </c>
      <c r="O404" s="19">
        <v>119.36</v>
      </c>
      <c r="P404" s="19">
        <f t="shared" si="143"/>
        <v>6.7112134720534629</v>
      </c>
      <c r="Q404" s="19">
        <f t="shared" si="144"/>
        <v>0.41299775212636697</v>
      </c>
      <c r="R404" s="19">
        <f t="shared" si="145"/>
        <v>1275.4342345078981</v>
      </c>
      <c r="S404" s="19">
        <f t="shared" si="146"/>
        <v>1.0797326852976914E-12</v>
      </c>
      <c r="T404" s="83">
        <f t="shared" si="147"/>
        <v>2234.5645746403529</v>
      </c>
    </row>
    <row r="405" spans="1:20">
      <c r="A405" t="s">
        <v>1357</v>
      </c>
      <c r="B405" s="9" t="s">
        <v>11</v>
      </c>
      <c r="C405">
        <v>7260</v>
      </c>
      <c r="D405">
        <v>1.2</v>
      </c>
      <c r="E405">
        <v>0</v>
      </c>
      <c r="F405">
        <v>1</v>
      </c>
      <c r="G405" s="1">
        <f t="shared" si="136"/>
        <v>0</v>
      </c>
      <c r="H405" s="19">
        <f t="shared" si="137"/>
        <v>-1.0975787970838393E-3</v>
      </c>
      <c r="I405" s="1">
        <f t="shared" si="138"/>
        <v>0</v>
      </c>
      <c r="J405" s="1">
        <f t="shared" si="139"/>
        <v>0</v>
      </c>
      <c r="K405" s="19">
        <f t="shared" si="140"/>
        <v>4.8473511543134874E-2</v>
      </c>
      <c r="L405" s="19">
        <f t="shared" si="141"/>
        <v>30.330568651275822</v>
      </c>
      <c r="M405" s="19">
        <f t="shared" si="142"/>
        <v>1.0387181044957472E-3</v>
      </c>
      <c r="N405" s="19">
        <f t="shared" si="127"/>
        <v>1.8728799615228837E-2</v>
      </c>
      <c r="O405" s="19">
        <v>120.36</v>
      </c>
      <c r="P405" s="19">
        <f t="shared" si="143"/>
        <v>5.7389175273390034</v>
      </c>
      <c r="Q405" s="19">
        <f t="shared" si="144"/>
        <v>0.35316415552855407</v>
      </c>
      <c r="R405" s="19">
        <f t="shared" si="145"/>
        <v>1090.6540097205348</v>
      </c>
      <c r="S405" s="19">
        <f t="shared" si="146"/>
        <v>9.2330498177399767E-13</v>
      </c>
      <c r="T405" s="83">
        <f t="shared" si="147"/>
        <v>1915.0374929891914</v>
      </c>
    </row>
    <row r="406" spans="1:20">
      <c r="A406" t="s">
        <v>1358</v>
      </c>
      <c r="B406" s="9" t="s">
        <v>11</v>
      </c>
      <c r="C406">
        <v>2750</v>
      </c>
      <c r="D406">
        <v>1.2</v>
      </c>
      <c r="E406">
        <v>0</v>
      </c>
      <c r="F406">
        <v>1</v>
      </c>
      <c r="G406" s="1">
        <f t="shared" si="136"/>
        <v>0</v>
      </c>
      <c r="H406" s="19">
        <f t="shared" si="137"/>
        <v>-4.1574954434993913E-4</v>
      </c>
      <c r="I406" s="1">
        <f t="shared" si="138"/>
        <v>0</v>
      </c>
      <c r="J406" s="1">
        <f t="shared" si="139"/>
        <v>0</v>
      </c>
      <c r="K406" s="19">
        <f t="shared" si="140"/>
        <v>1.8361178614823816E-2</v>
      </c>
      <c r="L406" s="19">
        <f t="shared" si="141"/>
        <v>11.488851761846902</v>
      </c>
      <c r="M406" s="19">
        <f t="shared" si="142"/>
        <v>3.9345382746051031E-4</v>
      </c>
      <c r="N406" s="19">
        <f t="shared" si="127"/>
        <v>1.8728799615228837E-2</v>
      </c>
      <c r="O406" s="19">
        <v>121.36</v>
      </c>
      <c r="P406" s="19">
        <f t="shared" si="143"/>
        <v>2.1738323967193196</v>
      </c>
      <c r="Q406" s="19">
        <f t="shared" si="144"/>
        <v>0.1337743013365735</v>
      </c>
      <c r="R406" s="19">
        <f t="shared" si="145"/>
        <v>413.1265188335359</v>
      </c>
      <c r="S406" s="19">
        <f t="shared" si="146"/>
        <v>3.4973673552045367E-13</v>
      </c>
      <c r="T406" s="83">
        <f t="shared" si="147"/>
        <v>742.82486026826405</v>
      </c>
    </row>
    <row r="407" spans="1:20">
      <c r="A407" s="9" t="s">
        <v>1359</v>
      </c>
      <c r="B407" s="9" t="s">
        <v>11</v>
      </c>
      <c r="C407">
        <v>24300</v>
      </c>
      <c r="D407">
        <v>1.2</v>
      </c>
      <c r="E407">
        <v>0</v>
      </c>
      <c r="F407">
        <v>1</v>
      </c>
      <c r="G407" s="1">
        <f t="shared" si="136"/>
        <v>0</v>
      </c>
      <c r="H407" s="19">
        <f t="shared" si="137"/>
        <v>-3.6737141555285529E-3</v>
      </c>
      <c r="I407" s="1">
        <f t="shared" si="138"/>
        <v>0</v>
      </c>
      <c r="J407" s="1">
        <f t="shared" si="139"/>
        <v>0</v>
      </c>
      <c r="K407" s="19">
        <f t="shared" si="140"/>
        <v>0.16224605103280682</v>
      </c>
      <c r="L407" s="19">
        <f t="shared" si="141"/>
        <v>101.51967193195627</v>
      </c>
      <c r="M407" s="19">
        <f t="shared" si="142"/>
        <v>3.4767010935601458E-3</v>
      </c>
      <c r="N407" s="19">
        <f t="shared" si="127"/>
        <v>1.8728799615228837E-2</v>
      </c>
      <c r="O407" s="19">
        <v>122.36</v>
      </c>
      <c r="P407" s="19">
        <f t="shared" si="143"/>
        <v>19.208773541919804</v>
      </c>
      <c r="Q407" s="19">
        <f t="shared" si="144"/>
        <v>1.1820783718104495</v>
      </c>
      <c r="R407" s="19">
        <f t="shared" si="145"/>
        <v>3650.5361482381536</v>
      </c>
      <c r="S407" s="19">
        <f t="shared" si="146"/>
        <v>3.0904009720534631E-12</v>
      </c>
      <c r="T407" s="83">
        <f t="shared" si="147"/>
        <v>6345.3029168394341</v>
      </c>
    </row>
    <row r="408" spans="1:20">
      <c r="A408" s="9" t="s">
        <v>1360</v>
      </c>
      <c r="B408" s="9" t="s">
        <v>11</v>
      </c>
      <c r="C408">
        <v>18500</v>
      </c>
      <c r="D408">
        <v>1.2</v>
      </c>
      <c r="E408">
        <v>0</v>
      </c>
      <c r="F408">
        <v>1</v>
      </c>
      <c r="G408" s="1">
        <f t="shared" si="136"/>
        <v>0</v>
      </c>
      <c r="H408" s="19">
        <f t="shared" si="137"/>
        <v>-2.7968605710814087E-3</v>
      </c>
      <c r="I408" s="1">
        <f t="shared" si="138"/>
        <v>0</v>
      </c>
      <c r="J408" s="1">
        <f t="shared" si="139"/>
        <v>0</v>
      </c>
      <c r="K408" s="19">
        <f t="shared" si="140"/>
        <v>0.12352065613608748</v>
      </c>
      <c r="L408" s="19">
        <f t="shared" si="141"/>
        <v>77.288639125151889</v>
      </c>
      <c r="M408" s="19">
        <f t="shared" si="142"/>
        <v>2.6468712029161603E-3</v>
      </c>
      <c r="N408" s="19">
        <f t="shared" si="127"/>
        <v>1.8728799615228837E-2</v>
      </c>
      <c r="O408" s="19">
        <v>123.36</v>
      </c>
      <c r="P408" s="19">
        <f t="shared" si="143"/>
        <v>14.623963396111785</v>
      </c>
      <c r="Q408" s="19">
        <f t="shared" si="144"/>
        <v>0.89993620899149451</v>
      </c>
      <c r="R408" s="19">
        <f t="shared" si="145"/>
        <v>2779.2147630619688</v>
      </c>
      <c r="S408" s="19">
        <f t="shared" si="146"/>
        <v>2.3527744025921429E-12</v>
      </c>
      <c r="T408" s="83">
        <f t="shared" si="147"/>
        <v>4837.7352960453372</v>
      </c>
    </row>
    <row r="409" spans="1:20">
      <c r="A409" t="s">
        <v>1361</v>
      </c>
      <c r="B409" s="9" t="s">
        <v>11</v>
      </c>
      <c r="C409">
        <v>4630</v>
      </c>
      <c r="D409">
        <v>1.2</v>
      </c>
      <c r="E409">
        <v>0</v>
      </c>
      <c r="F409">
        <v>1</v>
      </c>
      <c r="G409" s="1">
        <f t="shared" si="136"/>
        <v>0</v>
      </c>
      <c r="H409" s="19">
        <f t="shared" si="137"/>
        <v>-6.9997105103280653E-4</v>
      </c>
      <c r="I409" s="1">
        <f t="shared" si="138"/>
        <v>0</v>
      </c>
      <c r="J409" s="1">
        <f t="shared" si="139"/>
        <v>0</v>
      </c>
      <c r="K409" s="19">
        <f t="shared" si="140"/>
        <v>3.0913547995139734E-2</v>
      </c>
      <c r="L409" s="19">
        <f t="shared" si="141"/>
        <v>19.34304860267315</v>
      </c>
      <c r="M409" s="19">
        <f t="shared" si="142"/>
        <v>6.6243317132442289E-4</v>
      </c>
      <c r="N409" s="19">
        <f t="shared" si="127"/>
        <v>1.8728799615228837E-2</v>
      </c>
      <c r="O409" s="19">
        <v>124.36</v>
      </c>
      <c r="P409" s="19">
        <f t="shared" si="143"/>
        <v>3.6599432715674363</v>
      </c>
      <c r="Q409" s="19">
        <f t="shared" si="144"/>
        <v>0.22522727825030378</v>
      </c>
      <c r="R409" s="19">
        <f t="shared" si="145"/>
        <v>695.55482989064399</v>
      </c>
      <c r="S409" s="19">
        <f t="shared" si="146"/>
        <v>5.8882948562170924E-13</v>
      </c>
      <c r="T409" s="83">
        <f t="shared" si="147"/>
        <v>1232.2492614911785</v>
      </c>
    </row>
    <row r="410" spans="1:20">
      <c r="A410" t="s">
        <v>1362</v>
      </c>
      <c r="B410" s="9" t="s">
        <v>11</v>
      </c>
      <c r="C410">
        <v>7380</v>
      </c>
      <c r="D410">
        <v>1.2</v>
      </c>
      <c r="E410">
        <v>0</v>
      </c>
      <c r="F410">
        <v>1</v>
      </c>
      <c r="G410" s="1">
        <f t="shared" si="136"/>
        <v>0</v>
      </c>
      <c r="H410" s="19">
        <f t="shared" si="137"/>
        <v>-1.1157205953827457E-3</v>
      </c>
      <c r="I410" s="1">
        <f t="shared" si="138"/>
        <v>0</v>
      </c>
      <c r="J410" s="1">
        <f t="shared" si="139"/>
        <v>0</v>
      </c>
      <c r="K410" s="19">
        <f t="shared" si="140"/>
        <v>4.927472660996355E-2</v>
      </c>
      <c r="L410" s="19">
        <f t="shared" si="141"/>
        <v>30.831900364520052</v>
      </c>
      <c r="M410" s="19">
        <f t="shared" si="142"/>
        <v>1.0558869987849333E-3</v>
      </c>
      <c r="N410" s="19">
        <f t="shared" si="127"/>
        <v>1.8728799615228837E-2</v>
      </c>
      <c r="O410" s="19">
        <v>125.36</v>
      </c>
      <c r="P410" s="19">
        <f t="shared" si="143"/>
        <v>5.8337756682867559</v>
      </c>
      <c r="Q410" s="19">
        <f t="shared" si="144"/>
        <v>0.35900157958687728</v>
      </c>
      <c r="R410" s="19">
        <f t="shared" si="145"/>
        <v>1108.68134872418</v>
      </c>
      <c r="S410" s="19">
        <f t="shared" si="146"/>
        <v>9.3856622114216286E-13</v>
      </c>
      <c r="T410" s="83">
        <f t="shared" si="147"/>
        <v>1947.383305833207</v>
      </c>
    </row>
    <row r="411" spans="1:20">
      <c r="A411" t="s">
        <v>1363</v>
      </c>
      <c r="B411" s="9" t="s">
        <v>11</v>
      </c>
      <c r="C411">
        <v>12400</v>
      </c>
      <c r="D411">
        <v>1.2</v>
      </c>
      <c r="E411">
        <v>0</v>
      </c>
      <c r="F411">
        <v>1</v>
      </c>
      <c r="G411" s="1">
        <f t="shared" si="136"/>
        <v>0</v>
      </c>
      <c r="H411" s="19">
        <f t="shared" si="137"/>
        <v>-1.8746524908869982E-3</v>
      </c>
      <c r="I411" s="1">
        <f t="shared" si="138"/>
        <v>0</v>
      </c>
      <c r="J411" s="1">
        <f t="shared" si="139"/>
        <v>0</v>
      </c>
      <c r="K411" s="19">
        <f t="shared" si="140"/>
        <v>8.2792223572296472E-2</v>
      </c>
      <c r="L411" s="19">
        <f t="shared" si="141"/>
        <v>51.804277035236943</v>
      </c>
      <c r="M411" s="19">
        <f t="shared" si="142"/>
        <v>1.7741190765492101E-3</v>
      </c>
      <c r="N411" s="19">
        <f t="shared" si="127"/>
        <v>1.8728799615228837E-2</v>
      </c>
      <c r="O411" s="19">
        <v>126.36</v>
      </c>
      <c r="P411" s="19">
        <f t="shared" si="143"/>
        <v>9.8020078979343861</v>
      </c>
      <c r="Q411" s="19">
        <f t="shared" si="144"/>
        <v>0.60320048602673149</v>
      </c>
      <c r="R411" s="19">
        <f t="shared" si="145"/>
        <v>1862.8250303766708</v>
      </c>
      <c r="S411" s="19">
        <f t="shared" si="146"/>
        <v>1.5769947347104092E-12</v>
      </c>
      <c r="T411" s="83">
        <f t="shared" si="147"/>
        <v>3252.6381431412015</v>
      </c>
    </row>
    <row r="412" spans="1:20">
      <c r="A412" t="s">
        <v>1364</v>
      </c>
      <c r="B412" s="9" t="s">
        <v>11</v>
      </c>
      <c r="C412">
        <v>9290</v>
      </c>
      <c r="D412">
        <v>1.2</v>
      </c>
      <c r="E412">
        <v>0</v>
      </c>
      <c r="F412">
        <v>1</v>
      </c>
      <c r="G412" s="1">
        <f t="shared" si="136"/>
        <v>0</v>
      </c>
      <c r="H412" s="19">
        <f t="shared" si="137"/>
        <v>-1.4044775516403399E-3</v>
      </c>
      <c r="I412" s="1">
        <f t="shared" si="138"/>
        <v>0</v>
      </c>
      <c r="J412" s="1">
        <f t="shared" si="139"/>
        <v>0</v>
      </c>
      <c r="K412" s="19">
        <f t="shared" si="140"/>
        <v>6.2027399756986637E-2</v>
      </c>
      <c r="L412" s="19">
        <f t="shared" si="141"/>
        <v>38.811430133657353</v>
      </c>
      <c r="M412" s="19">
        <f t="shared" si="142"/>
        <v>1.3291585662211422E-3</v>
      </c>
      <c r="N412" s="19">
        <f t="shared" si="127"/>
        <v>1.8728799615228837E-2</v>
      </c>
      <c r="O412" s="19">
        <v>127.36</v>
      </c>
      <c r="P412" s="19">
        <f t="shared" si="143"/>
        <v>7.34360107837181</v>
      </c>
      <c r="Q412" s="19">
        <f t="shared" si="144"/>
        <v>0.45191391251518837</v>
      </c>
      <c r="R412" s="19">
        <f t="shared" si="145"/>
        <v>1395.6164945321993</v>
      </c>
      <c r="S412" s="19">
        <f t="shared" si="146"/>
        <v>1.1814742810854598E-12</v>
      </c>
      <c r="T412" s="83">
        <f t="shared" si="147"/>
        <v>2444.3766602671253</v>
      </c>
    </row>
    <row r="413" spans="1:20">
      <c r="A413" t="s">
        <v>1365</v>
      </c>
      <c r="B413" s="9" t="s">
        <v>11</v>
      </c>
      <c r="C413">
        <v>126</v>
      </c>
      <c r="D413">
        <v>1.2</v>
      </c>
      <c r="E413">
        <v>0</v>
      </c>
      <c r="F413">
        <v>1</v>
      </c>
      <c r="G413" s="1">
        <f t="shared" si="136"/>
        <v>0</v>
      </c>
      <c r="H413" s="19">
        <f t="shared" si="137"/>
        <v>-1.9048888213851757E-5</v>
      </c>
      <c r="I413" s="1">
        <f t="shared" si="138"/>
        <v>0</v>
      </c>
      <c r="J413" s="1">
        <f t="shared" si="139"/>
        <v>0</v>
      </c>
      <c r="K413" s="19">
        <f t="shared" si="140"/>
        <v>8.412758201701094E-4</v>
      </c>
      <c r="L413" s="19">
        <f t="shared" si="141"/>
        <v>0.52639829890643985</v>
      </c>
      <c r="M413" s="19">
        <f t="shared" si="142"/>
        <v>1.8027339003645199E-5</v>
      </c>
      <c r="N413" s="19">
        <f t="shared" si="127"/>
        <v>1.8728799615228837E-2</v>
      </c>
      <c r="O413" s="19">
        <v>128.36000000000001</v>
      </c>
      <c r="P413" s="19">
        <f t="shared" si="143"/>
        <v>9.9601047995139733E-2</v>
      </c>
      <c r="Q413" s="19">
        <f t="shared" si="144"/>
        <v>6.1292952612393686E-3</v>
      </c>
      <c r="R413" s="19">
        <f t="shared" si="145"/>
        <v>18.92870595382746</v>
      </c>
      <c r="S413" s="19">
        <f t="shared" si="146"/>
        <v>1.6024301336573513E-14</v>
      </c>
      <c r="T413" s="83">
        <f t="shared" si="147"/>
        <v>62.286419412451913</v>
      </c>
    </row>
    <row r="414" spans="1:20">
      <c r="A414" t="s">
        <v>1366</v>
      </c>
      <c r="B414" s="9" t="s">
        <v>11</v>
      </c>
      <c r="C414">
        <v>10200</v>
      </c>
      <c r="D414">
        <v>1.2</v>
      </c>
      <c r="E414">
        <v>0</v>
      </c>
      <c r="F414">
        <v>1</v>
      </c>
      <c r="G414" s="1">
        <f t="shared" si="136"/>
        <v>0</v>
      </c>
      <c r="H414" s="19">
        <f t="shared" si="137"/>
        <v>-1.542052855407047E-3</v>
      </c>
      <c r="I414" s="1">
        <f t="shared" si="138"/>
        <v>0</v>
      </c>
      <c r="J414" s="1">
        <f t="shared" si="139"/>
        <v>0</v>
      </c>
      <c r="K414" s="19">
        <f t="shared" si="140"/>
        <v>6.8103280680437431E-2</v>
      </c>
      <c r="L414" s="19">
        <f t="shared" si="141"/>
        <v>42.613195625759417</v>
      </c>
      <c r="M414" s="19">
        <f t="shared" si="142"/>
        <v>1.459356014580802E-3</v>
      </c>
      <c r="N414" s="19">
        <f t="shared" si="127"/>
        <v>1.8728799615228837E-2</v>
      </c>
      <c r="O414" s="19">
        <v>129.36000000000001</v>
      </c>
      <c r="P414" s="19">
        <f t="shared" si="143"/>
        <v>8.0629419805589304</v>
      </c>
      <c r="Q414" s="19">
        <f t="shared" si="144"/>
        <v>0.49618104495747267</v>
      </c>
      <c r="R414" s="19">
        <f t="shared" si="145"/>
        <v>1532.3238153098421</v>
      </c>
      <c r="S414" s="19">
        <f t="shared" si="146"/>
        <v>1.2972053462940463E-12</v>
      </c>
      <c r="T414" s="83">
        <f t="shared" si="147"/>
        <v>2681.4049076675783</v>
      </c>
    </row>
    <row r="415" spans="1:20">
      <c r="A415" t="s">
        <v>1367</v>
      </c>
      <c r="B415" s="9" t="s">
        <v>11</v>
      </c>
      <c r="C415">
        <v>10000</v>
      </c>
      <c r="D415">
        <v>1.2</v>
      </c>
      <c r="E415">
        <v>0</v>
      </c>
      <c r="F415">
        <v>1</v>
      </c>
      <c r="G415" s="1">
        <f t="shared" si="136"/>
        <v>0</v>
      </c>
      <c r="H415" s="19">
        <f t="shared" si="137"/>
        <v>-1.5118165249088694E-3</v>
      </c>
      <c r="I415" s="1">
        <f t="shared" si="138"/>
        <v>0</v>
      </c>
      <c r="J415" s="1">
        <f t="shared" si="139"/>
        <v>0</v>
      </c>
      <c r="K415" s="19">
        <f t="shared" si="140"/>
        <v>6.6767922235722962E-2</v>
      </c>
      <c r="L415" s="19">
        <f t="shared" si="141"/>
        <v>41.777642770352372</v>
      </c>
      <c r="M415" s="19">
        <f t="shared" si="142"/>
        <v>1.4307411907654921E-3</v>
      </c>
      <c r="N415" s="19">
        <f t="shared" si="127"/>
        <v>1.8728799615228837E-2</v>
      </c>
      <c r="O415" s="19">
        <v>130.36000000000001</v>
      </c>
      <c r="P415" s="19">
        <f t="shared" si="143"/>
        <v>7.9048450789793439</v>
      </c>
      <c r="Q415" s="19">
        <f t="shared" si="144"/>
        <v>0.48645200486026735</v>
      </c>
      <c r="R415" s="19">
        <f t="shared" si="145"/>
        <v>1502.2782503037668</v>
      </c>
      <c r="S415" s="19">
        <f t="shared" si="146"/>
        <v>1.2717699473471043E-12</v>
      </c>
      <c r="T415" s="83">
        <f t="shared" si="147"/>
        <v>2629.6418862608853</v>
      </c>
    </row>
    <row r="416" spans="1:20">
      <c r="A416" t="s">
        <v>1368</v>
      </c>
      <c r="B416" s="9" t="s">
        <v>11</v>
      </c>
      <c r="C416">
        <v>78.099999999999994</v>
      </c>
      <c r="D416">
        <v>1.2</v>
      </c>
      <c r="E416">
        <v>0</v>
      </c>
      <c r="F416">
        <v>1</v>
      </c>
      <c r="G416" s="1">
        <f t="shared" si="136"/>
        <v>0</v>
      </c>
      <c r="H416" s="19">
        <f t="shared" si="137"/>
        <v>-1.180728705953827E-5</v>
      </c>
      <c r="I416" s="1">
        <f t="shared" si="138"/>
        <v>0</v>
      </c>
      <c r="J416" s="1">
        <f t="shared" si="139"/>
        <v>0</v>
      </c>
      <c r="K416" s="19">
        <f t="shared" si="140"/>
        <v>5.214574726609963E-4</v>
      </c>
      <c r="L416" s="19">
        <f t="shared" si="141"/>
        <v>0.32628339003645201</v>
      </c>
      <c r="M416" s="19">
        <f t="shared" si="142"/>
        <v>1.1174088699878492E-5</v>
      </c>
      <c r="N416" s="19">
        <f t="shared" si="127"/>
        <v>1.8728799615228837E-2</v>
      </c>
      <c r="O416" s="19">
        <v>131.36000000000001</v>
      </c>
      <c r="P416" s="19">
        <f t="shared" si="143"/>
        <v>6.1736840066828669E-2</v>
      </c>
      <c r="Q416" s="19">
        <f t="shared" si="144"/>
        <v>3.7991901579586874E-3</v>
      </c>
      <c r="R416" s="19">
        <f t="shared" si="145"/>
        <v>11.732793134872418</v>
      </c>
      <c r="S416" s="19">
        <f t="shared" si="146"/>
        <v>9.9325232887808834E-15</v>
      </c>
      <c r="T416" s="83">
        <f t="shared" si="147"/>
        <v>50.524090785548928</v>
      </c>
    </row>
    <row r="417" spans="1:20">
      <c r="A417" t="s">
        <v>1369</v>
      </c>
      <c r="B417" s="9" t="s">
        <v>11</v>
      </c>
      <c r="C417">
        <v>9220</v>
      </c>
      <c r="D417">
        <v>1.2</v>
      </c>
      <c r="E417">
        <v>0</v>
      </c>
      <c r="F417">
        <v>1</v>
      </c>
      <c r="G417" s="1">
        <f t="shared" si="136"/>
        <v>0</v>
      </c>
      <c r="H417" s="19">
        <f t="shared" si="137"/>
        <v>-1.3938948359659778E-3</v>
      </c>
      <c r="I417" s="1">
        <f t="shared" si="138"/>
        <v>0</v>
      </c>
      <c r="J417" s="1">
        <f t="shared" si="139"/>
        <v>0</v>
      </c>
      <c r="K417" s="19">
        <f t="shared" si="140"/>
        <v>6.1560024301336572E-2</v>
      </c>
      <c r="L417" s="19">
        <f t="shared" si="141"/>
        <v>38.518986634264884</v>
      </c>
      <c r="M417" s="19">
        <f t="shared" si="142"/>
        <v>1.3191433778857837E-3</v>
      </c>
      <c r="N417" s="19">
        <f t="shared" si="127"/>
        <v>1.8728799615228837E-2</v>
      </c>
      <c r="O417" s="19">
        <v>132.36000000000001</v>
      </c>
      <c r="P417" s="19">
        <f t="shared" si="143"/>
        <v>7.288267162818955</v>
      </c>
      <c r="Q417" s="19">
        <f t="shared" si="144"/>
        <v>0.44850874848116645</v>
      </c>
      <c r="R417" s="19">
        <f t="shared" si="145"/>
        <v>1385.100546780073</v>
      </c>
      <c r="S417" s="19">
        <f t="shared" si="146"/>
        <v>1.17257189145403E-12</v>
      </c>
      <c r="T417" s="83">
        <f t="shared" si="147"/>
        <v>2427.3291027747819</v>
      </c>
    </row>
    <row r="418" spans="1:20">
      <c r="A418" t="s">
        <v>1370</v>
      </c>
      <c r="B418" s="9" t="s">
        <v>11</v>
      </c>
      <c r="C418">
        <v>8620</v>
      </c>
      <c r="D418">
        <v>1.2</v>
      </c>
      <c r="E418">
        <v>0</v>
      </c>
      <c r="F418">
        <v>1</v>
      </c>
      <c r="G418" s="1">
        <f t="shared" si="136"/>
        <v>0</v>
      </c>
      <c r="H418" s="19">
        <f t="shared" si="137"/>
        <v>-1.3031858444714456E-3</v>
      </c>
      <c r="I418" s="1">
        <f t="shared" si="138"/>
        <v>0</v>
      </c>
      <c r="J418" s="1">
        <f t="shared" si="139"/>
        <v>0</v>
      </c>
      <c r="K418" s="19">
        <f t="shared" si="140"/>
        <v>5.7553948967193194E-2</v>
      </c>
      <c r="L418" s="19">
        <f t="shared" si="141"/>
        <v>36.012328068043743</v>
      </c>
      <c r="M418" s="19">
        <f t="shared" si="142"/>
        <v>1.2332989064398542E-3</v>
      </c>
      <c r="N418" s="19">
        <f t="shared" si="127"/>
        <v>1.8728799615228837E-2</v>
      </c>
      <c r="O418" s="19">
        <v>133.36000000000001</v>
      </c>
      <c r="P418" s="19">
        <f t="shared" si="143"/>
        <v>6.8139764580801945</v>
      </c>
      <c r="Q418" s="19">
        <f t="shared" si="144"/>
        <v>0.41932162818955043</v>
      </c>
      <c r="R418" s="19">
        <f t="shared" si="145"/>
        <v>1294.9638517618471</v>
      </c>
      <c r="S418" s="19">
        <f t="shared" si="146"/>
        <v>1.0962656946132038E-12</v>
      </c>
      <c r="T418" s="83">
        <f t="shared" si="147"/>
        <v>2271.5800385547032</v>
      </c>
    </row>
    <row r="419" spans="1:20">
      <c r="A419" t="s">
        <v>1371</v>
      </c>
      <c r="B419" s="9" t="s">
        <v>11</v>
      </c>
      <c r="C419">
        <v>8410</v>
      </c>
      <c r="D419">
        <v>1.2</v>
      </c>
      <c r="E419">
        <v>0</v>
      </c>
      <c r="F419">
        <v>1</v>
      </c>
      <c r="G419" s="1">
        <f t="shared" si="136"/>
        <v>0</v>
      </c>
      <c r="H419" s="19">
        <f t="shared" si="137"/>
        <v>-1.2714376974483593E-3</v>
      </c>
      <c r="I419" s="1">
        <f t="shared" si="138"/>
        <v>0</v>
      </c>
      <c r="J419" s="1">
        <f t="shared" si="139"/>
        <v>0</v>
      </c>
      <c r="K419" s="19">
        <f t="shared" si="140"/>
        <v>5.6151822600243012E-2</v>
      </c>
      <c r="L419" s="19">
        <f t="shared" si="141"/>
        <v>35.134997569866343</v>
      </c>
      <c r="M419" s="19">
        <f t="shared" si="142"/>
        <v>1.2032533414337789E-3</v>
      </c>
      <c r="N419" s="19">
        <f t="shared" si="127"/>
        <v>1.8728799615228837E-2</v>
      </c>
      <c r="O419" s="19">
        <v>134.36000000000001</v>
      </c>
      <c r="P419" s="19">
        <f t="shared" si="143"/>
        <v>6.6479747114216279</v>
      </c>
      <c r="Q419" s="19">
        <f t="shared" si="144"/>
        <v>0.40910613608748481</v>
      </c>
      <c r="R419" s="19">
        <f t="shared" si="145"/>
        <v>1263.416008505468</v>
      </c>
      <c r="S419" s="19">
        <f t="shared" si="146"/>
        <v>1.0695585257189146E-12</v>
      </c>
      <c r="T419" s="83">
        <f t="shared" si="147"/>
        <v>2217.2173660776748</v>
      </c>
    </row>
    <row r="420" spans="1:20">
      <c r="A420" t="s">
        <v>1372</v>
      </c>
      <c r="B420" s="9" t="s">
        <v>11</v>
      </c>
      <c r="C420">
        <v>8260</v>
      </c>
      <c r="D420">
        <v>1.2</v>
      </c>
      <c r="E420">
        <v>0</v>
      </c>
      <c r="F420">
        <v>1</v>
      </c>
      <c r="G420" s="1">
        <f t="shared" si="136"/>
        <v>0</v>
      </c>
      <c r="H420" s="19">
        <f t="shared" si="137"/>
        <v>-1.2487604495747262E-3</v>
      </c>
      <c r="I420" s="1">
        <f t="shared" si="138"/>
        <v>0</v>
      </c>
      <c r="J420" s="1">
        <f t="shared" si="139"/>
        <v>0</v>
      </c>
      <c r="K420" s="19">
        <f t="shared" si="140"/>
        <v>5.5150303766707168E-2</v>
      </c>
      <c r="L420" s="19">
        <f t="shared" si="141"/>
        <v>34.508332928311063</v>
      </c>
      <c r="M420" s="19">
        <f t="shared" si="142"/>
        <v>1.1817922235722964E-3</v>
      </c>
      <c r="N420" s="19">
        <f t="shared" si="127"/>
        <v>1.8728799615228837E-2</v>
      </c>
      <c r="O420" s="19">
        <v>135.36000000000001</v>
      </c>
      <c r="P420" s="19">
        <f t="shared" si="143"/>
        <v>6.529402035236938</v>
      </c>
      <c r="Q420" s="19">
        <f t="shared" si="144"/>
        <v>0.40180935601458079</v>
      </c>
      <c r="R420" s="19">
        <f t="shared" si="145"/>
        <v>1240.8818347509114</v>
      </c>
      <c r="S420" s="19">
        <f t="shared" si="146"/>
        <v>1.0504819765087081E-12</v>
      </c>
      <c r="T420" s="83">
        <f t="shared" si="147"/>
        <v>2178.4526000226565</v>
      </c>
    </row>
    <row r="421" spans="1:20">
      <c r="A421" t="s">
        <v>1373</v>
      </c>
      <c r="B421" s="9" t="s">
        <v>11</v>
      </c>
      <c r="C421">
        <v>7480</v>
      </c>
      <c r="D421">
        <v>1.2</v>
      </c>
      <c r="E421">
        <v>0</v>
      </c>
      <c r="F421">
        <v>1</v>
      </c>
      <c r="G421" s="1">
        <f t="shared" si="136"/>
        <v>0</v>
      </c>
      <c r="H421" s="19">
        <f t="shared" si="137"/>
        <v>-1.1308387606318343E-3</v>
      </c>
      <c r="I421" s="1">
        <f t="shared" si="138"/>
        <v>0</v>
      </c>
      <c r="J421" s="1">
        <f t="shared" si="139"/>
        <v>0</v>
      </c>
      <c r="K421" s="19">
        <f t="shared" si="140"/>
        <v>4.9942405832320777E-2</v>
      </c>
      <c r="L421" s="19">
        <f t="shared" si="141"/>
        <v>31.249676792223575</v>
      </c>
      <c r="M421" s="19">
        <f t="shared" si="142"/>
        <v>1.070194410692588E-3</v>
      </c>
      <c r="N421" s="19">
        <f t="shared" si="127"/>
        <v>1.8728799615228837E-2</v>
      </c>
      <c r="O421" s="19">
        <v>136.36000000000001</v>
      </c>
      <c r="P421" s="19">
        <f t="shared" si="143"/>
        <v>5.9128241190765491</v>
      </c>
      <c r="Q421" s="19">
        <f t="shared" si="144"/>
        <v>0.36386609963547994</v>
      </c>
      <c r="R421" s="19">
        <f t="shared" si="145"/>
        <v>1123.7041312272177</v>
      </c>
      <c r="S421" s="19">
        <f t="shared" si="146"/>
        <v>9.5128392061563398E-13</v>
      </c>
      <c r="T421" s="83">
        <f t="shared" si="147"/>
        <v>1975.909816536554</v>
      </c>
    </row>
    <row r="422" spans="1:20">
      <c r="A422" s="9" t="s">
        <v>1374</v>
      </c>
      <c r="B422" s="9" t="s">
        <v>11</v>
      </c>
      <c r="C422">
        <v>7800</v>
      </c>
      <c r="D422">
        <v>1.2</v>
      </c>
      <c r="E422">
        <v>0</v>
      </c>
      <c r="F422">
        <v>1</v>
      </c>
      <c r="G422" s="1">
        <f t="shared" si="136"/>
        <v>0</v>
      </c>
      <c r="H422" s="19">
        <f t="shared" si="137"/>
        <v>-1.1792168894289182E-3</v>
      </c>
      <c r="I422" s="1">
        <f t="shared" si="138"/>
        <v>0</v>
      </c>
      <c r="J422" s="1">
        <f t="shared" si="139"/>
        <v>0</v>
      </c>
      <c r="K422" s="19">
        <f t="shared" si="140"/>
        <v>5.2078979343863914E-2</v>
      </c>
      <c r="L422" s="19">
        <f t="shared" si="141"/>
        <v>32.586561360874853</v>
      </c>
      <c r="M422" s="19">
        <f t="shared" si="142"/>
        <v>1.1159781287970838E-3</v>
      </c>
      <c r="N422" s="19">
        <f t="shared" si="127"/>
        <v>1.8728799615228837E-2</v>
      </c>
      <c r="O422" s="19">
        <v>137.36000000000001</v>
      </c>
      <c r="P422" s="19">
        <f t="shared" si="143"/>
        <v>6.1657791616038882</v>
      </c>
      <c r="Q422" s="19">
        <f t="shared" si="144"/>
        <v>0.37943256379100854</v>
      </c>
      <c r="R422" s="19">
        <f t="shared" si="145"/>
        <v>1171.7770352369382</v>
      </c>
      <c r="S422" s="19">
        <f t="shared" si="146"/>
        <v>9.919805589307412E-13</v>
      </c>
      <c r="T422" s="83">
        <f t="shared" si="147"/>
        <v>2059.3286507872622</v>
      </c>
    </row>
    <row r="423" spans="1:20">
      <c r="A423" s="9" t="s">
        <v>1374</v>
      </c>
      <c r="B423" s="9" t="s">
        <v>11</v>
      </c>
      <c r="C423">
        <v>7120</v>
      </c>
      <c r="D423">
        <v>1.2</v>
      </c>
      <c r="E423">
        <v>0</v>
      </c>
      <c r="F423">
        <v>1</v>
      </c>
      <c r="G423" s="1">
        <f t="shared" si="136"/>
        <v>0</v>
      </c>
      <c r="H423" s="19">
        <f t="shared" si="137"/>
        <v>-1.0764133657351152E-3</v>
      </c>
      <c r="I423" s="1">
        <f t="shared" si="138"/>
        <v>0</v>
      </c>
      <c r="J423" s="1">
        <f t="shared" si="139"/>
        <v>0</v>
      </c>
      <c r="K423" s="19">
        <f t="shared" si="140"/>
        <v>4.7538760631834751E-2</v>
      </c>
      <c r="L423" s="19">
        <f t="shared" si="141"/>
        <v>29.745681652490891</v>
      </c>
      <c r="M423" s="19">
        <f t="shared" si="142"/>
        <v>1.0186877278250304E-3</v>
      </c>
      <c r="N423" s="19">
        <f t="shared" si="127"/>
        <v>1.8728799615228837E-2</v>
      </c>
      <c r="O423" s="19">
        <v>138.36000000000001</v>
      </c>
      <c r="P423" s="19">
        <f t="shared" si="143"/>
        <v>5.6282496962332926</v>
      </c>
      <c r="Q423" s="19">
        <f t="shared" si="144"/>
        <v>0.34635382746051036</v>
      </c>
      <c r="R423" s="19">
        <f t="shared" si="145"/>
        <v>1069.6221142162819</v>
      </c>
      <c r="S423" s="19">
        <f t="shared" si="146"/>
        <v>9.0550020251113812E-13</v>
      </c>
      <c r="T423" s="83">
        <f t="shared" si="147"/>
        <v>1882.7823780045064</v>
      </c>
    </row>
    <row r="424" spans="1:20">
      <c r="A424" t="s">
        <v>1375</v>
      </c>
      <c r="B424" s="9" t="s">
        <v>11</v>
      </c>
      <c r="C424">
        <v>4.0000000000000001E-3</v>
      </c>
      <c r="D424">
        <v>1.2</v>
      </c>
      <c r="E424">
        <v>0</v>
      </c>
      <c r="F424">
        <v>1</v>
      </c>
      <c r="G424" s="1">
        <f t="shared" si="136"/>
        <v>0</v>
      </c>
      <c r="H424" s="19">
        <f t="shared" si="137"/>
        <v>-6.0472660996354784E-10</v>
      </c>
      <c r="I424" s="1">
        <f t="shared" si="138"/>
        <v>0</v>
      </c>
      <c r="J424" s="1">
        <f t="shared" si="139"/>
        <v>0</v>
      </c>
      <c r="K424" s="19">
        <f t="shared" si="140"/>
        <v>2.6707168894289186E-8</v>
      </c>
      <c r="L424" s="19">
        <f t="shared" si="141"/>
        <v>1.6711057108140949E-5</v>
      </c>
      <c r="M424" s="19">
        <f t="shared" si="142"/>
        <v>5.7229647630619686E-10</v>
      </c>
      <c r="N424" s="19">
        <f t="shared" si="127"/>
        <v>1.8728799615228837E-2</v>
      </c>
      <c r="O424" s="19">
        <v>139.36000000000001</v>
      </c>
      <c r="P424" s="19">
        <f t="shared" si="143"/>
        <v>3.1619380315917374E-6</v>
      </c>
      <c r="Q424" s="19">
        <f t="shared" si="144"/>
        <v>1.9458080194410693E-7</v>
      </c>
      <c r="R424" s="19">
        <f t="shared" si="145"/>
        <v>6.0091130012150673E-4</v>
      </c>
      <c r="S424" s="19">
        <f t="shared" si="146"/>
        <v>5.087079789388417E-19</v>
      </c>
      <c r="T424" s="83">
        <f t="shared" si="147"/>
        <v>32.061855786663457</v>
      </c>
    </row>
    <row r="425" spans="1:20">
      <c r="A425" t="s">
        <v>1376</v>
      </c>
      <c r="B425" s="9" t="s">
        <v>11</v>
      </c>
      <c r="C425">
        <v>0.09</v>
      </c>
      <c r="D425">
        <v>1.2</v>
      </c>
      <c r="E425">
        <v>0</v>
      </c>
      <c r="F425">
        <v>1</v>
      </c>
      <c r="G425" s="1">
        <f t="shared" si="136"/>
        <v>0</v>
      </c>
      <c r="H425" s="19">
        <f t="shared" si="137"/>
        <v>-1.3606348724179826E-8</v>
      </c>
      <c r="I425" s="1">
        <f t="shared" si="138"/>
        <v>0</v>
      </c>
      <c r="J425" s="1">
        <f t="shared" si="139"/>
        <v>0</v>
      </c>
      <c r="K425" s="19">
        <f t="shared" si="140"/>
        <v>6.0091130012150672E-7</v>
      </c>
      <c r="L425" s="19">
        <f t="shared" si="141"/>
        <v>3.7599878493317136E-4</v>
      </c>
      <c r="M425" s="19">
        <f t="shared" si="142"/>
        <v>1.2876670716889428E-8</v>
      </c>
      <c r="N425" s="19">
        <f t="shared" si="127"/>
        <v>1.8728799615228837E-2</v>
      </c>
      <c r="O425" s="19">
        <v>140.36000000000001</v>
      </c>
      <c r="P425" s="19">
        <f t="shared" si="143"/>
        <v>7.1143605710814086E-5</v>
      </c>
      <c r="Q425" s="19">
        <f t="shared" si="144"/>
        <v>4.3780680437424056E-6</v>
      </c>
      <c r="R425" s="19">
        <f t="shared" si="145"/>
        <v>1.3520504252733901E-2</v>
      </c>
      <c r="S425" s="19">
        <f t="shared" si="146"/>
        <v>1.1445929526123937E-17</v>
      </c>
      <c r="T425" s="83">
        <f t="shared" si="147"/>
        <v>32.314212785868328</v>
      </c>
    </row>
    <row r="426" spans="1:20">
      <c r="A426" s="9" t="s">
        <v>1377</v>
      </c>
      <c r="B426" s="9" t="s">
        <v>11</v>
      </c>
      <c r="C426">
        <v>4.0000000000000001E-3</v>
      </c>
      <c r="D426">
        <v>1.2</v>
      </c>
      <c r="E426">
        <v>0</v>
      </c>
      <c r="F426">
        <v>1</v>
      </c>
      <c r="G426" s="1">
        <f t="shared" si="136"/>
        <v>0</v>
      </c>
      <c r="H426" s="19">
        <f t="shared" si="137"/>
        <v>-6.0472660996354784E-10</v>
      </c>
      <c r="I426" s="1">
        <f t="shared" si="138"/>
        <v>0</v>
      </c>
      <c r="J426" s="1">
        <f t="shared" si="139"/>
        <v>0</v>
      </c>
      <c r="K426" s="19">
        <f t="shared" si="140"/>
        <v>2.6707168894289186E-8</v>
      </c>
      <c r="L426" s="19">
        <f t="shared" si="141"/>
        <v>1.6711057108140949E-5</v>
      </c>
      <c r="M426" s="19">
        <f t="shared" si="142"/>
        <v>5.7229647630619686E-10</v>
      </c>
      <c r="N426" s="19">
        <f t="shared" si="127"/>
        <v>1.8728799615228837E-2</v>
      </c>
      <c r="O426" s="19">
        <v>141.36000000000001</v>
      </c>
      <c r="P426" s="19">
        <f t="shared" si="143"/>
        <v>3.1619380315917374E-6</v>
      </c>
      <c r="Q426" s="19">
        <f t="shared" si="144"/>
        <v>1.9458080194410693E-7</v>
      </c>
      <c r="R426" s="19">
        <f t="shared" si="145"/>
        <v>6.0091130012150673E-4</v>
      </c>
      <c r="S426" s="19">
        <f t="shared" si="146"/>
        <v>5.087079789388417E-19</v>
      </c>
      <c r="T426" s="83">
        <f t="shared" si="147"/>
        <v>32.521855786663458</v>
      </c>
    </row>
    <row r="427" spans="1:20">
      <c r="A427" s="9" t="s">
        <v>1378</v>
      </c>
      <c r="B427" s="9" t="s">
        <v>11</v>
      </c>
      <c r="C427">
        <v>0.10199999999999999</v>
      </c>
      <c r="D427">
        <v>1.2</v>
      </c>
      <c r="E427">
        <v>0</v>
      </c>
      <c r="F427">
        <v>1</v>
      </c>
      <c r="G427" s="1">
        <f t="shared" si="136"/>
        <v>0</v>
      </c>
      <c r="H427" s="19">
        <f t="shared" si="137"/>
        <v>-1.5420528554070467E-8</v>
      </c>
      <c r="I427" s="1">
        <f t="shared" si="138"/>
        <v>0</v>
      </c>
      <c r="J427" s="1">
        <f t="shared" si="139"/>
        <v>0</v>
      </c>
      <c r="K427" s="19">
        <f t="shared" si="140"/>
        <v>6.8103280680437416E-7</v>
      </c>
      <c r="L427" s="19">
        <f t="shared" si="141"/>
        <v>4.2613195625759416E-4</v>
      </c>
      <c r="M427" s="19">
        <f t="shared" si="142"/>
        <v>1.4593560145808018E-8</v>
      </c>
      <c r="N427" s="19">
        <f t="shared" si="127"/>
        <v>1.8728799615228837E-2</v>
      </c>
      <c r="O427" s="19">
        <v>142.36000000000001</v>
      </c>
      <c r="P427" s="19">
        <f t="shared" si="143"/>
        <v>8.0629419805589302E-5</v>
      </c>
      <c r="Q427" s="19">
        <f t="shared" si="144"/>
        <v>4.961810449574726E-6</v>
      </c>
      <c r="R427" s="19">
        <f t="shared" si="145"/>
        <v>1.5323238153098421E-2</v>
      </c>
      <c r="S427" s="19">
        <f t="shared" si="146"/>
        <v>1.2972053462940462E-17</v>
      </c>
      <c r="T427" s="83">
        <f t="shared" si="147"/>
        <v>32.777332367152731</v>
      </c>
    </row>
    <row r="428" spans="1:20">
      <c r="A428" t="s">
        <v>1379</v>
      </c>
      <c r="B428" s="9" t="s">
        <v>11</v>
      </c>
      <c r="C428">
        <v>1.97</v>
      </c>
      <c r="D428">
        <v>1.2</v>
      </c>
      <c r="E428">
        <v>0</v>
      </c>
      <c r="F428">
        <v>1</v>
      </c>
      <c r="G428" s="1">
        <f t="shared" si="136"/>
        <v>0</v>
      </c>
      <c r="H428" s="19">
        <f t="shared" si="137"/>
        <v>-2.9782785540704731E-7</v>
      </c>
      <c r="I428" s="1">
        <f t="shared" si="138"/>
        <v>0</v>
      </c>
      <c r="J428" s="1">
        <f t="shared" si="139"/>
        <v>0</v>
      </c>
      <c r="K428" s="19">
        <f t="shared" si="140"/>
        <v>1.3153280680437425E-5</v>
      </c>
      <c r="L428" s="19">
        <f t="shared" si="141"/>
        <v>8.2301956257594174E-3</v>
      </c>
      <c r="M428" s="19">
        <f t="shared" si="142"/>
        <v>2.8185601458080192E-7</v>
      </c>
      <c r="N428" s="19">
        <f t="shared" si="127"/>
        <v>1.8728799615228837E-2</v>
      </c>
      <c r="O428" s="19">
        <v>143.36000000000001</v>
      </c>
      <c r="P428" s="19">
        <f t="shared" si="143"/>
        <v>1.5572544805589306E-3</v>
      </c>
      <c r="Q428" s="19">
        <f t="shared" si="144"/>
        <v>9.5831044957472665E-5</v>
      </c>
      <c r="R428" s="19">
        <f t="shared" si="145"/>
        <v>0.29594881530984207</v>
      </c>
      <c r="S428" s="19">
        <f t="shared" si="146"/>
        <v>2.505386796273795E-16</v>
      </c>
      <c r="T428" s="83">
        <f t="shared" si="147"/>
        <v>33.492947187091254</v>
      </c>
    </row>
    <row r="429" spans="1:20">
      <c r="A429" s="2" t="s">
        <v>1380</v>
      </c>
      <c r="B429" s="2"/>
      <c r="G429" s="1">
        <f t="shared" si="136"/>
        <v>0</v>
      </c>
      <c r="H429" s="18"/>
      <c r="I429" s="1"/>
      <c r="J429" s="1"/>
      <c r="K429" s="18"/>
      <c r="L429" s="18"/>
      <c r="M429" s="18"/>
      <c r="N429" s="18"/>
      <c r="O429" s="18"/>
      <c r="P429" s="18"/>
      <c r="Q429" s="18"/>
      <c r="R429" s="18"/>
      <c r="S429" s="18"/>
      <c r="T429" s="84"/>
    </row>
    <row r="430" spans="1:20">
      <c r="A430" t="s">
        <v>1381</v>
      </c>
      <c r="B430" s="9" t="s">
        <v>11</v>
      </c>
      <c r="C430">
        <v>14300</v>
      </c>
      <c r="D430">
        <v>1.2</v>
      </c>
      <c r="E430">
        <v>0</v>
      </c>
      <c r="F430">
        <v>1</v>
      </c>
      <c r="G430" s="1">
        <f t="shared" si="136"/>
        <v>0</v>
      </c>
      <c r="H430" s="19">
        <f t="shared" ref="H430:H461" si="148">CO2_YLL_charfact*C430</f>
        <v>-2.1618976306196835E-3</v>
      </c>
      <c r="I430" s="1">
        <f t="shared" si="138"/>
        <v>0</v>
      </c>
      <c r="J430" s="1">
        <f t="shared" si="139"/>
        <v>0</v>
      </c>
      <c r="K430" s="19">
        <f t="shared" ref="K430:K461" si="149">CO2_severewasting_charfact*C430</f>
        <v>9.5478128797083839E-2</v>
      </c>
      <c r="L430" s="19">
        <f t="shared" ref="L430:L461" si="150">CO2_workingcapacity_charfact*C430</f>
        <v>59.742029161603895</v>
      </c>
      <c r="M430" s="19">
        <f t="shared" ref="M430:M461" si="151">CO2_diarrhea_charfact*C430</f>
        <v>2.0459599027946537E-3</v>
      </c>
      <c r="N430" s="19">
        <f t="shared" si="127"/>
        <v>1.8728799615228837E-2</v>
      </c>
      <c r="O430" s="19">
        <v>145.36000000000001</v>
      </c>
      <c r="P430" s="19">
        <f t="shared" ref="P430:P461" si="152">CO2_meat_charfact*C430</f>
        <v>11.303928462940462</v>
      </c>
      <c r="Q430" s="19">
        <f t="shared" ref="Q430:Q461" si="153">CO2_fish_charfact*C430</f>
        <v>0.69562636695018232</v>
      </c>
      <c r="R430" s="19">
        <f t="shared" ref="R430:R461" si="154">CO2_drinkingwater_charfact*C430</f>
        <v>2148.2578979343866</v>
      </c>
      <c r="S430" s="19">
        <f t="shared" ref="S430:S461" si="155">CO2_NEX_charfact*C430</f>
        <v>1.818631024706359E-12</v>
      </c>
      <c r="T430" s="83">
        <f t="shared" ref="T430:T461" si="156">(G430+H430)*YLLvalue+I430*skincancervalue+J430*Lowvisionvalue+K430*severe_wasting_value+L430*working_capacity+M430*diarrhea_value+N430*cropvalue+O430*woodvalue+P430*meatvalue+Q430*fishvalue+R430*drinkingwatervalue+S430*speciesvalue</f>
        <v>3750.9418465047852</v>
      </c>
    </row>
    <row r="431" spans="1:20">
      <c r="A431" t="s">
        <v>1382</v>
      </c>
      <c r="B431" s="9" t="s">
        <v>11</v>
      </c>
      <c r="C431">
        <v>6630</v>
      </c>
      <c r="D431">
        <v>1.2</v>
      </c>
      <c r="E431">
        <v>0</v>
      </c>
      <c r="F431">
        <v>1</v>
      </c>
      <c r="G431" s="1">
        <f t="shared" si="136"/>
        <v>0</v>
      </c>
      <c r="H431" s="19">
        <f t="shared" si="148"/>
        <v>-1.0023343560145806E-3</v>
      </c>
      <c r="I431" s="1">
        <f t="shared" si="138"/>
        <v>0</v>
      </c>
      <c r="J431" s="1">
        <f t="shared" si="139"/>
        <v>0</v>
      </c>
      <c r="K431" s="19">
        <f t="shared" si="149"/>
        <v>4.4267132442284328E-2</v>
      </c>
      <c r="L431" s="19">
        <f t="shared" si="150"/>
        <v>27.698577156743625</v>
      </c>
      <c r="M431" s="19">
        <f t="shared" si="151"/>
        <v>9.4858140947752122E-4</v>
      </c>
      <c r="N431" s="19">
        <f t="shared" si="127"/>
        <v>1.8728799615228837E-2</v>
      </c>
      <c r="O431" s="19">
        <v>146.36000000000001</v>
      </c>
      <c r="P431" s="19">
        <f t="shared" si="152"/>
        <v>5.2409122873633045</v>
      </c>
      <c r="Q431" s="19">
        <f t="shared" si="153"/>
        <v>0.32251767922235725</v>
      </c>
      <c r="R431" s="19">
        <f t="shared" si="154"/>
        <v>996.01047995139743</v>
      </c>
      <c r="S431" s="19">
        <f t="shared" si="155"/>
        <v>8.4318347509113005E-13</v>
      </c>
      <c r="T431" s="83">
        <f t="shared" si="156"/>
        <v>1757.2394755581088</v>
      </c>
    </row>
    <row r="432" spans="1:20">
      <c r="A432" t="s">
        <v>1383</v>
      </c>
      <c r="B432" s="9" t="s">
        <v>11</v>
      </c>
      <c r="C432">
        <v>616</v>
      </c>
      <c r="D432">
        <v>1.2</v>
      </c>
      <c r="E432">
        <v>0</v>
      </c>
      <c r="F432">
        <v>1</v>
      </c>
      <c r="G432" s="1">
        <f t="shared" si="136"/>
        <v>0</v>
      </c>
      <c r="H432" s="19">
        <f t="shared" si="148"/>
        <v>-9.3127897934386356E-5</v>
      </c>
      <c r="I432" s="1">
        <f t="shared" si="138"/>
        <v>0</v>
      </c>
      <c r="J432" s="1">
        <f t="shared" si="139"/>
        <v>0</v>
      </c>
      <c r="K432" s="19">
        <f t="shared" si="149"/>
        <v>4.1129040097205348E-3</v>
      </c>
      <c r="L432" s="19">
        <f t="shared" si="150"/>
        <v>2.5735027946537063</v>
      </c>
      <c r="M432" s="19">
        <f t="shared" si="151"/>
        <v>8.8133657351154309E-5</v>
      </c>
      <c r="N432" s="19">
        <f t="shared" si="127"/>
        <v>1.8728799615228837E-2</v>
      </c>
      <c r="O432" s="19">
        <v>147.36000000000001</v>
      </c>
      <c r="P432" s="19">
        <f t="shared" si="152"/>
        <v>0.48693845686512754</v>
      </c>
      <c r="Q432" s="19">
        <f t="shared" si="153"/>
        <v>2.9965443499392466E-2</v>
      </c>
      <c r="R432" s="19">
        <f t="shared" si="154"/>
        <v>92.540340218712032</v>
      </c>
      <c r="S432" s="19">
        <f t="shared" si="155"/>
        <v>7.8341028756581615E-14</v>
      </c>
      <c r="T432" s="83">
        <f t="shared" si="156"/>
        <v>194.03932185884977</v>
      </c>
    </row>
    <row r="433" spans="1:20">
      <c r="A433" t="s">
        <v>1384</v>
      </c>
      <c r="B433" s="9" t="s">
        <v>11</v>
      </c>
      <c r="C433">
        <v>7520</v>
      </c>
      <c r="D433">
        <v>1.2</v>
      </c>
      <c r="E433">
        <v>0</v>
      </c>
      <c r="F433">
        <v>1</v>
      </c>
      <c r="G433" s="1">
        <f t="shared" si="136"/>
        <v>0</v>
      </c>
      <c r="H433" s="19">
        <f t="shared" si="148"/>
        <v>-1.1368860267314698E-3</v>
      </c>
      <c r="I433" s="1">
        <f t="shared" si="138"/>
        <v>0</v>
      </c>
      <c r="J433" s="1">
        <f t="shared" si="139"/>
        <v>0</v>
      </c>
      <c r="K433" s="19">
        <f t="shared" si="149"/>
        <v>5.0209477521263673E-2</v>
      </c>
      <c r="L433" s="19">
        <f t="shared" si="150"/>
        <v>31.416787363304984</v>
      </c>
      <c r="M433" s="19">
        <f t="shared" si="151"/>
        <v>1.0759173754556501E-3</v>
      </c>
      <c r="N433" s="19">
        <f t="shared" si="127"/>
        <v>1.8728799615228837E-2</v>
      </c>
      <c r="O433" s="19">
        <v>148.36000000000001</v>
      </c>
      <c r="P433" s="19">
        <f t="shared" si="152"/>
        <v>5.9444434993924666</v>
      </c>
      <c r="Q433" s="19">
        <f t="shared" si="153"/>
        <v>0.36581190765492105</v>
      </c>
      <c r="R433" s="19">
        <f t="shared" si="154"/>
        <v>1129.7132442284326</v>
      </c>
      <c r="S433" s="19">
        <f t="shared" si="155"/>
        <v>9.5637100040502231E-13</v>
      </c>
      <c r="T433" s="83">
        <f t="shared" si="156"/>
        <v>1989.0684208178925</v>
      </c>
    </row>
    <row r="434" spans="1:20">
      <c r="A434" t="s">
        <v>1385</v>
      </c>
      <c r="B434" s="9" t="s">
        <v>11</v>
      </c>
      <c r="C434">
        <v>654</v>
      </c>
      <c r="D434">
        <v>1.2</v>
      </c>
      <c r="E434">
        <v>0.04</v>
      </c>
      <c r="F434">
        <v>1.2</v>
      </c>
      <c r="G434" s="1">
        <f t="shared" si="136"/>
        <v>7.1599999999999992E-6</v>
      </c>
      <c r="H434" s="19">
        <f t="shared" si="148"/>
        <v>-9.8872800729040065E-5</v>
      </c>
      <c r="I434" s="1">
        <f t="shared" si="138"/>
        <v>5.32E-8</v>
      </c>
      <c r="J434" s="1">
        <f t="shared" si="139"/>
        <v>1.0640000000000001E-5</v>
      </c>
      <c r="K434" s="19">
        <f t="shared" si="149"/>
        <v>4.366622114216282E-3</v>
      </c>
      <c r="L434" s="19">
        <f t="shared" si="150"/>
        <v>2.7322578371810451</v>
      </c>
      <c r="M434" s="19">
        <f t="shared" si="151"/>
        <v>9.3570473876063186E-5</v>
      </c>
      <c r="N434" s="19">
        <f t="shared" si="127"/>
        <v>1.8728799615228837E-2</v>
      </c>
      <c r="O434" s="19">
        <v>149.36000000000001</v>
      </c>
      <c r="P434" s="19">
        <f t="shared" si="152"/>
        <v>0.51697686816524913</v>
      </c>
      <c r="Q434" s="19">
        <f t="shared" si="153"/>
        <v>3.1813961117861486E-2</v>
      </c>
      <c r="R434" s="19">
        <f t="shared" si="154"/>
        <v>98.248997569866347</v>
      </c>
      <c r="S434" s="19">
        <f t="shared" si="155"/>
        <v>8.3173754556500619E-14</v>
      </c>
      <c r="T434" s="83">
        <f t="shared" si="156"/>
        <v>205.11921519412144</v>
      </c>
    </row>
    <row r="435" spans="1:20">
      <c r="A435" t="s">
        <v>1386</v>
      </c>
      <c r="B435" s="9" t="s">
        <v>11</v>
      </c>
      <c r="C435">
        <v>539</v>
      </c>
      <c r="D435">
        <v>1.2</v>
      </c>
      <c r="E435">
        <v>0.03</v>
      </c>
      <c r="F435">
        <v>1.2</v>
      </c>
      <c r="G435" s="1">
        <f t="shared" si="136"/>
        <v>5.3699999999999994E-6</v>
      </c>
      <c r="H435" s="19">
        <f t="shared" si="148"/>
        <v>-8.1486910692588071E-5</v>
      </c>
      <c r="I435" s="1">
        <f t="shared" si="138"/>
        <v>3.99E-8</v>
      </c>
      <c r="J435" s="1">
        <f t="shared" si="139"/>
        <v>7.9799999999999998E-6</v>
      </c>
      <c r="K435" s="19">
        <f t="shared" si="149"/>
        <v>3.5987910085054677E-3</v>
      </c>
      <c r="L435" s="19">
        <f t="shared" si="150"/>
        <v>2.2518149453219927</v>
      </c>
      <c r="M435" s="19">
        <f t="shared" si="151"/>
        <v>7.711695018226002E-5</v>
      </c>
      <c r="N435" s="19">
        <f t="shared" si="127"/>
        <v>1.8728799615228837E-2</v>
      </c>
      <c r="O435" s="19">
        <v>150.36000000000001</v>
      </c>
      <c r="P435" s="19">
        <f t="shared" si="152"/>
        <v>0.42607114975698662</v>
      </c>
      <c r="Q435" s="19">
        <f t="shared" si="153"/>
        <v>2.621976306196841E-2</v>
      </c>
      <c r="R435" s="19">
        <f t="shared" si="154"/>
        <v>80.972797691373032</v>
      </c>
      <c r="S435" s="19">
        <f t="shared" si="155"/>
        <v>6.8548400162008913E-14</v>
      </c>
      <c r="T435" s="83">
        <f t="shared" si="156"/>
        <v>175.26792306827295</v>
      </c>
    </row>
    <row r="436" spans="1:20">
      <c r="A436" t="s">
        <v>1387</v>
      </c>
      <c r="B436" s="9" t="s">
        <v>11</v>
      </c>
      <c r="C436">
        <v>2590</v>
      </c>
      <c r="D436">
        <v>1.2</v>
      </c>
      <c r="E436">
        <v>0</v>
      </c>
      <c r="F436">
        <v>1</v>
      </c>
      <c r="G436" s="1">
        <f t="shared" si="136"/>
        <v>0</v>
      </c>
      <c r="H436" s="19">
        <f t="shared" si="148"/>
        <v>-3.915604799513972E-4</v>
      </c>
      <c r="I436" s="1">
        <f t="shared" si="138"/>
        <v>0</v>
      </c>
      <c r="J436" s="1">
        <f t="shared" si="139"/>
        <v>0</v>
      </c>
      <c r="K436" s="19">
        <f t="shared" si="149"/>
        <v>1.7292891859052247E-2</v>
      </c>
      <c r="L436" s="19">
        <f t="shared" si="150"/>
        <v>10.820409477521265</v>
      </c>
      <c r="M436" s="19">
        <f t="shared" si="151"/>
        <v>3.7056196840826243E-4</v>
      </c>
      <c r="N436" s="19">
        <f t="shared" si="127"/>
        <v>1.8728799615228837E-2</v>
      </c>
      <c r="O436" s="19">
        <v>151.36000000000001</v>
      </c>
      <c r="P436" s="19">
        <f t="shared" si="152"/>
        <v>2.0473548754556501</v>
      </c>
      <c r="Q436" s="19">
        <f t="shared" si="153"/>
        <v>0.12599106925880924</v>
      </c>
      <c r="R436" s="19">
        <f t="shared" si="154"/>
        <v>389.09006682867562</v>
      </c>
      <c r="S436" s="19">
        <f t="shared" si="155"/>
        <v>3.293884163629E-13</v>
      </c>
      <c r="T436" s="83">
        <f t="shared" si="156"/>
        <v>708.1304431429096</v>
      </c>
    </row>
    <row r="437" spans="1:20">
      <c r="A437" t="s">
        <v>1388</v>
      </c>
      <c r="B437" s="9" t="s">
        <v>11</v>
      </c>
      <c r="C437">
        <v>1100</v>
      </c>
      <c r="D437">
        <v>1.2</v>
      </c>
      <c r="E437">
        <v>0</v>
      </c>
      <c r="F437">
        <v>1</v>
      </c>
      <c r="G437" s="1">
        <f t="shared" si="136"/>
        <v>0</v>
      </c>
      <c r="H437" s="19">
        <f t="shared" si="148"/>
        <v>-1.6629981773997566E-4</v>
      </c>
      <c r="I437" s="1">
        <f t="shared" si="138"/>
        <v>0</v>
      </c>
      <c r="J437" s="1">
        <f t="shared" si="139"/>
        <v>0</v>
      </c>
      <c r="K437" s="19">
        <f t="shared" si="149"/>
        <v>7.3444714459295259E-3</v>
      </c>
      <c r="L437" s="19">
        <f t="shared" si="150"/>
        <v>4.5955407047387613</v>
      </c>
      <c r="M437" s="19">
        <f t="shared" si="151"/>
        <v>1.5738153098420412E-4</v>
      </c>
      <c r="N437" s="19">
        <f t="shared" si="127"/>
        <v>1.8728799615228837E-2</v>
      </c>
      <c r="O437" s="19">
        <v>152.36000000000001</v>
      </c>
      <c r="P437" s="19">
        <f t="shared" si="152"/>
        <v>0.86953295868772784</v>
      </c>
      <c r="Q437" s="19">
        <f t="shared" si="153"/>
        <v>5.3509720534629407E-2</v>
      </c>
      <c r="R437" s="19">
        <f t="shared" si="154"/>
        <v>165.25060753341435</v>
      </c>
      <c r="S437" s="19">
        <f t="shared" si="155"/>
        <v>1.3989469420818145E-13</v>
      </c>
      <c r="T437" s="83">
        <f t="shared" si="156"/>
        <v>321.01243366304675</v>
      </c>
    </row>
    <row r="438" spans="1:20">
      <c r="A438" t="s">
        <v>1389</v>
      </c>
      <c r="B438" s="9" t="s">
        <v>11</v>
      </c>
      <c r="C438">
        <v>747</v>
      </c>
      <c r="D438">
        <v>1.2</v>
      </c>
      <c r="E438">
        <v>0</v>
      </c>
      <c r="F438">
        <v>1</v>
      </c>
      <c r="G438" s="1">
        <f t="shared" si="136"/>
        <v>0</v>
      </c>
      <c r="H438" s="19">
        <f t="shared" si="148"/>
        <v>-1.1293269441069256E-4</v>
      </c>
      <c r="I438" s="1">
        <f t="shared" si="138"/>
        <v>0</v>
      </c>
      <c r="J438" s="1">
        <f t="shared" si="139"/>
        <v>0</v>
      </c>
      <c r="K438" s="19">
        <f t="shared" si="149"/>
        <v>4.9875637910085056E-3</v>
      </c>
      <c r="L438" s="19">
        <f t="shared" si="150"/>
        <v>3.1207899149453224</v>
      </c>
      <c r="M438" s="19">
        <f t="shared" si="151"/>
        <v>1.0687636695018226E-4</v>
      </c>
      <c r="N438" s="19">
        <f t="shared" si="127"/>
        <v>1.8728799615228837E-2</v>
      </c>
      <c r="O438" s="19">
        <v>153.36000000000001</v>
      </c>
      <c r="P438" s="19">
        <f t="shared" si="152"/>
        <v>0.59049192739975698</v>
      </c>
      <c r="Q438" s="19">
        <f t="shared" si="153"/>
        <v>3.6337964763061968E-2</v>
      </c>
      <c r="R438" s="19">
        <f t="shared" si="154"/>
        <v>112.22018529769139</v>
      </c>
      <c r="S438" s="19">
        <f t="shared" si="155"/>
        <v>9.5001215066828687E-14</v>
      </c>
      <c r="T438" s="83">
        <f t="shared" si="156"/>
        <v>229.47475088023364</v>
      </c>
    </row>
    <row r="439" spans="1:20">
      <c r="A439" t="s">
        <v>1390</v>
      </c>
      <c r="B439" s="9" t="s">
        <v>11</v>
      </c>
      <c r="C439">
        <v>934</v>
      </c>
      <c r="D439">
        <v>1.2</v>
      </c>
      <c r="E439">
        <v>0</v>
      </c>
      <c r="F439">
        <v>1</v>
      </c>
      <c r="G439" s="1">
        <f t="shared" si="136"/>
        <v>0</v>
      </c>
      <c r="H439" s="19">
        <f t="shared" si="148"/>
        <v>-1.4120366342648842E-4</v>
      </c>
      <c r="I439" s="1">
        <f t="shared" si="138"/>
        <v>0</v>
      </c>
      <c r="J439" s="1">
        <f t="shared" si="139"/>
        <v>0</v>
      </c>
      <c r="K439" s="19">
        <f t="shared" si="149"/>
        <v>6.2361239368165251E-3</v>
      </c>
      <c r="L439" s="19">
        <f t="shared" si="150"/>
        <v>3.9020318347509115</v>
      </c>
      <c r="M439" s="19">
        <f t="shared" si="151"/>
        <v>1.3363122721749696E-4</v>
      </c>
      <c r="N439" s="19">
        <f t="shared" si="127"/>
        <v>1.8728799615228837E-2</v>
      </c>
      <c r="O439" s="19">
        <v>154.36000000000001</v>
      </c>
      <c r="P439" s="19">
        <f t="shared" si="152"/>
        <v>0.73831253037667066</v>
      </c>
      <c r="Q439" s="19">
        <f t="shared" si="153"/>
        <v>4.543461725394897E-2</v>
      </c>
      <c r="R439" s="19">
        <f t="shared" si="154"/>
        <v>140.31278857837182</v>
      </c>
      <c r="S439" s="19">
        <f t="shared" si="155"/>
        <v>1.1878331308221953E-13</v>
      </c>
      <c r="T439" s="83">
        <f t="shared" si="156"/>
        <v>278.31822589549165</v>
      </c>
    </row>
    <row r="440" spans="1:20">
      <c r="A440" t="s">
        <v>1391</v>
      </c>
      <c r="B440" s="9" t="s">
        <v>11</v>
      </c>
      <c r="C440">
        <v>878</v>
      </c>
      <c r="D440">
        <v>1.2</v>
      </c>
      <c r="E440">
        <v>0</v>
      </c>
      <c r="F440">
        <v>1</v>
      </c>
      <c r="G440" s="1">
        <f t="shared" si="136"/>
        <v>0</v>
      </c>
      <c r="H440" s="19">
        <f t="shared" si="148"/>
        <v>-1.3273749088699873E-4</v>
      </c>
      <c r="I440" s="1">
        <f t="shared" si="138"/>
        <v>0</v>
      </c>
      <c r="J440" s="1">
        <f t="shared" si="139"/>
        <v>0</v>
      </c>
      <c r="K440" s="19">
        <f t="shared" si="149"/>
        <v>5.8622235722964764E-3</v>
      </c>
      <c r="L440" s="19">
        <f t="shared" si="150"/>
        <v>3.6680770352369385</v>
      </c>
      <c r="M440" s="19">
        <f t="shared" si="151"/>
        <v>1.2561907654921021E-4</v>
      </c>
      <c r="N440" s="19">
        <f t="shared" si="127"/>
        <v>1.8728799615228837E-2</v>
      </c>
      <c r="O440" s="19">
        <v>155.36000000000001</v>
      </c>
      <c r="P440" s="19">
        <f t="shared" si="152"/>
        <v>0.69404539793438635</v>
      </c>
      <c r="Q440" s="19">
        <f t="shared" si="153"/>
        <v>4.271048602673147E-2</v>
      </c>
      <c r="R440" s="19">
        <f t="shared" si="154"/>
        <v>131.90003037667071</v>
      </c>
      <c r="S440" s="19">
        <f t="shared" si="155"/>
        <v>1.1166140137707575E-13</v>
      </c>
      <c r="T440" s="83">
        <f t="shared" si="156"/>
        <v>263.99017990161764</v>
      </c>
    </row>
    <row r="441" spans="1:20">
      <c r="A441" s="9" t="s">
        <v>1392</v>
      </c>
      <c r="B441" s="9" t="s">
        <v>11</v>
      </c>
      <c r="C441">
        <v>34.299999999999997</v>
      </c>
      <c r="D441">
        <v>1.2</v>
      </c>
      <c r="E441">
        <v>0</v>
      </c>
      <c r="F441">
        <v>1</v>
      </c>
      <c r="G441" s="1">
        <f t="shared" si="136"/>
        <v>0</v>
      </c>
      <c r="H441" s="19">
        <f t="shared" si="148"/>
        <v>-5.1855306804374223E-6</v>
      </c>
      <c r="I441" s="1">
        <f t="shared" si="138"/>
        <v>0</v>
      </c>
      <c r="J441" s="1">
        <f t="shared" si="139"/>
        <v>0</v>
      </c>
      <c r="K441" s="19">
        <f t="shared" si="149"/>
        <v>2.2901397326852976E-4</v>
      </c>
      <c r="L441" s="19">
        <f t="shared" si="150"/>
        <v>0.14329731470230864</v>
      </c>
      <c r="M441" s="19">
        <f t="shared" si="151"/>
        <v>4.9074422843256379E-6</v>
      </c>
      <c r="N441" s="19">
        <f t="shared" si="127"/>
        <v>1.8728799615228837E-2</v>
      </c>
      <c r="O441" s="19">
        <v>156.36000000000001</v>
      </c>
      <c r="P441" s="19">
        <f t="shared" si="152"/>
        <v>2.7113618620899147E-2</v>
      </c>
      <c r="Q441" s="19">
        <f t="shared" si="153"/>
        <v>1.6685303766707169E-3</v>
      </c>
      <c r="R441" s="19">
        <f t="shared" si="154"/>
        <v>5.1528143985419197</v>
      </c>
      <c r="S441" s="19">
        <f t="shared" si="155"/>
        <v>4.362170919400567E-15</v>
      </c>
      <c r="T441" s="83">
        <f t="shared" si="156"/>
        <v>44.887619097483167</v>
      </c>
    </row>
    <row r="442" spans="1:20">
      <c r="A442" t="s">
        <v>1393</v>
      </c>
      <c r="B442" s="9" t="s">
        <v>11</v>
      </c>
      <c r="C442">
        <v>328</v>
      </c>
      <c r="D442">
        <v>1.2</v>
      </c>
      <c r="E442">
        <v>0</v>
      </c>
      <c r="F442">
        <v>1</v>
      </c>
      <c r="G442" s="1">
        <f t="shared" si="136"/>
        <v>0</v>
      </c>
      <c r="H442" s="19">
        <f t="shared" si="148"/>
        <v>-4.9587582017010919E-5</v>
      </c>
      <c r="I442" s="1">
        <f t="shared" si="138"/>
        <v>0</v>
      </c>
      <c r="J442" s="1">
        <f t="shared" si="139"/>
        <v>0</v>
      </c>
      <c r="K442" s="19">
        <f t="shared" si="149"/>
        <v>2.1899878493317135E-3</v>
      </c>
      <c r="L442" s="19">
        <f t="shared" si="150"/>
        <v>1.3703066828675579</v>
      </c>
      <c r="M442" s="19">
        <f t="shared" si="151"/>
        <v>4.692831105710814E-5</v>
      </c>
      <c r="N442" s="19">
        <f t="shared" si="127"/>
        <v>1.8728799615228837E-2</v>
      </c>
      <c r="O442" s="19">
        <v>157.36000000000001</v>
      </c>
      <c r="P442" s="19">
        <f t="shared" si="152"/>
        <v>0.25927891859052249</v>
      </c>
      <c r="Q442" s="19">
        <f t="shared" si="153"/>
        <v>1.5955625759416767E-2</v>
      </c>
      <c r="R442" s="19">
        <f t="shared" si="154"/>
        <v>49.274726609963551</v>
      </c>
      <c r="S442" s="19">
        <f t="shared" si="155"/>
        <v>4.1714054272985015E-14</v>
      </c>
      <c r="T442" s="83">
        <f t="shared" si="156"/>
        <v>121.46937103321184</v>
      </c>
    </row>
    <row r="443" spans="1:20">
      <c r="A443" t="s">
        <v>1394</v>
      </c>
      <c r="B443" s="9" t="s">
        <v>11</v>
      </c>
      <c r="C443">
        <v>2.06</v>
      </c>
      <c r="D443">
        <v>1.2</v>
      </c>
      <c r="E443">
        <v>0</v>
      </c>
      <c r="F443">
        <v>1</v>
      </c>
      <c r="G443" s="1">
        <f t="shared" si="136"/>
        <v>0</v>
      </c>
      <c r="H443" s="19">
        <f t="shared" si="148"/>
        <v>-3.1143420413122714E-7</v>
      </c>
      <c r="I443" s="1">
        <f t="shared" si="138"/>
        <v>0</v>
      </c>
      <c r="J443" s="1">
        <f t="shared" si="139"/>
        <v>0</v>
      </c>
      <c r="K443" s="19">
        <f t="shared" si="149"/>
        <v>1.3754191980558931E-5</v>
      </c>
      <c r="L443" s="19">
        <f t="shared" si="150"/>
        <v>8.6061944106925886E-3</v>
      </c>
      <c r="M443" s="19">
        <f t="shared" si="151"/>
        <v>2.9473268529769136E-7</v>
      </c>
      <c r="N443" s="19">
        <f t="shared" si="127"/>
        <v>1.8728799615228837E-2</v>
      </c>
      <c r="O443" s="19">
        <v>158.36000000000001</v>
      </c>
      <c r="P443" s="19">
        <f t="shared" si="152"/>
        <v>1.6283980862697449E-3</v>
      </c>
      <c r="Q443" s="19">
        <f t="shared" si="153"/>
        <v>1.0020911300121508E-4</v>
      </c>
      <c r="R443" s="19">
        <f t="shared" si="154"/>
        <v>0.30946931956257595</v>
      </c>
      <c r="S443" s="19">
        <f t="shared" si="155"/>
        <v>2.6198460915350346E-16</v>
      </c>
      <c r="T443" s="83">
        <f t="shared" si="156"/>
        <v>36.966344046724259</v>
      </c>
    </row>
    <row r="444" spans="1:20">
      <c r="A444" t="s">
        <v>1395</v>
      </c>
      <c r="B444" s="9" t="s">
        <v>11</v>
      </c>
      <c r="C444">
        <v>29.2</v>
      </c>
      <c r="D444">
        <v>1.2</v>
      </c>
      <c r="E444">
        <v>0</v>
      </c>
      <c r="F444">
        <v>1</v>
      </c>
      <c r="G444" s="1">
        <f t="shared" si="136"/>
        <v>0</v>
      </c>
      <c r="H444" s="19">
        <f t="shared" si="148"/>
        <v>-4.4145042527338986E-6</v>
      </c>
      <c r="I444" s="1">
        <f t="shared" si="138"/>
        <v>0</v>
      </c>
      <c r="J444" s="1">
        <f t="shared" si="139"/>
        <v>0</v>
      </c>
      <c r="K444" s="19">
        <f t="shared" si="149"/>
        <v>1.9496233292831105E-4</v>
      </c>
      <c r="L444" s="19">
        <f t="shared" si="150"/>
        <v>0.12199071688942892</v>
      </c>
      <c r="M444" s="19">
        <f t="shared" si="151"/>
        <v>4.1777642770352365E-6</v>
      </c>
      <c r="N444" s="19">
        <f t="shared" si="127"/>
        <v>1.8728799615228837E-2</v>
      </c>
      <c r="O444" s="19">
        <v>159.36000000000001</v>
      </c>
      <c r="P444" s="19">
        <f t="shared" si="152"/>
        <v>2.3082147630619682E-2</v>
      </c>
      <c r="Q444" s="19">
        <f t="shared" si="153"/>
        <v>1.4204398541919805E-3</v>
      </c>
      <c r="R444" s="19">
        <f t="shared" si="154"/>
        <v>4.3866524908869993</v>
      </c>
      <c r="S444" s="19">
        <f t="shared" si="155"/>
        <v>3.7135682462535438E-15</v>
      </c>
      <c r="T444" s="83">
        <f t="shared" si="156"/>
        <v>44.251797051612506</v>
      </c>
    </row>
    <row r="445" spans="1:20">
      <c r="A445" t="s">
        <v>1396</v>
      </c>
      <c r="B445" s="9" t="s">
        <v>11</v>
      </c>
      <c r="C445">
        <v>0.62</v>
      </c>
      <c r="D445">
        <v>1.2</v>
      </c>
      <c r="E445">
        <v>0</v>
      </c>
      <c r="F445">
        <v>1</v>
      </c>
      <c r="G445" s="1">
        <f t="shared" si="136"/>
        <v>0</v>
      </c>
      <c r="H445" s="19">
        <f t="shared" si="148"/>
        <v>-9.3732624544349915E-8</v>
      </c>
      <c r="I445" s="1">
        <f t="shared" si="138"/>
        <v>0</v>
      </c>
      <c r="J445" s="1">
        <f t="shared" si="139"/>
        <v>0</v>
      </c>
      <c r="K445" s="19">
        <f t="shared" si="149"/>
        <v>4.1396111786148238E-6</v>
      </c>
      <c r="L445" s="19">
        <f t="shared" si="150"/>
        <v>2.5902138517618469E-3</v>
      </c>
      <c r="M445" s="19">
        <f t="shared" si="151"/>
        <v>8.8705953827460506E-8</v>
      </c>
      <c r="N445" s="19">
        <f t="shared" si="127"/>
        <v>1.8728799615228837E-2</v>
      </c>
      <c r="O445" s="19">
        <v>160.36000000000001</v>
      </c>
      <c r="P445" s="19">
        <f t="shared" si="152"/>
        <v>4.9010039489671932E-4</v>
      </c>
      <c r="Q445" s="19">
        <f t="shared" si="153"/>
        <v>3.0160024301336574E-5</v>
      </c>
      <c r="R445" s="19">
        <f t="shared" si="154"/>
        <v>9.314125151883354E-2</v>
      </c>
      <c r="S445" s="19">
        <f t="shared" si="155"/>
        <v>7.8849736735520456E-17</v>
      </c>
      <c r="T445" s="83">
        <f t="shared" si="156"/>
        <v>37.051994292596063</v>
      </c>
    </row>
    <row r="446" spans="1:20">
      <c r="A446" t="s">
        <v>1397</v>
      </c>
      <c r="B446" s="9" t="s">
        <v>11</v>
      </c>
      <c r="C446">
        <v>3770</v>
      </c>
      <c r="D446">
        <v>1.2</v>
      </c>
      <c r="E446">
        <v>0</v>
      </c>
      <c r="F446">
        <v>1</v>
      </c>
      <c r="G446" s="1">
        <f t="shared" si="136"/>
        <v>0</v>
      </c>
      <c r="H446" s="19">
        <f t="shared" si="148"/>
        <v>-5.6995482989064385E-4</v>
      </c>
      <c r="I446" s="1">
        <f t="shared" si="138"/>
        <v>0</v>
      </c>
      <c r="J446" s="1">
        <f t="shared" si="139"/>
        <v>0</v>
      </c>
      <c r="K446" s="19">
        <f t="shared" si="149"/>
        <v>2.5171506682867557E-2</v>
      </c>
      <c r="L446" s="19">
        <f t="shared" si="150"/>
        <v>15.750171324422844</v>
      </c>
      <c r="M446" s="19">
        <f t="shared" si="151"/>
        <v>5.3938942891859057E-4</v>
      </c>
      <c r="N446" s="19">
        <f t="shared" si="127"/>
        <v>1.8728799615228837E-2</v>
      </c>
      <c r="O446" s="19">
        <v>161.36000000000001</v>
      </c>
      <c r="P446" s="19">
        <f t="shared" si="152"/>
        <v>2.9801265947752125</v>
      </c>
      <c r="Q446" s="19">
        <f t="shared" si="153"/>
        <v>0.18339240583232078</v>
      </c>
      <c r="R446" s="19">
        <f t="shared" si="154"/>
        <v>566.35890036452008</v>
      </c>
      <c r="S446" s="19">
        <f t="shared" si="155"/>
        <v>4.7945727014985829E-13</v>
      </c>
      <c r="T446" s="83">
        <f t="shared" si="156"/>
        <v>1017.1892694423982</v>
      </c>
    </row>
    <row r="447" spans="1:20">
      <c r="A447" t="s">
        <v>1398</v>
      </c>
      <c r="B447" s="9" t="s">
        <v>11</v>
      </c>
      <c r="C447">
        <v>3040</v>
      </c>
      <c r="D447">
        <v>1.2</v>
      </c>
      <c r="E447">
        <v>0</v>
      </c>
      <c r="F447">
        <v>1</v>
      </c>
      <c r="G447" s="1">
        <f t="shared" si="136"/>
        <v>0</v>
      </c>
      <c r="H447" s="19">
        <f t="shared" si="148"/>
        <v>-4.5959222357229635E-4</v>
      </c>
      <c r="I447" s="1">
        <f t="shared" si="138"/>
        <v>0</v>
      </c>
      <c r="J447" s="1">
        <f t="shared" si="139"/>
        <v>0</v>
      </c>
      <c r="K447" s="19">
        <f t="shared" si="149"/>
        <v>2.029744835965978E-2</v>
      </c>
      <c r="L447" s="19">
        <f t="shared" si="150"/>
        <v>12.700403402187121</v>
      </c>
      <c r="M447" s="19">
        <f t="shared" si="151"/>
        <v>4.3494532199270957E-4</v>
      </c>
      <c r="N447" s="19">
        <f t="shared" ref="N447:N510" si="157">CO2_crop_charfact</f>
        <v>1.8728799615228837E-2</v>
      </c>
      <c r="O447" s="19">
        <v>162.36000000000001</v>
      </c>
      <c r="P447" s="19">
        <f t="shared" si="152"/>
        <v>2.4030729040097203</v>
      </c>
      <c r="Q447" s="19">
        <f t="shared" si="153"/>
        <v>0.14788140947752126</v>
      </c>
      <c r="R447" s="19">
        <f t="shared" si="154"/>
        <v>456.69258809234509</v>
      </c>
      <c r="S447" s="19">
        <f t="shared" si="155"/>
        <v>3.8661806399351965E-13</v>
      </c>
      <c r="T447" s="83">
        <f t="shared" si="156"/>
        <v>827.64474130796884</v>
      </c>
    </row>
    <row r="448" spans="1:20">
      <c r="A448" t="s">
        <v>1399</v>
      </c>
      <c r="B448" s="9" t="s">
        <v>11</v>
      </c>
      <c r="C448">
        <v>1040</v>
      </c>
      <c r="D448">
        <v>1.2</v>
      </c>
      <c r="E448">
        <v>0</v>
      </c>
      <c r="F448">
        <v>1</v>
      </c>
      <c r="G448" s="1">
        <f t="shared" si="136"/>
        <v>0</v>
      </c>
      <c r="H448" s="19">
        <f t="shared" si="148"/>
        <v>-1.5722891859052242E-4</v>
      </c>
      <c r="I448" s="1">
        <f t="shared" si="138"/>
        <v>0</v>
      </c>
      <c r="J448" s="1">
        <f t="shared" si="139"/>
        <v>0</v>
      </c>
      <c r="K448" s="19">
        <f t="shared" si="149"/>
        <v>6.9438639125151882E-3</v>
      </c>
      <c r="L448" s="19">
        <f t="shared" si="150"/>
        <v>4.344874848116647</v>
      </c>
      <c r="M448" s="19">
        <f t="shared" si="151"/>
        <v>1.4879708383961119E-4</v>
      </c>
      <c r="N448" s="19">
        <f t="shared" si="157"/>
        <v>1.8728799615228837E-2</v>
      </c>
      <c r="O448" s="19">
        <v>163.36000000000001</v>
      </c>
      <c r="P448" s="19">
        <f t="shared" si="152"/>
        <v>0.82210388821385172</v>
      </c>
      <c r="Q448" s="19">
        <f t="shared" si="153"/>
        <v>5.0591008505467799E-2</v>
      </c>
      <c r="R448" s="19">
        <f t="shared" si="154"/>
        <v>156.23693803159176</v>
      </c>
      <c r="S448" s="19">
        <f t="shared" si="155"/>
        <v>1.3226407452409883E-13</v>
      </c>
      <c r="T448" s="83">
        <f t="shared" si="156"/>
        <v>307.944527241039</v>
      </c>
    </row>
    <row r="449" spans="1:20">
      <c r="A449" t="s">
        <v>1400</v>
      </c>
      <c r="B449" s="9" t="s">
        <v>11</v>
      </c>
      <c r="C449">
        <v>195</v>
      </c>
      <c r="D449">
        <v>1.2</v>
      </c>
      <c r="E449">
        <v>0</v>
      </c>
      <c r="F449">
        <v>1</v>
      </c>
      <c r="G449" s="1">
        <f t="shared" si="136"/>
        <v>0</v>
      </c>
      <c r="H449" s="19">
        <f t="shared" si="148"/>
        <v>-2.9480422235722957E-5</v>
      </c>
      <c r="I449" s="1">
        <f t="shared" si="138"/>
        <v>0</v>
      </c>
      <c r="J449" s="1">
        <f t="shared" si="139"/>
        <v>0</v>
      </c>
      <c r="K449" s="19">
        <f t="shared" si="149"/>
        <v>1.3019744835965979E-3</v>
      </c>
      <c r="L449" s="19">
        <f t="shared" si="150"/>
        <v>0.81466403402187126</v>
      </c>
      <c r="M449" s="19">
        <f t="shared" si="151"/>
        <v>2.7899453219927095E-5</v>
      </c>
      <c r="N449" s="19">
        <f t="shared" si="157"/>
        <v>1.8728799615228837E-2</v>
      </c>
      <c r="O449" s="19">
        <v>164.36</v>
      </c>
      <c r="P449" s="19">
        <f t="shared" si="152"/>
        <v>0.1541444790400972</v>
      </c>
      <c r="Q449" s="19">
        <f t="shared" si="153"/>
        <v>9.4858140947752124E-3</v>
      </c>
      <c r="R449" s="19">
        <f t="shared" si="154"/>
        <v>29.294425880923452</v>
      </c>
      <c r="S449" s="19">
        <f t="shared" si="155"/>
        <v>2.4799513973268531E-14</v>
      </c>
      <c r="T449" s="83">
        <f t="shared" si="156"/>
        <v>88.504011797761009</v>
      </c>
    </row>
    <row r="450" spans="1:20">
      <c r="A450" t="s">
        <v>1401</v>
      </c>
      <c r="B450" s="9" t="s">
        <v>11</v>
      </c>
      <c r="C450">
        <v>576</v>
      </c>
      <c r="D450">
        <v>1.2</v>
      </c>
      <c r="E450">
        <v>0</v>
      </c>
      <c r="F450">
        <v>1</v>
      </c>
      <c r="G450" s="1">
        <f t="shared" si="136"/>
        <v>0</v>
      </c>
      <c r="H450" s="19">
        <f t="shared" si="148"/>
        <v>-8.7080631834750887E-5</v>
      </c>
      <c r="I450" s="1">
        <f t="shared" si="138"/>
        <v>0</v>
      </c>
      <c r="J450" s="1">
        <f t="shared" si="139"/>
        <v>0</v>
      </c>
      <c r="K450" s="19">
        <f t="shared" si="149"/>
        <v>3.8458323207776427E-3</v>
      </c>
      <c r="L450" s="19">
        <f t="shared" si="150"/>
        <v>2.4063922235722965</v>
      </c>
      <c r="M450" s="19">
        <f t="shared" si="151"/>
        <v>8.2410692588092338E-5</v>
      </c>
      <c r="N450" s="19">
        <f t="shared" si="157"/>
        <v>1.8728799615228837E-2</v>
      </c>
      <c r="O450" s="19">
        <v>165.36</v>
      </c>
      <c r="P450" s="19">
        <f t="shared" si="152"/>
        <v>0.45531907654921022</v>
      </c>
      <c r="Q450" s="19">
        <f t="shared" si="153"/>
        <v>2.8019635479951399E-2</v>
      </c>
      <c r="R450" s="19">
        <f t="shared" si="154"/>
        <v>86.531227217496962</v>
      </c>
      <c r="S450" s="19">
        <f t="shared" si="155"/>
        <v>7.3253948967193199E-14</v>
      </c>
      <c r="T450" s="83">
        <f t="shared" si="156"/>
        <v>187.78071757751115</v>
      </c>
    </row>
    <row r="451" spans="1:20">
      <c r="A451" t="s">
        <v>1402</v>
      </c>
      <c r="B451" s="9" t="s">
        <v>11</v>
      </c>
      <c r="C451">
        <v>963</v>
      </c>
      <c r="D451">
        <v>1.2</v>
      </c>
      <c r="E451">
        <v>0</v>
      </c>
      <c r="F451">
        <v>1</v>
      </c>
      <c r="G451" s="1">
        <f t="shared" si="136"/>
        <v>0</v>
      </c>
      <c r="H451" s="19">
        <f t="shared" si="148"/>
        <v>-1.4558793134872414E-4</v>
      </c>
      <c r="I451" s="1">
        <f t="shared" si="138"/>
        <v>0</v>
      </c>
      <c r="J451" s="1">
        <f t="shared" si="139"/>
        <v>0</v>
      </c>
      <c r="K451" s="19">
        <f t="shared" si="149"/>
        <v>6.4297509113001219E-3</v>
      </c>
      <c r="L451" s="19">
        <f t="shared" si="150"/>
        <v>4.0231869987849338</v>
      </c>
      <c r="M451" s="19">
        <f t="shared" si="151"/>
        <v>1.3778037667071689E-4</v>
      </c>
      <c r="N451" s="19">
        <f t="shared" si="157"/>
        <v>1.8728799615228837E-2</v>
      </c>
      <c r="O451" s="19">
        <v>166.36</v>
      </c>
      <c r="P451" s="19">
        <f t="shared" si="152"/>
        <v>0.7612365811057108</v>
      </c>
      <c r="Q451" s="19">
        <f t="shared" si="153"/>
        <v>4.6845328068043743E-2</v>
      </c>
      <c r="R451" s="19">
        <f t="shared" si="154"/>
        <v>144.66939550425275</v>
      </c>
      <c r="S451" s="19">
        <f t="shared" si="155"/>
        <v>1.2247144592952613E-13</v>
      </c>
      <c r="T451" s="83">
        <f t="shared" si="156"/>
        <v>288.61721399946219</v>
      </c>
    </row>
    <row r="452" spans="1:20">
      <c r="A452" t="s">
        <v>1403</v>
      </c>
      <c r="B452" s="9" t="s">
        <v>11</v>
      </c>
      <c r="C452">
        <v>980</v>
      </c>
      <c r="D452">
        <v>1.2</v>
      </c>
      <c r="E452">
        <v>0</v>
      </c>
      <c r="F452">
        <v>1</v>
      </c>
      <c r="G452" s="1">
        <f t="shared" si="136"/>
        <v>0</v>
      </c>
      <c r="H452" s="19">
        <f t="shared" si="148"/>
        <v>-1.4815801944106921E-4</v>
      </c>
      <c r="I452" s="1">
        <f t="shared" si="138"/>
        <v>0</v>
      </c>
      <c r="J452" s="1">
        <f t="shared" si="139"/>
        <v>0</v>
      </c>
      <c r="K452" s="19">
        <f t="shared" si="149"/>
        <v>6.5432563791008504E-3</v>
      </c>
      <c r="L452" s="19">
        <f t="shared" si="150"/>
        <v>4.0942089914945328</v>
      </c>
      <c r="M452" s="19">
        <f t="shared" si="151"/>
        <v>1.4021263669501823E-4</v>
      </c>
      <c r="N452" s="19">
        <f t="shared" si="157"/>
        <v>1.8728799615228837E-2</v>
      </c>
      <c r="O452" s="19">
        <v>167.36</v>
      </c>
      <c r="P452" s="19">
        <f t="shared" si="152"/>
        <v>0.77467481773997571</v>
      </c>
      <c r="Q452" s="19">
        <f t="shared" si="153"/>
        <v>4.7672296476306199E-2</v>
      </c>
      <c r="R452" s="19">
        <f t="shared" si="154"/>
        <v>147.22326852976914</v>
      </c>
      <c r="S452" s="19">
        <f t="shared" si="155"/>
        <v>1.2463345484001622E-13</v>
      </c>
      <c r="T452" s="83">
        <f t="shared" si="156"/>
        <v>293.266620819031</v>
      </c>
    </row>
    <row r="453" spans="1:20">
      <c r="A453" t="s">
        <v>1404</v>
      </c>
      <c r="B453" s="9" t="s">
        <v>11</v>
      </c>
      <c r="C453">
        <v>392</v>
      </c>
      <c r="D453">
        <v>1.2</v>
      </c>
      <c r="E453">
        <v>0</v>
      </c>
      <c r="F453">
        <v>1</v>
      </c>
      <c r="G453" s="1">
        <f t="shared" si="136"/>
        <v>0</v>
      </c>
      <c r="H453" s="19">
        <f t="shared" si="148"/>
        <v>-5.9263207776427687E-5</v>
      </c>
      <c r="I453" s="1">
        <f t="shared" si="138"/>
        <v>0</v>
      </c>
      <c r="J453" s="1">
        <f t="shared" si="139"/>
        <v>0</v>
      </c>
      <c r="K453" s="19">
        <f t="shared" si="149"/>
        <v>2.6173025516403403E-3</v>
      </c>
      <c r="L453" s="19">
        <f t="shared" si="150"/>
        <v>1.6376835965978129</v>
      </c>
      <c r="M453" s="19">
        <f t="shared" si="151"/>
        <v>5.6085054678007289E-5</v>
      </c>
      <c r="N453" s="19">
        <f t="shared" si="157"/>
        <v>1.8728799615228837E-2</v>
      </c>
      <c r="O453" s="19">
        <v>168.36</v>
      </c>
      <c r="P453" s="19">
        <f t="shared" si="152"/>
        <v>0.30986992709599026</v>
      </c>
      <c r="Q453" s="19">
        <f t="shared" si="153"/>
        <v>1.9068918590522479E-2</v>
      </c>
      <c r="R453" s="19">
        <f t="shared" si="154"/>
        <v>58.889307411907659</v>
      </c>
      <c r="S453" s="19">
        <f t="shared" si="155"/>
        <v>4.9853381936006487E-14</v>
      </c>
      <c r="T453" s="83">
        <f t="shared" si="156"/>
        <v>140.6371378833536</v>
      </c>
    </row>
    <row r="454" spans="1:20">
      <c r="A454" t="s">
        <v>1405</v>
      </c>
      <c r="B454" s="9" t="s">
        <v>11</v>
      </c>
      <c r="C454">
        <v>264</v>
      </c>
      <c r="D454">
        <v>1.2</v>
      </c>
      <c r="E454">
        <v>0</v>
      </c>
      <c r="F454">
        <v>1</v>
      </c>
      <c r="G454" s="1">
        <f t="shared" si="136"/>
        <v>0</v>
      </c>
      <c r="H454" s="19">
        <f t="shared" si="148"/>
        <v>-3.9911956257594157E-5</v>
      </c>
      <c r="I454" s="1">
        <f t="shared" si="138"/>
        <v>0</v>
      </c>
      <c r="J454" s="1">
        <f t="shared" si="139"/>
        <v>0</v>
      </c>
      <c r="K454" s="19">
        <f t="shared" si="149"/>
        <v>1.7626731470230864E-3</v>
      </c>
      <c r="L454" s="19">
        <f t="shared" si="150"/>
        <v>1.1029297691373026</v>
      </c>
      <c r="M454" s="19">
        <f t="shared" si="151"/>
        <v>3.777156743620899E-5</v>
      </c>
      <c r="N454" s="19">
        <f t="shared" si="157"/>
        <v>1.8728799615228837E-2</v>
      </c>
      <c r="O454" s="19">
        <v>169.36</v>
      </c>
      <c r="P454" s="19">
        <f t="shared" si="152"/>
        <v>0.20868791008505466</v>
      </c>
      <c r="Q454" s="19">
        <f t="shared" si="153"/>
        <v>1.2842332928311058E-2</v>
      </c>
      <c r="R454" s="19">
        <f t="shared" si="154"/>
        <v>39.660145808019443</v>
      </c>
      <c r="S454" s="19">
        <f t="shared" si="155"/>
        <v>3.357472660996355E-14</v>
      </c>
      <c r="T454" s="83">
        <f t="shared" si="156"/>
        <v>107.5916041830701</v>
      </c>
    </row>
    <row r="455" spans="1:20">
      <c r="A455" t="s">
        <v>1406</v>
      </c>
      <c r="B455" s="9" t="s">
        <v>11</v>
      </c>
      <c r="C455">
        <v>24.4</v>
      </c>
      <c r="D455">
        <v>1.2</v>
      </c>
      <c r="E455">
        <v>0</v>
      </c>
      <c r="F455">
        <v>1</v>
      </c>
      <c r="G455" s="1">
        <f t="shared" si="136"/>
        <v>0</v>
      </c>
      <c r="H455" s="19">
        <f t="shared" si="148"/>
        <v>-3.6888323207776415E-6</v>
      </c>
      <c r="I455" s="1">
        <f t="shared" si="138"/>
        <v>0</v>
      </c>
      <c r="J455" s="1">
        <f t="shared" si="139"/>
        <v>0</v>
      </c>
      <c r="K455" s="19">
        <f t="shared" si="149"/>
        <v>1.6291373025516403E-4</v>
      </c>
      <c r="L455" s="19">
        <f t="shared" si="150"/>
        <v>0.10193744835965979</v>
      </c>
      <c r="M455" s="19">
        <f t="shared" si="151"/>
        <v>3.4910085054678006E-6</v>
      </c>
      <c r="N455" s="19">
        <f t="shared" si="157"/>
        <v>1.8728799615228837E-2</v>
      </c>
      <c r="O455" s="19">
        <v>170.36</v>
      </c>
      <c r="P455" s="19">
        <f t="shared" si="152"/>
        <v>1.9287821992709599E-2</v>
      </c>
      <c r="Q455" s="19">
        <f t="shared" si="153"/>
        <v>1.1869428918590522E-3</v>
      </c>
      <c r="R455" s="19">
        <f t="shared" si="154"/>
        <v>3.6655589307411907</v>
      </c>
      <c r="S455" s="19">
        <f t="shared" si="155"/>
        <v>3.1031186715269338E-15</v>
      </c>
      <c r="T455" s="83">
        <f t="shared" si="156"/>
        <v>45.533964537851865</v>
      </c>
    </row>
    <row r="456" spans="1:20">
      <c r="A456" t="s">
        <v>1407</v>
      </c>
      <c r="B456" s="9" t="s">
        <v>11</v>
      </c>
      <c r="C456">
        <v>831</v>
      </c>
      <c r="D456">
        <v>1.2</v>
      </c>
      <c r="E456">
        <v>0</v>
      </c>
      <c r="F456">
        <v>1</v>
      </c>
      <c r="G456" s="1">
        <f t="shared" si="136"/>
        <v>0</v>
      </c>
      <c r="H456" s="19">
        <f t="shared" si="148"/>
        <v>-1.2563195321992705E-4</v>
      </c>
      <c r="I456" s="1">
        <f t="shared" si="138"/>
        <v>0</v>
      </c>
      <c r="J456" s="1">
        <f t="shared" si="139"/>
        <v>0</v>
      </c>
      <c r="K456" s="19">
        <f t="shared" si="149"/>
        <v>5.5484143377885781E-3</v>
      </c>
      <c r="L456" s="19">
        <f t="shared" si="150"/>
        <v>3.471722114216282</v>
      </c>
      <c r="M456" s="19">
        <f t="shared" si="151"/>
        <v>1.1889459295261239E-4</v>
      </c>
      <c r="N456" s="19">
        <f t="shared" si="157"/>
        <v>1.8728799615228837E-2</v>
      </c>
      <c r="O456" s="19">
        <v>171.36</v>
      </c>
      <c r="P456" s="19">
        <f t="shared" si="152"/>
        <v>0.65689262606318344</v>
      </c>
      <c r="Q456" s="19">
        <f t="shared" si="153"/>
        <v>4.0424161603888217E-2</v>
      </c>
      <c r="R456" s="19">
        <f t="shared" si="154"/>
        <v>124.83932260024302</v>
      </c>
      <c r="S456" s="19">
        <f t="shared" si="155"/>
        <v>1.0568408262454435E-13</v>
      </c>
      <c r="T456" s="83">
        <f t="shared" si="156"/>
        <v>255.45181987104473</v>
      </c>
    </row>
    <row r="457" spans="1:20">
      <c r="A457" t="s">
        <v>1408</v>
      </c>
      <c r="B457" s="9" t="s">
        <v>11</v>
      </c>
      <c r="C457">
        <v>484</v>
      </c>
      <c r="D457">
        <v>1.2</v>
      </c>
      <c r="E457">
        <v>0</v>
      </c>
      <c r="F457">
        <v>1</v>
      </c>
      <c r="G457" s="1">
        <f t="shared" si="136"/>
        <v>0</v>
      </c>
      <c r="H457" s="19">
        <f t="shared" si="148"/>
        <v>-7.3171919805589287E-5</v>
      </c>
      <c r="I457" s="1">
        <f t="shared" si="138"/>
        <v>0</v>
      </c>
      <c r="J457" s="1">
        <f t="shared" si="139"/>
        <v>0</v>
      </c>
      <c r="K457" s="19">
        <f t="shared" si="149"/>
        <v>3.2315674362089915E-3</v>
      </c>
      <c r="L457" s="19">
        <f t="shared" si="150"/>
        <v>2.022037910085055</v>
      </c>
      <c r="M457" s="19">
        <f t="shared" si="151"/>
        <v>6.9247873633049824E-5</v>
      </c>
      <c r="N457" s="19">
        <f t="shared" si="157"/>
        <v>1.8728799615228837E-2</v>
      </c>
      <c r="O457" s="19">
        <v>172.36</v>
      </c>
      <c r="P457" s="19">
        <f t="shared" si="152"/>
        <v>0.38259450182260024</v>
      </c>
      <c r="Q457" s="19">
        <f t="shared" si="153"/>
        <v>2.3544277035236937E-2</v>
      </c>
      <c r="R457" s="19">
        <f t="shared" si="154"/>
        <v>72.710267314702321</v>
      </c>
      <c r="S457" s="19">
        <f t="shared" si="155"/>
        <v>6.1553665451599837E-14</v>
      </c>
      <c r="T457" s="83">
        <f t="shared" si="156"/>
        <v>165.47392773043239</v>
      </c>
    </row>
    <row r="458" spans="1:20">
      <c r="A458" t="s">
        <v>1409</v>
      </c>
      <c r="B458" s="9" t="s">
        <v>11</v>
      </c>
      <c r="C458">
        <v>277</v>
      </c>
      <c r="D458">
        <v>1.2</v>
      </c>
      <c r="E458">
        <v>0</v>
      </c>
      <c r="F458">
        <v>1</v>
      </c>
      <c r="G458" s="1">
        <f t="shared" si="136"/>
        <v>0</v>
      </c>
      <c r="H458" s="19">
        <f t="shared" si="148"/>
        <v>-4.1877317739975687E-5</v>
      </c>
      <c r="I458" s="1">
        <f t="shared" si="138"/>
        <v>0</v>
      </c>
      <c r="J458" s="1">
        <f t="shared" si="139"/>
        <v>0</v>
      </c>
      <c r="K458" s="19">
        <f t="shared" si="149"/>
        <v>1.849471445929526E-3</v>
      </c>
      <c r="L458" s="19">
        <f t="shared" si="150"/>
        <v>1.1572407047387607</v>
      </c>
      <c r="M458" s="19">
        <f t="shared" si="151"/>
        <v>3.963153098420413E-5</v>
      </c>
      <c r="N458" s="19">
        <f t="shared" si="157"/>
        <v>1.8728799615228837E-2</v>
      </c>
      <c r="O458" s="19">
        <v>173.36</v>
      </c>
      <c r="P458" s="19">
        <f t="shared" si="152"/>
        <v>0.21896420868772781</v>
      </c>
      <c r="Q458" s="19">
        <f t="shared" si="153"/>
        <v>1.3474720534629404E-2</v>
      </c>
      <c r="R458" s="19">
        <f t="shared" si="154"/>
        <v>41.613107533414343</v>
      </c>
      <c r="S458" s="19">
        <f t="shared" si="155"/>
        <v>3.5228027541514787E-14</v>
      </c>
      <c r="T458" s="83">
        <f t="shared" si="156"/>
        <v>111.89115057450513</v>
      </c>
    </row>
    <row r="459" spans="1:20">
      <c r="A459" t="s">
        <v>1410</v>
      </c>
      <c r="B459" s="9" t="s">
        <v>11</v>
      </c>
      <c r="C459">
        <v>8.1300000000000008</v>
      </c>
      <c r="D459">
        <v>1.2</v>
      </c>
      <c r="E459">
        <v>0</v>
      </c>
      <c r="F459">
        <v>1</v>
      </c>
      <c r="G459" s="1">
        <f t="shared" si="136"/>
        <v>0</v>
      </c>
      <c r="H459" s="19">
        <f t="shared" si="148"/>
        <v>-1.229106834750911E-6</v>
      </c>
      <c r="I459" s="1">
        <f t="shared" si="138"/>
        <v>0</v>
      </c>
      <c r="J459" s="1">
        <f t="shared" si="139"/>
        <v>0</v>
      </c>
      <c r="K459" s="19">
        <f t="shared" si="149"/>
        <v>5.4282320777642777E-5</v>
      </c>
      <c r="L459" s="19">
        <f t="shared" si="150"/>
        <v>3.3965223572296484E-2</v>
      </c>
      <c r="M459" s="19">
        <f t="shared" si="151"/>
        <v>1.1631925880923452E-6</v>
      </c>
      <c r="N459" s="19">
        <f t="shared" si="157"/>
        <v>1.8728799615228837E-2</v>
      </c>
      <c r="O459" s="19">
        <v>174.36</v>
      </c>
      <c r="P459" s="19">
        <f t="shared" si="152"/>
        <v>6.4266390492102067E-3</v>
      </c>
      <c r="Q459" s="19">
        <f t="shared" si="153"/>
        <v>3.9548547995139736E-4</v>
      </c>
      <c r="R459" s="19">
        <f t="shared" si="154"/>
        <v>1.2213522174969627</v>
      </c>
      <c r="S459" s="19">
        <f t="shared" si="155"/>
        <v>1.0339489671931958E-15</v>
      </c>
      <c r="T459" s="83">
        <f t="shared" si="156"/>
        <v>42.22433224641739</v>
      </c>
    </row>
    <row r="460" spans="1:20">
      <c r="A460" t="s">
        <v>1411</v>
      </c>
      <c r="B460" s="9" t="s">
        <v>11</v>
      </c>
      <c r="C460">
        <v>1.6</v>
      </c>
      <c r="D460">
        <v>1.2</v>
      </c>
      <c r="E460">
        <v>0</v>
      </c>
      <c r="F460">
        <v>1</v>
      </c>
      <c r="G460" s="1">
        <f t="shared" si="136"/>
        <v>0</v>
      </c>
      <c r="H460" s="19">
        <f t="shared" si="148"/>
        <v>-2.4189064398541913E-7</v>
      </c>
      <c r="I460" s="1">
        <f t="shared" si="138"/>
        <v>0</v>
      </c>
      <c r="J460" s="1">
        <f t="shared" si="139"/>
        <v>0</v>
      </c>
      <c r="K460" s="19">
        <f t="shared" si="149"/>
        <v>1.0682867557715675E-5</v>
      </c>
      <c r="L460" s="19">
        <f t="shared" si="150"/>
        <v>6.6844228432563803E-3</v>
      </c>
      <c r="M460" s="19">
        <f t="shared" si="151"/>
        <v>2.2891859052247876E-7</v>
      </c>
      <c r="N460" s="19">
        <f t="shared" si="157"/>
        <v>1.8728799615228837E-2</v>
      </c>
      <c r="O460" s="19">
        <v>175.36</v>
      </c>
      <c r="P460" s="19">
        <f t="shared" si="152"/>
        <v>1.264775212636695E-3</v>
      </c>
      <c r="Q460" s="19">
        <f t="shared" si="153"/>
        <v>7.783232077764278E-5</v>
      </c>
      <c r="R460" s="19">
        <f t="shared" si="154"/>
        <v>0.2403645200486027</v>
      </c>
      <c r="S460" s="19">
        <f t="shared" si="155"/>
        <v>2.0348319157553669E-16</v>
      </c>
      <c r="T460" s="83">
        <f t="shared" si="156"/>
        <v>40.756760097488865</v>
      </c>
    </row>
    <row r="461" spans="1:20">
      <c r="A461" t="s">
        <v>1412</v>
      </c>
      <c r="B461" s="9" t="s">
        <v>11</v>
      </c>
      <c r="C461">
        <v>12.5</v>
      </c>
      <c r="D461">
        <v>1.2</v>
      </c>
      <c r="E461">
        <v>0</v>
      </c>
      <c r="F461">
        <v>1</v>
      </c>
      <c r="G461" s="1">
        <f t="shared" si="136"/>
        <v>0</v>
      </c>
      <c r="H461" s="19">
        <f t="shared" si="148"/>
        <v>-1.8897706561360868E-6</v>
      </c>
      <c r="I461" s="1">
        <f t="shared" si="138"/>
        <v>0</v>
      </c>
      <c r="J461" s="1">
        <f t="shared" si="139"/>
        <v>0</v>
      </c>
      <c r="K461" s="19">
        <f t="shared" si="149"/>
        <v>8.3459902794653706E-5</v>
      </c>
      <c r="L461" s="19">
        <f t="shared" si="150"/>
        <v>5.2222053462940468E-2</v>
      </c>
      <c r="M461" s="19">
        <f t="shared" si="151"/>
        <v>1.7884264884568651E-6</v>
      </c>
      <c r="N461" s="19">
        <f t="shared" si="157"/>
        <v>1.8728799615228837E-2</v>
      </c>
      <c r="O461" s="19">
        <v>176.36</v>
      </c>
      <c r="P461" s="19">
        <f t="shared" si="152"/>
        <v>9.8810563487241789E-3</v>
      </c>
      <c r="Q461" s="19">
        <f t="shared" si="153"/>
        <v>6.0806500607533411E-4</v>
      </c>
      <c r="R461" s="19">
        <f t="shared" si="154"/>
        <v>1.8778478128797085</v>
      </c>
      <c r="S461" s="19">
        <f t="shared" si="155"/>
        <v>1.5897124341838803E-15</v>
      </c>
      <c r="T461" s="83">
        <f t="shared" si="156"/>
        <v>43.820379764153628</v>
      </c>
    </row>
    <row r="462" spans="1:20">
      <c r="A462" s="9" t="s">
        <v>1413</v>
      </c>
      <c r="B462" s="9" t="s">
        <v>11</v>
      </c>
      <c r="C462">
        <v>4.9000000000000002E-2</v>
      </c>
      <c r="D462">
        <v>1.2</v>
      </c>
      <c r="E462">
        <v>0</v>
      </c>
      <c r="F462">
        <v>1</v>
      </c>
      <c r="G462" s="1">
        <f t="shared" si="136"/>
        <v>0</v>
      </c>
      <c r="H462" s="19">
        <f t="shared" ref="H462:H493" si="158">CO2_YLL_charfact*C462</f>
        <v>-7.4079009720534606E-9</v>
      </c>
      <c r="I462" s="1">
        <f t="shared" si="138"/>
        <v>0</v>
      </c>
      <c r="J462" s="1">
        <f t="shared" si="139"/>
        <v>0</v>
      </c>
      <c r="K462" s="19">
        <f t="shared" ref="K462:K493" si="159">CO2_severewasting_charfact*C462</f>
        <v>3.2716281895504254E-7</v>
      </c>
      <c r="L462" s="19">
        <f t="shared" ref="L462:L493" si="160">CO2_workingcapacity_charfact*C462</f>
        <v>2.0471044957472663E-4</v>
      </c>
      <c r="M462" s="19">
        <f t="shared" ref="M462:M493" si="161">CO2_diarrhea_charfact*C462</f>
        <v>7.0106318347509113E-9</v>
      </c>
      <c r="N462" s="19">
        <f t="shared" si="157"/>
        <v>1.8728799615228837E-2</v>
      </c>
      <c r="O462" s="19">
        <v>177.36</v>
      </c>
      <c r="P462" s="19">
        <f t="shared" ref="P462:P493" si="162">CO2_meat_charfact*C462</f>
        <v>3.8733740886998788E-5</v>
      </c>
      <c r="Q462" s="19">
        <f t="shared" ref="Q462:Q493" si="163">CO2_fish_charfact*C462</f>
        <v>2.3836148238153099E-6</v>
      </c>
      <c r="R462" s="19">
        <f t="shared" ref="R462:R493" si="164">CO2_drinkingwater_charfact*C462</f>
        <v>7.3611634264884578E-3</v>
      </c>
      <c r="S462" s="19">
        <f t="shared" ref="S462:S493" si="165">CO2_NEX_charfact*C462</f>
        <v>6.2316727420008105E-18</v>
      </c>
      <c r="T462" s="83">
        <f t="shared" ref="T462:T493" si="166">(G462+H462)*YLLvalue+I462*skincancervalue+J462*Lowvisionvalue+K462*severe_wasting_value+L462*working_capacity+M462*diarrhea_value+N462*cropvalue+O462*woodvalue+P462*meatvalue+Q462*fishvalue+R462*drinkingwatervalue+S462*speciesvalue</f>
        <v>40.813554216479965</v>
      </c>
    </row>
    <row r="463" spans="1:20" ht="14">
      <c r="A463" s="10" t="s">
        <v>1414</v>
      </c>
      <c r="B463" s="9" t="s">
        <v>11</v>
      </c>
      <c r="C463">
        <v>13.6</v>
      </c>
      <c r="D463">
        <v>1.2</v>
      </c>
      <c r="E463">
        <v>0</v>
      </c>
      <c r="F463">
        <v>1</v>
      </c>
      <c r="G463" s="1">
        <f t="shared" si="136"/>
        <v>0</v>
      </c>
      <c r="H463" s="19">
        <f t="shared" si="158"/>
        <v>-2.0560704738760625E-6</v>
      </c>
      <c r="I463" s="1">
        <f t="shared" si="138"/>
        <v>0</v>
      </c>
      <c r="J463" s="1">
        <f t="shared" si="139"/>
        <v>0</v>
      </c>
      <c r="K463" s="19">
        <f t="shared" si="159"/>
        <v>9.0804374240583232E-5</v>
      </c>
      <c r="L463" s="19">
        <f t="shared" si="160"/>
        <v>5.6817594167679224E-2</v>
      </c>
      <c r="M463" s="19">
        <f t="shared" si="161"/>
        <v>1.9458080194410692E-6</v>
      </c>
      <c r="N463" s="19">
        <f t="shared" si="157"/>
        <v>1.8728799615228837E-2</v>
      </c>
      <c r="O463" s="19">
        <v>178.36</v>
      </c>
      <c r="P463" s="19">
        <f t="shared" si="162"/>
        <v>1.0750589307411906E-2</v>
      </c>
      <c r="Q463" s="19">
        <f t="shared" si="163"/>
        <v>6.6157472660996355E-4</v>
      </c>
      <c r="R463" s="19">
        <f t="shared" si="164"/>
        <v>2.0430984204131226</v>
      </c>
      <c r="S463" s="19">
        <f t="shared" si="165"/>
        <v>1.7296071283920617E-15</v>
      </c>
      <c r="T463" s="83">
        <f t="shared" si="166"/>
        <v>44.566341381890439</v>
      </c>
    </row>
    <row r="464" spans="1:20">
      <c r="A464" s="9" t="s">
        <v>1415</v>
      </c>
      <c r="B464" s="9" t="s">
        <v>11</v>
      </c>
      <c r="C464">
        <v>3220</v>
      </c>
      <c r="D464">
        <v>1.2</v>
      </c>
      <c r="E464">
        <v>0</v>
      </c>
      <c r="F464">
        <v>1</v>
      </c>
      <c r="G464" s="1">
        <f t="shared" si="136"/>
        <v>0</v>
      </c>
      <c r="H464" s="19">
        <f t="shared" si="158"/>
        <v>-4.8680492102065598E-4</v>
      </c>
      <c r="I464" s="1">
        <f t="shared" si="138"/>
        <v>0</v>
      </c>
      <c r="J464" s="1">
        <f t="shared" si="139"/>
        <v>0</v>
      </c>
      <c r="K464" s="19">
        <f t="shared" si="159"/>
        <v>2.1499270959902794E-2</v>
      </c>
      <c r="L464" s="19">
        <f t="shared" si="160"/>
        <v>13.452400972053464</v>
      </c>
      <c r="M464" s="19">
        <f t="shared" si="161"/>
        <v>4.6069866342648844E-4</v>
      </c>
      <c r="N464" s="19">
        <f t="shared" si="157"/>
        <v>1.8728799615228837E-2</v>
      </c>
      <c r="O464" s="19">
        <v>179.36</v>
      </c>
      <c r="P464" s="19">
        <f t="shared" si="162"/>
        <v>2.5453601154313485</v>
      </c>
      <c r="Q464" s="19">
        <f t="shared" si="163"/>
        <v>0.15663754556500609</v>
      </c>
      <c r="R464" s="19">
        <f t="shared" si="164"/>
        <v>483.73359659781289</v>
      </c>
      <c r="S464" s="19">
        <f t="shared" si="165"/>
        <v>4.0950992304576752E-13</v>
      </c>
      <c r="T464" s="83">
        <f t="shared" si="166"/>
        <v>878.34846057399261</v>
      </c>
    </row>
    <row r="465" spans="1:20">
      <c r="A465" t="s">
        <v>1416</v>
      </c>
      <c r="B465" s="9" t="s">
        <v>11</v>
      </c>
      <c r="C465">
        <v>460</v>
      </c>
      <c r="D465">
        <v>1.2</v>
      </c>
      <c r="E465">
        <v>0</v>
      </c>
      <c r="F465">
        <v>1</v>
      </c>
      <c r="G465" s="1">
        <f t="shared" ref="G465:G514" si="167">E465*0.000179</f>
        <v>0</v>
      </c>
      <c r="H465" s="19">
        <f t="shared" si="158"/>
        <v>-6.9543560145808001E-5</v>
      </c>
      <c r="I465" s="1">
        <f t="shared" ref="I465:I514" si="168">E465*0.00000133</f>
        <v>0</v>
      </c>
      <c r="J465" s="1">
        <f t="shared" ref="J465:J514" si="169">E465*0.000266</f>
        <v>0</v>
      </c>
      <c r="K465" s="19">
        <f t="shared" si="159"/>
        <v>3.0713244228432563E-3</v>
      </c>
      <c r="L465" s="19">
        <f t="shared" si="160"/>
        <v>1.921771567436209</v>
      </c>
      <c r="M465" s="19">
        <f t="shared" si="161"/>
        <v>6.5814094775212638E-5</v>
      </c>
      <c r="N465" s="19">
        <f t="shared" si="157"/>
        <v>1.8728799615228837E-2</v>
      </c>
      <c r="O465" s="19">
        <v>180.36</v>
      </c>
      <c r="P465" s="19">
        <f t="shared" si="162"/>
        <v>0.36362287363304979</v>
      </c>
      <c r="Q465" s="19">
        <f t="shared" si="163"/>
        <v>2.2376792223572296E-2</v>
      </c>
      <c r="R465" s="19">
        <f t="shared" si="164"/>
        <v>69.104799513973276</v>
      </c>
      <c r="S465" s="19">
        <f t="shared" si="165"/>
        <v>5.8501417577966787E-14</v>
      </c>
      <c r="T465" s="83">
        <f t="shared" si="166"/>
        <v>161.07476516162922</v>
      </c>
    </row>
    <row r="466" spans="1:20">
      <c r="A466" t="s">
        <v>1417</v>
      </c>
      <c r="B466" s="9" t="s">
        <v>11</v>
      </c>
      <c r="C466">
        <v>544</v>
      </c>
      <c r="D466">
        <v>1.2</v>
      </c>
      <c r="E466">
        <v>0</v>
      </c>
      <c r="F466">
        <v>1</v>
      </c>
      <c r="G466" s="1">
        <f t="shared" si="167"/>
        <v>0</v>
      </c>
      <c r="H466" s="19">
        <f t="shared" si="158"/>
        <v>-8.2242818955042496E-5</v>
      </c>
      <c r="I466" s="1">
        <f t="shared" si="168"/>
        <v>0</v>
      </c>
      <c r="J466" s="1">
        <f t="shared" si="169"/>
        <v>0</v>
      </c>
      <c r="K466" s="19">
        <f t="shared" si="159"/>
        <v>3.6321749696233293E-3</v>
      </c>
      <c r="L466" s="19">
        <f t="shared" si="160"/>
        <v>2.2727037667071692</v>
      </c>
      <c r="M466" s="19">
        <f t="shared" si="161"/>
        <v>7.7832320777642766E-5</v>
      </c>
      <c r="N466" s="19">
        <f t="shared" si="157"/>
        <v>1.8728799615228837E-2</v>
      </c>
      <c r="O466" s="19">
        <v>181.36</v>
      </c>
      <c r="P466" s="19">
        <f t="shared" si="162"/>
        <v>0.43002357229647631</v>
      </c>
      <c r="Q466" s="19">
        <f t="shared" si="163"/>
        <v>2.6462989064398541E-2</v>
      </c>
      <c r="R466" s="19">
        <f t="shared" si="164"/>
        <v>81.723936816524912</v>
      </c>
      <c r="S466" s="19">
        <f t="shared" si="165"/>
        <v>6.9184285135682466E-14</v>
      </c>
      <c r="T466" s="83">
        <f t="shared" si="166"/>
        <v>183.14183415244031</v>
      </c>
    </row>
    <row r="467" spans="1:20">
      <c r="A467" t="s">
        <v>1418</v>
      </c>
      <c r="B467" s="9" t="s">
        <v>11</v>
      </c>
      <c r="C467">
        <v>437</v>
      </c>
      <c r="D467">
        <v>1.2</v>
      </c>
      <c r="E467">
        <v>0</v>
      </c>
      <c r="F467">
        <v>1</v>
      </c>
      <c r="G467" s="1">
        <f t="shared" si="167"/>
        <v>0</v>
      </c>
      <c r="H467" s="19">
        <f t="shared" si="158"/>
        <v>-6.6066382138517594E-5</v>
      </c>
      <c r="I467" s="1">
        <f t="shared" si="168"/>
        <v>0</v>
      </c>
      <c r="J467" s="1">
        <f t="shared" si="169"/>
        <v>0</v>
      </c>
      <c r="K467" s="19">
        <f t="shared" si="159"/>
        <v>2.9177582017010937E-3</v>
      </c>
      <c r="L467" s="19">
        <f t="shared" si="160"/>
        <v>1.8256829890643986</v>
      </c>
      <c r="M467" s="19">
        <f t="shared" si="161"/>
        <v>6.2523390036452E-5</v>
      </c>
      <c r="N467" s="19">
        <f t="shared" si="157"/>
        <v>1.8728799615228837E-2</v>
      </c>
      <c r="O467" s="19">
        <v>182.36</v>
      </c>
      <c r="P467" s="19">
        <f t="shared" si="162"/>
        <v>0.34544172995139732</v>
      </c>
      <c r="Q467" s="19">
        <f t="shared" si="163"/>
        <v>2.1257952612393681E-2</v>
      </c>
      <c r="R467" s="19">
        <f t="shared" si="164"/>
        <v>65.649559538274616</v>
      </c>
      <c r="S467" s="19">
        <f t="shared" si="165"/>
        <v>5.557634669906845E-14</v>
      </c>
      <c r="T467" s="83">
        <f t="shared" si="166"/>
        <v>155.55556769985952</v>
      </c>
    </row>
    <row r="468" spans="1:20">
      <c r="A468" t="s">
        <v>1419</v>
      </c>
      <c r="B468" s="9" t="s">
        <v>11</v>
      </c>
      <c r="C468">
        <v>60.7</v>
      </c>
      <c r="D468">
        <v>1.2</v>
      </c>
      <c r="E468">
        <v>0</v>
      </c>
      <c r="F468">
        <v>1</v>
      </c>
      <c r="G468" s="1">
        <f t="shared" si="167"/>
        <v>0</v>
      </c>
      <c r="H468" s="19">
        <f t="shared" si="158"/>
        <v>-9.1767263061968378E-6</v>
      </c>
      <c r="I468" s="1">
        <f t="shared" si="168"/>
        <v>0</v>
      </c>
      <c r="J468" s="1">
        <f t="shared" si="169"/>
        <v>0</v>
      </c>
      <c r="K468" s="19">
        <f t="shared" si="159"/>
        <v>4.0528128797083843E-4</v>
      </c>
      <c r="L468" s="19">
        <f t="shared" si="160"/>
        <v>0.25359029161603891</v>
      </c>
      <c r="M468" s="19">
        <f t="shared" si="161"/>
        <v>8.6845990279465379E-6</v>
      </c>
      <c r="N468" s="19">
        <f t="shared" si="157"/>
        <v>1.8728799615228837E-2</v>
      </c>
      <c r="O468" s="19">
        <v>183.36</v>
      </c>
      <c r="P468" s="19">
        <f t="shared" si="162"/>
        <v>4.7982409629404615E-2</v>
      </c>
      <c r="Q468" s="19">
        <f t="shared" si="163"/>
        <v>2.9527636695018226E-3</v>
      </c>
      <c r="R468" s="19">
        <f t="shared" si="164"/>
        <v>9.1188289793438653</v>
      </c>
      <c r="S468" s="19">
        <f t="shared" si="165"/>
        <v>7.719643580396922E-15</v>
      </c>
      <c r="T468" s="83">
        <f t="shared" si="166"/>
        <v>57.960697923166649</v>
      </c>
    </row>
    <row r="469" spans="1:20">
      <c r="A469" t="s">
        <v>1420</v>
      </c>
      <c r="B469" s="9" t="s">
        <v>11</v>
      </c>
      <c r="C469">
        <v>34.299999999999997</v>
      </c>
      <c r="D469">
        <v>1.2</v>
      </c>
      <c r="E469">
        <v>0</v>
      </c>
      <c r="F469">
        <v>1</v>
      </c>
      <c r="G469" s="1">
        <f t="shared" si="167"/>
        <v>0</v>
      </c>
      <c r="H469" s="19">
        <f t="shared" si="158"/>
        <v>-5.1855306804374223E-6</v>
      </c>
      <c r="I469" s="1">
        <f t="shared" si="168"/>
        <v>0</v>
      </c>
      <c r="J469" s="1">
        <f t="shared" si="169"/>
        <v>0</v>
      </c>
      <c r="K469" s="19">
        <f t="shared" si="159"/>
        <v>2.2901397326852976E-4</v>
      </c>
      <c r="L469" s="19">
        <f t="shared" si="160"/>
        <v>0.14329731470230864</v>
      </c>
      <c r="M469" s="19">
        <f t="shared" si="161"/>
        <v>4.9074422843256379E-6</v>
      </c>
      <c r="N469" s="19">
        <f t="shared" si="157"/>
        <v>1.8728799615228837E-2</v>
      </c>
      <c r="O469" s="19">
        <v>184.36</v>
      </c>
      <c r="P469" s="19">
        <f t="shared" si="162"/>
        <v>2.7113618620899147E-2</v>
      </c>
      <c r="Q469" s="19">
        <f t="shared" si="163"/>
        <v>1.6685303766707169E-3</v>
      </c>
      <c r="R469" s="19">
        <f t="shared" si="164"/>
        <v>5.1528143985419197</v>
      </c>
      <c r="S469" s="19">
        <f t="shared" si="165"/>
        <v>4.362170919400567E-15</v>
      </c>
      <c r="T469" s="83">
        <f t="shared" si="166"/>
        <v>51.327619097483172</v>
      </c>
    </row>
    <row r="470" spans="1:20">
      <c r="A470" t="s">
        <v>1421</v>
      </c>
      <c r="B470" s="9" t="s">
        <v>11</v>
      </c>
      <c r="C470">
        <v>405</v>
      </c>
      <c r="D470">
        <v>1.2</v>
      </c>
      <c r="E470">
        <v>0</v>
      </c>
      <c r="F470">
        <v>1</v>
      </c>
      <c r="G470" s="1">
        <f t="shared" si="167"/>
        <v>0</v>
      </c>
      <c r="H470" s="19">
        <f t="shared" si="158"/>
        <v>-6.1228569258809217E-5</v>
      </c>
      <c r="I470" s="1">
        <f t="shared" si="168"/>
        <v>0</v>
      </c>
      <c r="J470" s="1">
        <f t="shared" si="169"/>
        <v>0</v>
      </c>
      <c r="K470" s="19">
        <f t="shared" si="159"/>
        <v>2.7041008505467802E-3</v>
      </c>
      <c r="L470" s="19">
        <f t="shared" si="160"/>
        <v>1.6919945321992711</v>
      </c>
      <c r="M470" s="19">
        <f t="shared" si="161"/>
        <v>5.7945018226002428E-5</v>
      </c>
      <c r="N470" s="19">
        <f t="shared" si="157"/>
        <v>1.8728799615228837E-2</v>
      </c>
      <c r="O470" s="19">
        <v>185.36</v>
      </c>
      <c r="P470" s="19">
        <f t="shared" si="162"/>
        <v>0.32014622569866341</v>
      </c>
      <c r="Q470" s="19">
        <f t="shared" si="163"/>
        <v>1.9701306196840827E-2</v>
      </c>
      <c r="R470" s="19">
        <f t="shared" si="164"/>
        <v>60.842269137302559</v>
      </c>
      <c r="S470" s="19">
        <f t="shared" si="165"/>
        <v>5.1506682867557717E-14</v>
      </c>
      <c r="T470" s="83">
        <f t="shared" si="166"/>
        <v>147.92668427478864</v>
      </c>
    </row>
    <row r="471" spans="1:20">
      <c r="A471" t="s">
        <v>1422</v>
      </c>
      <c r="B471" s="9" t="s">
        <v>11</v>
      </c>
      <c r="C471">
        <v>13</v>
      </c>
      <c r="D471">
        <v>1.2</v>
      </c>
      <c r="E471">
        <v>0</v>
      </c>
      <c r="F471">
        <v>1</v>
      </c>
      <c r="G471" s="1">
        <f t="shared" si="167"/>
        <v>0</v>
      </c>
      <c r="H471" s="19">
        <f t="shared" si="158"/>
        <v>-1.9653614823815304E-6</v>
      </c>
      <c r="I471" s="1">
        <f t="shared" si="168"/>
        <v>0</v>
      </c>
      <c r="J471" s="1">
        <f t="shared" si="169"/>
        <v>0</v>
      </c>
      <c r="K471" s="19">
        <f t="shared" si="159"/>
        <v>8.679829890643986E-5</v>
      </c>
      <c r="L471" s="19">
        <f t="shared" si="160"/>
        <v>5.4310935601458082E-2</v>
      </c>
      <c r="M471" s="19">
        <f t="shared" si="161"/>
        <v>1.8599635479951396E-6</v>
      </c>
      <c r="N471" s="19">
        <f t="shared" si="157"/>
        <v>1.8728799615228837E-2</v>
      </c>
      <c r="O471" s="19">
        <v>186.36</v>
      </c>
      <c r="P471" s="19">
        <f t="shared" si="162"/>
        <v>1.0276298602673147E-2</v>
      </c>
      <c r="Q471" s="19">
        <f t="shared" si="163"/>
        <v>6.3238760631834751E-4</v>
      </c>
      <c r="R471" s="19">
        <f t="shared" si="164"/>
        <v>1.9529617253948968</v>
      </c>
      <c r="S471" s="19">
        <f t="shared" si="165"/>
        <v>1.6533009315512355E-15</v>
      </c>
      <c r="T471" s="83">
        <f t="shared" si="166"/>
        <v>46.250362317670366</v>
      </c>
    </row>
    <row r="472" spans="1:20">
      <c r="A472" s="9" t="s">
        <v>1423</v>
      </c>
      <c r="B472" s="9" t="s">
        <v>11</v>
      </c>
      <c r="C472">
        <v>6060</v>
      </c>
      <c r="D472">
        <v>1.2</v>
      </c>
      <c r="E472">
        <v>0</v>
      </c>
      <c r="F472">
        <v>1</v>
      </c>
      <c r="G472" s="1">
        <f t="shared" si="167"/>
        <v>0</v>
      </c>
      <c r="H472" s="19">
        <f t="shared" si="158"/>
        <v>-9.1616081409477495E-4</v>
      </c>
      <c r="I472" s="1">
        <f t="shared" si="168"/>
        <v>0</v>
      </c>
      <c r="J472" s="1">
        <f t="shared" si="169"/>
        <v>0</v>
      </c>
      <c r="K472" s="19">
        <f t="shared" si="159"/>
        <v>4.0461360874848119E-2</v>
      </c>
      <c r="L472" s="19">
        <f t="shared" si="160"/>
        <v>25.317251518833537</v>
      </c>
      <c r="M472" s="19">
        <f t="shared" si="161"/>
        <v>8.6702916160388821E-4</v>
      </c>
      <c r="N472" s="19">
        <f t="shared" si="157"/>
        <v>1.8728799615228837E-2</v>
      </c>
      <c r="O472" s="19">
        <v>187.36</v>
      </c>
      <c r="P472" s="19">
        <f t="shared" si="162"/>
        <v>4.7903361178614823</v>
      </c>
      <c r="Q472" s="19">
        <f t="shared" si="163"/>
        <v>0.29478991494532197</v>
      </c>
      <c r="R472" s="19">
        <f t="shared" si="164"/>
        <v>910.38061968408272</v>
      </c>
      <c r="S472" s="19">
        <f t="shared" si="165"/>
        <v>7.7069258809234513E-13</v>
      </c>
      <c r="T472" s="83">
        <f t="shared" si="166"/>
        <v>1618.4893645490333</v>
      </c>
    </row>
    <row r="473" spans="1:20">
      <c r="A473" s="9" t="s">
        <v>1424</v>
      </c>
      <c r="B473" s="9" t="s">
        <v>11</v>
      </c>
      <c r="C473">
        <v>3320</v>
      </c>
      <c r="D473">
        <v>1.2</v>
      </c>
      <c r="E473">
        <v>0</v>
      </c>
      <c r="F473">
        <v>1</v>
      </c>
      <c r="G473" s="1">
        <f t="shared" si="167"/>
        <v>0</v>
      </c>
      <c r="H473" s="19">
        <f t="shared" si="158"/>
        <v>-5.0192308626974464E-4</v>
      </c>
      <c r="I473" s="1">
        <f t="shared" si="168"/>
        <v>0</v>
      </c>
      <c r="J473" s="1">
        <f t="shared" si="169"/>
        <v>0</v>
      </c>
      <c r="K473" s="19">
        <f t="shared" si="159"/>
        <v>2.2166950182260024E-2</v>
      </c>
      <c r="L473" s="19">
        <f t="shared" si="160"/>
        <v>13.870177399756988</v>
      </c>
      <c r="M473" s="19">
        <f t="shared" si="161"/>
        <v>4.7500607533414337E-4</v>
      </c>
      <c r="N473" s="19">
        <f t="shared" si="157"/>
        <v>1.8728799615228837E-2</v>
      </c>
      <c r="O473" s="19">
        <v>188.36</v>
      </c>
      <c r="P473" s="19">
        <f t="shared" si="162"/>
        <v>2.6244085662211423</v>
      </c>
      <c r="Q473" s="19">
        <f t="shared" si="163"/>
        <v>0.16150206561360875</v>
      </c>
      <c r="R473" s="19">
        <f t="shared" si="164"/>
        <v>498.75637910085061</v>
      </c>
      <c r="S473" s="19">
        <f t="shared" si="165"/>
        <v>4.2222762251923859E-13</v>
      </c>
      <c r="T473" s="83">
        <f t="shared" si="166"/>
        <v>906.41497127733919</v>
      </c>
    </row>
    <row r="474" spans="1:20">
      <c r="A474" t="s">
        <v>1425</v>
      </c>
      <c r="B474" s="9" t="s">
        <v>11</v>
      </c>
      <c r="C474">
        <v>206</v>
      </c>
      <c r="D474">
        <v>1.2</v>
      </c>
      <c r="E474">
        <v>0</v>
      </c>
      <c r="F474">
        <v>1</v>
      </c>
      <c r="G474" s="1">
        <f t="shared" si="167"/>
        <v>0</v>
      </c>
      <c r="H474" s="19">
        <f t="shared" si="158"/>
        <v>-3.1143420413122714E-5</v>
      </c>
      <c r="I474" s="1">
        <f t="shared" si="168"/>
        <v>0</v>
      </c>
      <c r="J474" s="1">
        <f t="shared" si="169"/>
        <v>0</v>
      </c>
      <c r="K474" s="19">
        <f t="shared" si="159"/>
        <v>1.375419198055893E-3</v>
      </c>
      <c r="L474" s="19">
        <f t="shared" si="160"/>
        <v>0.86061944106925892</v>
      </c>
      <c r="M474" s="19">
        <f t="shared" si="161"/>
        <v>2.9473268529769137E-5</v>
      </c>
      <c r="N474" s="19">
        <f t="shared" si="157"/>
        <v>1.8728799615228837E-2</v>
      </c>
      <c r="O474" s="19">
        <v>189.36</v>
      </c>
      <c r="P474" s="19">
        <f t="shared" si="162"/>
        <v>0.16283980862697447</v>
      </c>
      <c r="Q474" s="19">
        <f t="shared" si="163"/>
        <v>1.0020911300121506E-2</v>
      </c>
      <c r="R474" s="19">
        <f t="shared" si="164"/>
        <v>30.946931956257597</v>
      </c>
      <c r="S474" s="19">
        <f t="shared" si="165"/>
        <v>2.6198460915350347E-14</v>
      </c>
      <c r="T474" s="83">
        <f t="shared" si="166"/>
        <v>97.113627975129091</v>
      </c>
    </row>
    <row r="475" spans="1:20">
      <c r="A475" t="s">
        <v>1426</v>
      </c>
      <c r="B475" s="9" t="s">
        <v>11</v>
      </c>
      <c r="C475">
        <v>5730</v>
      </c>
      <c r="D475">
        <v>1.2</v>
      </c>
      <c r="E475">
        <v>0</v>
      </c>
      <c r="F475">
        <v>1</v>
      </c>
      <c r="G475" s="1">
        <f t="shared" si="167"/>
        <v>0</v>
      </c>
      <c r="H475" s="19">
        <f t="shared" si="158"/>
        <v>-8.6627086877278227E-4</v>
      </c>
      <c r="I475" s="1">
        <f t="shared" si="168"/>
        <v>0</v>
      </c>
      <c r="J475" s="1">
        <f t="shared" si="169"/>
        <v>0</v>
      </c>
      <c r="K475" s="19">
        <f t="shared" si="159"/>
        <v>3.8258019441069262E-2</v>
      </c>
      <c r="L475" s="19">
        <f t="shared" si="160"/>
        <v>23.93858930741191</v>
      </c>
      <c r="M475" s="19">
        <f t="shared" si="161"/>
        <v>8.1981470230862693E-4</v>
      </c>
      <c r="N475" s="19">
        <f t="shared" si="157"/>
        <v>1.8728799615228837E-2</v>
      </c>
      <c r="O475" s="19">
        <v>190.36</v>
      </c>
      <c r="P475" s="19">
        <f t="shared" si="162"/>
        <v>4.5294762302551641</v>
      </c>
      <c r="Q475" s="19">
        <f t="shared" si="163"/>
        <v>0.27873699878493319</v>
      </c>
      <c r="R475" s="19">
        <f t="shared" si="164"/>
        <v>860.80543742405837</v>
      </c>
      <c r="S475" s="19">
        <f t="shared" si="165"/>
        <v>7.2872417982989067E-13</v>
      </c>
      <c r="T475" s="83">
        <f t="shared" si="166"/>
        <v>1533.3908792279897</v>
      </c>
    </row>
    <row r="476" spans="1:20">
      <c r="A476" t="s">
        <v>1427</v>
      </c>
      <c r="B476" s="9" t="s">
        <v>11</v>
      </c>
      <c r="C476">
        <v>5350</v>
      </c>
      <c r="D476">
        <v>1.2</v>
      </c>
      <c r="E476">
        <v>0</v>
      </c>
      <c r="F476">
        <v>1</v>
      </c>
      <c r="G476" s="1">
        <f t="shared" si="167"/>
        <v>0</v>
      </c>
      <c r="H476" s="19">
        <f t="shared" si="158"/>
        <v>-8.0882184082624515E-4</v>
      </c>
      <c r="I476" s="1">
        <f t="shared" si="168"/>
        <v>0</v>
      </c>
      <c r="J476" s="1">
        <f t="shared" si="169"/>
        <v>0</v>
      </c>
      <c r="K476" s="19">
        <f t="shared" si="159"/>
        <v>3.5720838396111787E-2</v>
      </c>
      <c r="L476" s="19">
        <f t="shared" si="160"/>
        <v>22.351038882138518</v>
      </c>
      <c r="M476" s="19">
        <f t="shared" si="161"/>
        <v>7.6544653705953826E-4</v>
      </c>
      <c r="N476" s="19">
        <f t="shared" si="157"/>
        <v>1.8728799615228837E-2</v>
      </c>
      <c r="O476" s="19">
        <v>191.36</v>
      </c>
      <c r="P476" s="19">
        <f t="shared" si="162"/>
        <v>4.2290921172539493</v>
      </c>
      <c r="Q476" s="19">
        <f t="shared" si="163"/>
        <v>0.26025182260024304</v>
      </c>
      <c r="R476" s="19">
        <f t="shared" si="164"/>
        <v>803.7188639125153</v>
      </c>
      <c r="S476" s="19">
        <f t="shared" si="165"/>
        <v>6.8039692183070075E-13</v>
      </c>
      <c r="T476" s="83">
        <f t="shared" si="166"/>
        <v>1434.8341385552731</v>
      </c>
    </row>
    <row r="477" spans="1:20">
      <c r="A477" t="s">
        <v>1428</v>
      </c>
      <c r="B477" s="9" t="s">
        <v>11</v>
      </c>
      <c r="C477">
        <v>5.8000000000000003E-2</v>
      </c>
      <c r="D477">
        <v>1.2</v>
      </c>
      <c r="E477">
        <v>0</v>
      </c>
      <c r="F477">
        <v>1</v>
      </c>
      <c r="G477" s="1">
        <f t="shared" si="167"/>
        <v>0</v>
      </c>
      <c r="H477" s="19">
        <f t="shared" si="158"/>
        <v>-8.7685358444714432E-9</v>
      </c>
      <c r="I477" s="1">
        <f t="shared" si="168"/>
        <v>0</v>
      </c>
      <c r="J477" s="1">
        <f t="shared" si="169"/>
        <v>0</v>
      </c>
      <c r="K477" s="19">
        <f t="shared" si="159"/>
        <v>3.872539489671932E-7</v>
      </c>
      <c r="L477" s="19">
        <f t="shared" si="160"/>
        <v>2.4231032806804376E-4</v>
      </c>
      <c r="M477" s="19">
        <f t="shared" si="161"/>
        <v>8.2982989064398544E-9</v>
      </c>
      <c r="N477" s="19">
        <f t="shared" si="157"/>
        <v>1.8728799615228837E-2</v>
      </c>
      <c r="O477" s="19">
        <v>192.36</v>
      </c>
      <c r="P477" s="19">
        <f t="shared" si="162"/>
        <v>4.5848101458080197E-5</v>
      </c>
      <c r="Q477" s="19">
        <f t="shared" si="163"/>
        <v>2.8214216281895506E-6</v>
      </c>
      <c r="R477" s="19">
        <f t="shared" si="164"/>
        <v>8.7132138517618477E-3</v>
      </c>
      <c r="S477" s="19">
        <f t="shared" si="165"/>
        <v>7.3762656946132045E-18</v>
      </c>
      <c r="T477" s="83">
        <f t="shared" si="166"/>
        <v>44.26589390244326</v>
      </c>
    </row>
    <row r="478" spans="1:20">
      <c r="A478" t="s">
        <v>1429</v>
      </c>
      <c r="B478" s="9" t="s">
        <v>11</v>
      </c>
      <c r="C478">
        <v>48.7</v>
      </c>
      <c r="D478">
        <v>1.2</v>
      </c>
      <c r="E478">
        <v>0</v>
      </c>
      <c r="F478">
        <v>1</v>
      </c>
      <c r="G478" s="1">
        <f t="shared" si="167"/>
        <v>0</v>
      </c>
      <c r="H478" s="19">
        <f t="shared" si="158"/>
        <v>-7.3625464763061946E-6</v>
      </c>
      <c r="I478" s="1">
        <f t="shared" si="168"/>
        <v>0</v>
      </c>
      <c r="J478" s="1">
        <f t="shared" si="169"/>
        <v>0</v>
      </c>
      <c r="K478" s="19">
        <f t="shared" si="159"/>
        <v>3.2515978128797084E-4</v>
      </c>
      <c r="L478" s="19">
        <f t="shared" si="160"/>
        <v>0.20345712029161606</v>
      </c>
      <c r="M478" s="19">
        <f t="shared" si="161"/>
        <v>6.967709599027947E-6</v>
      </c>
      <c r="N478" s="19">
        <f t="shared" si="157"/>
        <v>1.8728799615228837E-2</v>
      </c>
      <c r="O478" s="19">
        <v>193.36</v>
      </c>
      <c r="P478" s="19">
        <f t="shared" si="162"/>
        <v>3.8496595534629405E-2</v>
      </c>
      <c r="Q478" s="19">
        <f t="shared" si="163"/>
        <v>2.3690212636695018E-3</v>
      </c>
      <c r="R478" s="19">
        <f t="shared" si="164"/>
        <v>7.3160950789793446</v>
      </c>
      <c r="S478" s="19">
        <f t="shared" si="165"/>
        <v>6.193519643580398E-15</v>
      </c>
      <c r="T478" s="83">
        <f t="shared" si="166"/>
        <v>57.14111663876507</v>
      </c>
    </row>
    <row r="479" spans="1:20">
      <c r="A479" s="9" t="s">
        <v>1430</v>
      </c>
      <c r="B479" s="9" t="s">
        <v>11</v>
      </c>
      <c r="C479">
        <v>136</v>
      </c>
      <c r="D479">
        <v>1.2</v>
      </c>
      <c r="E479">
        <v>0</v>
      </c>
      <c r="F479">
        <v>1</v>
      </c>
      <c r="G479" s="1">
        <f t="shared" si="167"/>
        <v>0</v>
      </c>
      <c r="H479" s="19">
        <f t="shared" si="158"/>
        <v>-2.0560704738760624E-5</v>
      </c>
      <c r="I479" s="1">
        <f t="shared" si="168"/>
        <v>0</v>
      </c>
      <c r="J479" s="1">
        <f t="shared" si="169"/>
        <v>0</v>
      </c>
      <c r="K479" s="19">
        <f t="shared" si="159"/>
        <v>9.0804374240583232E-4</v>
      </c>
      <c r="L479" s="19">
        <f t="shared" si="160"/>
        <v>0.56817594167679231</v>
      </c>
      <c r="M479" s="19">
        <f t="shared" si="161"/>
        <v>1.9458080194410692E-5</v>
      </c>
      <c r="N479" s="19">
        <f t="shared" si="157"/>
        <v>1.8728799615228837E-2</v>
      </c>
      <c r="O479" s="19">
        <v>194.36</v>
      </c>
      <c r="P479" s="19">
        <f t="shared" si="162"/>
        <v>0.10750589307411908</v>
      </c>
      <c r="Q479" s="19">
        <f t="shared" si="163"/>
        <v>6.6157472660996353E-3</v>
      </c>
      <c r="R479" s="19">
        <f t="shared" si="164"/>
        <v>20.430984204131228</v>
      </c>
      <c r="S479" s="19">
        <f t="shared" si="165"/>
        <v>1.7296071283920617E-14</v>
      </c>
      <c r="T479" s="83">
        <f t="shared" si="166"/>
        <v>80.066070482786571</v>
      </c>
    </row>
    <row r="480" spans="1:20">
      <c r="A480" t="s">
        <v>1431</v>
      </c>
      <c r="B480" s="9" t="s">
        <v>11</v>
      </c>
      <c r="C480">
        <v>202</v>
      </c>
      <c r="D480">
        <v>1.2</v>
      </c>
      <c r="E480">
        <v>0</v>
      </c>
      <c r="F480">
        <v>1</v>
      </c>
      <c r="G480" s="1">
        <f t="shared" si="167"/>
        <v>0</v>
      </c>
      <c r="H480" s="19">
        <f t="shared" si="158"/>
        <v>-3.0538693803159162E-5</v>
      </c>
      <c r="I480" s="1">
        <f t="shared" si="168"/>
        <v>0</v>
      </c>
      <c r="J480" s="1">
        <f t="shared" si="169"/>
        <v>0</v>
      </c>
      <c r="K480" s="19">
        <f t="shared" si="159"/>
        <v>1.3487120291616039E-3</v>
      </c>
      <c r="L480" s="19">
        <f t="shared" si="160"/>
        <v>0.84390838396111789</v>
      </c>
      <c r="M480" s="19">
        <f t="shared" si="161"/>
        <v>2.8900972053462941E-5</v>
      </c>
      <c r="N480" s="19">
        <f t="shared" si="157"/>
        <v>1.8728799615228837E-2</v>
      </c>
      <c r="O480" s="19">
        <v>195.36</v>
      </c>
      <c r="P480" s="19">
        <f t="shared" si="162"/>
        <v>0.15967787059538274</v>
      </c>
      <c r="Q480" s="19">
        <f t="shared" si="163"/>
        <v>9.8263304981773998E-3</v>
      </c>
      <c r="R480" s="19">
        <f t="shared" si="164"/>
        <v>30.346020656136091</v>
      </c>
      <c r="S480" s="19">
        <f t="shared" si="165"/>
        <v>2.5689752936411506E-14</v>
      </c>
      <c r="T480" s="83">
        <f t="shared" si="166"/>
        <v>97.453767546995252</v>
      </c>
    </row>
    <row r="481" spans="1:20">
      <c r="A481" t="s">
        <v>1432</v>
      </c>
      <c r="B481" s="9" t="s">
        <v>11</v>
      </c>
      <c r="C481">
        <v>229</v>
      </c>
      <c r="D481">
        <v>1.2</v>
      </c>
      <c r="E481">
        <v>0</v>
      </c>
      <c r="F481">
        <v>1</v>
      </c>
      <c r="G481" s="1">
        <f t="shared" si="167"/>
        <v>0</v>
      </c>
      <c r="H481" s="19">
        <f t="shared" si="158"/>
        <v>-3.4620598420413114E-5</v>
      </c>
      <c r="I481" s="1">
        <f t="shared" si="168"/>
        <v>0</v>
      </c>
      <c r="J481" s="1">
        <f t="shared" si="169"/>
        <v>0</v>
      </c>
      <c r="K481" s="19">
        <f t="shared" si="159"/>
        <v>1.5289854191980559E-3</v>
      </c>
      <c r="L481" s="19">
        <f t="shared" si="160"/>
        <v>0.95670801944106931</v>
      </c>
      <c r="M481" s="19">
        <f t="shared" si="161"/>
        <v>3.2763973268529766E-5</v>
      </c>
      <c r="N481" s="19">
        <f t="shared" si="157"/>
        <v>1.8728799615228837E-2</v>
      </c>
      <c r="O481" s="19">
        <v>196.36</v>
      </c>
      <c r="P481" s="19">
        <f t="shared" si="162"/>
        <v>0.18102095230862697</v>
      </c>
      <c r="Q481" s="19">
        <f t="shared" si="163"/>
        <v>1.1139750911300123E-2</v>
      </c>
      <c r="R481" s="19">
        <f t="shared" si="164"/>
        <v>34.402171931956261</v>
      </c>
      <c r="S481" s="19">
        <f t="shared" si="165"/>
        <v>2.9123531794248688E-14</v>
      </c>
      <c r="T481" s="83">
        <f t="shared" si="166"/>
        <v>104.70282543689881</v>
      </c>
    </row>
    <row r="482" spans="1:20">
      <c r="A482" t="s">
        <v>1433</v>
      </c>
      <c r="B482" s="9" t="s">
        <v>11</v>
      </c>
      <c r="C482">
        <v>219</v>
      </c>
      <c r="D482">
        <v>1.2</v>
      </c>
      <c r="E482">
        <v>0</v>
      </c>
      <c r="F482">
        <v>1</v>
      </c>
      <c r="G482" s="1">
        <f t="shared" si="167"/>
        <v>0</v>
      </c>
      <c r="H482" s="19">
        <f t="shared" si="158"/>
        <v>-3.3108781895504244E-5</v>
      </c>
      <c r="I482" s="1">
        <f t="shared" si="168"/>
        <v>0</v>
      </c>
      <c r="J482" s="1">
        <f t="shared" si="169"/>
        <v>0</v>
      </c>
      <c r="K482" s="19">
        <f t="shared" si="159"/>
        <v>1.4622174969623329E-3</v>
      </c>
      <c r="L482" s="19">
        <f t="shared" si="160"/>
        <v>0.91493037667071697</v>
      </c>
      <c r="M482" s="19">
        <f t="shared" si="161"/>
        <v>3.133323207776428E-5</v>
      </c>
      <c r="N482" s="19">
        <f t="shared" si="157"/>
        <v>1.8728799615228837E-2</v>
      </c>
      <c r="O482" s="19">
        <v>197.36</v>
      </c>
      <c r="P482" s="19">
        <f t="shared" si="162"/>
        <v>0.17311610722964763</v>
      </c>
      <c r="Q482" s="19">
        <f t="shared" si="163"/>
        <v>1.0653298906439854E-2</v>
      </c>
      <c r="R482" s="19">
        <f t="shared" si="164"/>
        <v>32.899893681652493</v>
      </c>
      <c r="S482" s="19">
        <f t="shared" si="165"/>
        <v>2.7851761846901581E-14</v>
      </c>
      <c r="T482" s="83">
        <f t="shared" si="166"/>
        <v>102.33317436656417</v>
      </c>
    </row>
    <row r="483" spans="1:20">
      <c r="A483" t="s">
        <v>1434</v>
      </c>
      <c r="B483" s="9" t="s">
        <v>11</v>
      </c>
      <c r="C483">
        <v>4390</v>
      </c>
      <c r="D483">
        <v>1.2</v>
      </c>
      <c r="E483">
        <v>0</v>
      </c>
      <c r="F483">
        <v>1</v>
      </c>
      <c r="G483" s="1">
        <f t="shared" si="167"/>
        <v>0</v>
      </c>
      <c r="H483" s="19">
        <f t="shared" si="158"/>
        <v>-6.6368745443499369E-4</v>
      </c>
      <c r="I483" s="1">
        <f t="shared" si="168"/>
        <v>0</v>
      </c>
      <c r="J483" s="1">
        <f t="shared" si="169"/>
        <v>0</v>
      </c>
      <c r="K483" s="19">
        <f t="shared" si="159"/>
        <v>2.9311117861482383E-2</v>
      </c>
      <c r="L483" s="19">
        <f t="shared" si="160"/>
        <v>18.340385176184693</v>
      </c>
      <c r="M483" s="19">
        <f t="shared" si="161"/>
        <v>6.2809538274605106E-4</v>
      </c>
      <c r="N483" s="19">
        <f t="shared" si="157"/>
        <v>1.8728799615228837E-2</v>
      </c>
      <c r="O483" s="19">
        <v>198.36</v>
      </c>
      <c r="P483" s="19">
        <f t="shared" si="162"/>
        <v>3.4702269896719318</v>
      </c>
      <c r="Q483" s="19">
        <f t="shared" si="163"/>
        <v>0.21355243013365735</v>
      </c>
      <c r="R483" s="19">
        <f t="shared" si="164"/>
        <v>659.50015188335362</v>
      </c>
      <c r="S483" s="19">
        <f t="shared" si="165"/>
        <v>5.5830700688537877E-13</v>
      </c>
      <c r="T483" s="83">
        <f t="shared" si="166"/>
        <v>1186.8776358031469</v>
      </c>
    </row>
    <row r="484" spans="1:20">
      <c r="A484" s="9" t="s">
        <v>1435</v>
      </c>
      <c r="B484" s="9" t="s">
        <v>11</v>
      </c>
      <c r="C484">
        <v>0.53300000000000003</v>
      </c>
      <c r="D484">
        <v>1.2</v>
      </c>
      <c r="E484">
        <v>0</v>
      </c>
      <c r="F484">
        <v>1</v>
      </c>
      <c r="G484" s="1">
        <f t="shared" si="167"/>
        <v>0</v>
      </c>
      <c r="H484" s="19">
        <f t="shared" si="158"/>
        <v>-8.0579820777642744E-8</v>
      </c>
      <c r="I484" s="1">
        <f t="shared" si="168"/>
        <v>0</v>
      </c>
      <c r="J484" s="1">
        <f t="shared" si="169"/>
        <v>0</v>
      </c>
      <c r="K484" s="19">
        <f t="shared" si="159"/>
        <v>3.5587302551640344E-6</v>
      </c>
      <c r="L484" s="19">
        <f t="shared" si="160"/>
        <v>2.2267483596597817E-3</v>
      </c>
      <c r="M484" s="19">
        <f t="shared" si="161"/>
        <v>7.6258505467800732E-8</v>
      </c>
      <c r="N484" s="19">
        <f t="shared" si="157"/>
        <v>1.8728799615228837E-2</v>
      </c>
      <c r="O484" s="19">
        <v>199.36</v>
      </c>
      <c r="P484" s="19">
        <f t="shared" si="162"/>
        <v>4.2132824270959906E-4</v>
      </c>
      <c r="Q484" s="19">
        <f t="shared" si="163"/>
        <v>2.5927891859052248E-5</v>
      </c>
      <c r="R484" s="19">
        <f t="shared" si="164"/>
        <v>8.0071430741190774E-2</v>
      </c>
      <c r="S484" s="19">
        <f t="shared" si="165"/>
        <v>6.7785338193600653E-17</v>
      </c>
      <c r="T484" s="83">
        <f t="shared" si="166"/>
        <v>45.999377328284154</v>
      </c>
    </row>
    <row r="485" spans="1:20">
      <c r="A485" s="9" t="s">
        <v>1436</v>
      </c>
      <c r="B485" s="9" t="s">
        <v>11</v>
      </c>
      <c r="C485">
        <v>0.44900000000000001</v>
      </c>
      <c r="D485">
        <v>1.2</v>
      </c>
      <c r="E485">
        <v>0</v>
      </c>
      <c r="F485">
        <v>1</v>
      </c>
      <c r="G485" s="1">
        <f t="shared" si="167"/>
        <v>0</v>
      </c>
      <c r="H485" s="19">
        <f t="shared" si="158"/>
        <v>-6.7880561968408249E-8</v>
      </c>
      <c r="I485" s="1">
        <f t="shared" si="168"/>
        <v>0</v>
      </c>
      <c r="J485" s="1">
        <f t="shared" si="169"/>
        <v>0</v>
      </c>
      <c r="K485" s="19">
        <f t="shared" si="159"/>
        <v>2.9978797083839611E-6</v>
      </c>
      <c r="L485" s="19">
        <f t="shared" si="160"/>
        <v>1.8758161603888216E-3</v>
      </c>
      <c r="M485" s="19">
        <f t="shared" si="161"/>
        <v>6.4240279465370599E-8</v>
      </c>
      <c r="N485" s="19">
        <f t="shared" si="157"/>
        <v>1.8728799615228837E-2</v>
      </c>
      <c r="O485" s="19">
        <v>200.36</v>
      </c>
      <c r="P485" s="19">
        <f t="shared" si="162"/>
        <v>3.5492754404617253E-4</v>
      </c>
      <c r="Q485" s="19">
        <f t="shared" si="163"/>
        <v>2.1841695018226002E-5</v>
      </c>
      <c r="R485" s="19">
        <f t="shared" si="164"/>
        <v>6.7452293438639135E-2</v>
      </c>
      <c r="S485" s="19">
        <f t="shared" si="165"/>
        <v>5.7102470635884979E-17</v>
      </c>
      <c r="T485" s="83">
        <f t="shared" si="166"/>
        <v>46.207540259293353</v>
      </c>
    </row>
    <row r="486" spans="1:20">
      <c r="A486" t="s">
        <v>1437</v>
      </c>
      <c r="B486" s="9" t="s">
        <v>11</v>
      </c>
      <c r="C486">
        <v>0.27300000000000002</v>
      </c>
      <c r="D486">
        <v>1.2</v>
      </c>
      <c r="E486">
        <v>0</v>
      </c>
      <c r="F486">
        <v>1</v>
      </c>
      <c r="G486" s="1">
        <f t="shared" si="167"/>
        <v>0</v>
      </c>
      <c r="H486" s="19">
        <f t="shared" si="158"/>
        <v>-4.127259113001214E-8</v>
      </c>
      <c r="I486" s="1">
        <f t="shared" si="168"/>
        <v>0</v>
      </c>
      <c r="J486" s="1">
        <f t="shared" si="169"/>
        <v>0</v>
      </c>
      <c r="K486" s="19">
        <f t="shared" si="159"/>
        <v>1.822764277035237E-6</v>
      </c>
      <c r="L486" s="19">
        <f t="shared" si="160"/>
        <v>1.1405296476306199E-3</v>
      </c>
      <c r="M486" s="19">
        <f t="shared" si="161"/>
        <v>3.9059234507897937E-8</v>
      </c>
      <c r="N486" s="19">
        <f t="shared" si="157"/>
        <v>1.8728799615228837E-2</v>
      </c>
      <c r="O486" s="19">
        <v>201.36</v>
      </c>
      <c r="P486" s="19">
        <f t="shared" si="162"/>
        <v>2.1580227065613609E-4</v>
      </c>
      <c r="Q486" s="19">
        <f t="shared" si="163"/>
        <v>1.3280139732685299E-5</v>
      </c>
      <c r="R486" s="19">
        <f t="shared" si="164"/>
        <v>4.1012196233292837E-2</v>
      </c>
      <c r="S486" s="19">
        <f t="shared" si="165"/>
        <v>3.4719319562575949E-17</v>
      </c>
      <c r="T486" s="83">
        <f t="shared" si="166"/>
        <v>46.391786400455452</v>
      </c>
    </row>
    <row r="487" spans="1:20">
      <c r="A487" s="9" t="s">
        <v>1438</v>
      </c>
      <c r="B487" s="9" t="s">
        <v>11</v>
      </c>
      <c r="C487">
        <v>136</v>
      </c>
      <c r="D487">
        <v>1.2</v>
      </c>
      <c r="E487">
        <v>0</v>
      </c>
      <c r="F487">
        <v>1</v>
      </c>
      <c r="G487" s="1">
        <f t="shared" si="167"/>
        <v>0</v>
      </c>
      <c r="H487" s="19">
        <f t="shared" si="158"/>
        <v>-2.0560704738760624E-5</v>
      </c>
      <c r="I487" s="1">
        <f t="shared" si="168"/>
        <v>0</v>
      </c>
      <c r="J487" s="1">
        <f t="shared" si="169"/>
        <v>0</v>
      </c>
      <c r="K487" s="19">
        <f t="shared" si="159"/>
        <v>9.0804374240583232E-4</v>
      </c>
      <c r="L487" s="19">
        <f t="shared" si="160"/>
        <v>0.56817594167679231</v>
      </c>
      <c r="M487" s="19">
        <f t="shared" si="161"/>
        <v>1.9458080194410692E-5</v>
      </c>
      <c r="N487" s="19">
        <f t="shared" si="157"/>
        <v>1.8728799615228837E-2</v>
      </c>
      <c r="O487" s="19">
        <v>202.36</v>
      </c>
      <c r="P487" s="19">
        <f t="shared" si="162"/>
        <v>0.10750589307411908</v>
      </c>
      <c r="Q487" s="19">
        <f t="shared" si="163"/>
        <v>6.6157472660996353E-3</v>
      </c>
      <c r="R487" s="19">
        <f t="shared" si="164"/>
        <v>20.430984204131228</v>
      </c>
      <c r="S487" s="19">
        <f t="shared" si="165"/>
        <v>1.7296071283920617E-14</v>
      </c>
      <c r="T487" s="83">
        <f t="shared" si="166"/>
        <v>81.906070482786575</v>
      </c>
    </row>
    <row r="488" spans="1:20">
      <c r="A488" s="9" t="s">
        <v>1439</v>
      </c>
      <c r="B488" s="9" t="s">
        <v>11</v>
      </c>
      <c r="C488">
        <v>10300</v>
      </c>
      <c r="D488">
        <v>1.2</v>
      </c>
      <c r="E488">
        <v>0</v>
      </c>
      <c r="F488">
        <v>1</v>
      </c>
      <c r="G488" s="1">
        <f t="shared" si="167"/>
        <v>0</v>
      </c>
      <c r="H488" s="19">
        <f t="shared" si="158"/>
        <v>-1.5571710206561356E-3</v>
      </c>
      <c r="I488" s="1">
        <f t="shared" si="168"/>
        <v>0</v>
      </c>
      <c r="J488" s="1">
        <f t="shared" si="169"/>
        <v>0</v>
      </c>
      <c r="K488" s="19">
        <f t="shared" si="159"/>
        <v>6.8770959902794651E-2</v>
      </c>
      <c r="L488" s="19">
        <f t="shared" si="160"/>
        <v>43.030972053462946</v>
      </c>
      <c r="M488" s="19">
        <f t="shared" si="161"/>
        <v>1.4736634264884568E-3</v>
      </c>
      <c r="N488" s="19">
        <f t="shared" si="157"/>
        <v>1.8728799615228837E-2</v>
      </c>
      <c r="O488" s="19">
        <v>203.36</v>
      </c>
      <c r="P488" s="19">
        <f t="shared" si="162"/>
        <v>8.1419904313487237</v>
      </c>
      <c r="Q488" s="19">
        <f t="shared" si="163"/>
        <v>0.50104556500607533</v>
      </c>
      <c r="R488" s="19">
        <f t="shared" si="164"/>
        <v>1547.3465978128797</v>
      </c>
      <c r="S488" s="19">
        <f t="shared" si="165"/>
        <v>1.3099230457675172E-12</v>
      </c>
      <c r="T488" s="83">
        <f t="shared" si="166"/>
        <v>2724.4214183709246</v>
      </c>
    </row>
    <row r="489" spans="1:20">
      <c r="A489" t="s">
        <v>1440</v>
      </c>
      <c r="B489" s="9" t="s">
        <v>11</v>
      </c>
      <c r="C489">
        <v>0.01</v>
      </c>
      <c r="D489">
        <v>1.2</v>
      </c>
      <c r="E489">
        <v>0</v>
      </c>
      <c r="F489">
        <v>1</v>
      </c>
      <c r="G489" s="1">
        <f t="shared" si="167"/>
        <v>0</v>
      </c>
      <c r="H489" s="19">
        <f t="shared" si="158"/>
        <v>-1.5118165249088695E-9</v>
      </c>
      <c r="I489" s="1">
        <f t="shared" si="168"/>
        <v>0</v>
      </c>
      <c r="J489" s="1">
        <f t="shared" si="169"/>
        <v>0</v>
      </c>
      <c r="K489" s="19">
        <f t="shared" si="159"/>
        <v>6.676792223572297E-8</v>
      </c>
      <c r="L489" s="19">
        <f t="shared" si="160"/>
        <v>4.1777642770352375E-5</v>
      </c>
      <c r="M489" s="19">
        <f t="shared" si="161"/>
        <v>1.4307411907654921E-9</v>
      </c>
      <c r="N489" s="19">
        <f t="shared" si="157"/>
        <v>1.8728799615228837E-2</v>
      </c>
      <c r="O489" s="19">
        <v>204.36</v>
      </c>
      <c r="P489" s="19">
        <f t="shared" si="162"/>
        <v>7.9048450789793432E-6</v>
      </c>
      <c r="Q489" s="19">
        <f t="shared" si="163"/>
        <v>4.8645200486026729E-7</v>
      </c>
      <c r="R489" s="19">
        <f t="shared" si="164"/>
        <v>1.5022782503037668E-3</v>
      </c>
      <c r="S489" s="19">
        <f t="shared" si="165"/>
        <v>1.2717699473471041E-18</v>
      </c>
      <c r="T489" s="83">
        <f t="shared" si="166"/>
        <v>47.013415577305665</v>
      </c>
    </row>
    <row r="490" spans="1:20">
      <c r="A490" t="s">
        <v>1441</v>
      </c>
      <c r="B490" s="9" t="s">
        <v>11</v>
      </c>
      <c r="C490">
        <v>597</v>
      </c>
      <c r="D490">
        <v>1.2</v>
      </c>
      <c r="E490">
        <v>0</v>
      </c>
      <c r="F490">
        <v>1</v>
      </c>
      <c r="G490" s="1">
        <f t="shared" si="167"/>
        <v>0</v>
      </c>
      <c r="H490" s="19">
        <f t="shared" si="158"/>
        <v>-9.0255446537059508E-5</v>
      </c>
      <c r="I490" s="1">
        <f t="shared" si="168"/>
        <v>0</v>
      </c>
      <c r="J490" s="1">
        <f t="shared" si="169"/>
        <v>0</v>
      </c>
      <c r="K490" s="19">
        <f t="shared" si="159"/>
        <v>3.9860449574726613E-3</v>
      </c>
      <c r="L490" s="19">
        <f t="shared" si="160"/>
        <v>2.4941252733900368</v>
      </c>
      <c r="M490" s="19">
        <f t="shared" si="161"/>
        <v>8.5415249088699883E-5</v>
      </c>
      <c r="N490" s="19">
        <f t="shared" si="157"/>
        <v>1.8728799615228837E-2</v>
      </c>
      <c r="O490" s="19">
        <v>205.36</v>
      </c>
      <c r="P490" s="19">
        <f t="shared" si="162"/>
        <v>0.47191925121506684</v>
      </c>
      <c r="Q490" s="19">
        <f t="shared" si="163"/>
        <v>2.904118469015796E-2</v>
      </c>
      <c r="R490" s="19">
        <f t="shared" si="164"/>
        <v>89.686011543134882</v>
      </c>
      <c r="S490" s="19">
        <f t="shared" si="165"/>
        <v>7.5924665856622119E-14</v>
      </c>
      <c r="T490" s="83">
        <f t="shared" si="166"/>
        <v>202.43998482521394</v>
      </c>
    </row>
    <row r="491" spans="1:20">
      <c r="A491" t="s">
        <v>1442</v>
      </c>
      <c r="B491" s="9" t="s">
        <v>11</v>
      </c>
      <c r="C491">
        <v>54.8</v>
      </c>
      <c r="D491">
        <v>1.2</v>
      </c>
      <c r="E491">
        <v>0</v>
      </c>
      <c r="F491">
        <v>1</v>
      </c>
      <c r="G491" s="1">
        <f t="shared" si="167"/>
        <v>0</v>
      </c>
      <c r="H491" s="19">
        <f t="shared" si="158"/>
        <v>-8.2847545565006039E-6</v>
      </c>
      <c r="I491" s="1">
        <f t="shared" si="168"/>
        <v>0</v>
      </c>
      <c r="J491" s="1">
        <f t="shared" si="169"/>
        <v>0</v>
      </c>
      <c r="K491" s="19">
        <f t="shared" si="159"/>
        <v>3.6588821385176185E-4</v>
      </c>
      <c r="L491" s="19">
        <f t="shared" si="160"/>
        <v>0.22894148238153098</v>
      </c>
      <c r="M491" s="19">
        <f t="shared" si="161"/>
        <v>7.8404617253948966E-6</v>
      </c>
      <c r="N491" s="19">
        <f t="shared" si="157"/>
        <v>1.8728799615228837E-2</v>
      </c>
      <c r="O491" s="19">
        <v>206.36</v>
      </c>
      <c r="P491" s="19">
        <f t="shared" si="162"/>
        <v>4.3318551032806803E-2</v>
      </c>
      <c r="Q491" s="19">
        <f t="shared" si="163"/>
        <v>2.6657569866342648E-3</v>
      </c>
      <c r="R491" s="19">
        <f t="shared" si="164"/>
        <v>8.2324848116646425</v>
      </c>
      <c r="S491" s="19">
        <f t="shared" si="165"/>
        <v>6.9692993114621308E-15</v>
      </c>
      <c r="T491" s="83">
        <f t="shared" si="166"/>
        <v>61.716903791669203</v>
      </c>
    </row>
    <row r="492" spans="1:20" ht="15">
      <c r="A492" s="55" t="s">
        <v>1443</v>
      </c>
      <c r="B492" s="9" t="s">
        <v>11</v>
      </c>
      <c r="C492">
        <v>269</v>
      </c>
      <c r="D492">
        <v>1.2</v>
      </c>
      <c r="E492">
        <v>0</v>
      </c>
      <c r="F492">
        <v>1</v>
      </c>
      <c r="G492" s="1">
        <f t="shared" si="167"/>
        <v>0</v>
      </c>
      <c r="H492" s="19">
        <f t="shared" si="158"/>
        <v>-4.0667864520048589E-5</v>
      </c>
      <c r="I492" s="1">
        <f t="shared" si="168"/>
        <v>0</v>
      </c>
      <c r="J492" s="1">
        <f t="shared" si="169"/>
        <v>0</v>
      </c>
      <c r="K492" s="19">
        <f t="shared" si="159"/>
        <v>1.7960571081409478E-3</v>
      </c>
      <c r="L492" s="19">
        <f t="shared" si="160"/>
        <v>1.1238185905224789</v>
      </c>
      <c r="M492" s="19">
        <f t="shared" si="161"/>
        <v>3.8486938031591737E-5</v>
      </c>
      <c r="N492" s="19">
        <f t="shared" si="157"/>
        <v>1.8728799615228837E-2</v>
      </c>
      <c r="O492" s="19">
        <v>207.36</v>
      </c>
      <c r="P492" s="19">
        <f t="shared" si="162"/>
        <v>0.21264033262454435</v>
      </c>
      <c r="Q492" s="19">
        <f t="shared" si="163"/>
        <v>1.3085558930741191E-2</v>
      </c>
      <c r="R492" s="19">
        <f t="shared" si="164"/>
        <v>40.411284933171331</v>
      </c>
      <c r="S492" s="19">
        <f t="shared" si="165"/>
        <v>3.4210611583637104E-14</v>
      </c>
      <c r="T492" s="83">
        <f t="shared" si="166"/>
        <v>117.63142971823743</v>
      </c>
    </row>
    <row r="493" spans="1:20">
      <c r="A493" s="9" t="s">
        <v>1444</v>
      </c>
      <c r="B493" s="9" t="s">
        <v>11</v>
      </c>
      <c r="C493">
        <v>8.0000000000000002E-3</v>
      </c>
      <c r="D493">
        <v>1.2</v>
      </c>
      <c r="E493">
        <v>0</v>
      </c>
      <c r="F493">
        <v>1</v>
      </c>
      <c r="G493" s="1">
        <f t="shared" si="167"/>
        <v>0</v>
      </c>
      <c r="H493" s="19">
        <f t="shared" si="158"/>
        <v>-1.2094532199270957E-9</v>
      </c>
      <c r="I493" s="1">
        <f t="shared" si="168"/>
        <v>0</v>
      </c>
      <c r="J493" s="1">
        <f t="shared" si="169"/>
        <v>0</v>
      </c>
      <c r="K493" s="19">
        <f t="shared" si="159"/>
        <v>5.3414337788578372E-8</v>
      </c>
      <c r="L493" s="19">
        <f t="shared" si="160"/>
        <v>3.3422114216281899E-5</v>
      </c>
      <c r="M493" s="19">
        <f t="shared" si="161"/>
        <v>1.1445929526123937E-9</v>
      </c>
      <c r="N493" s="19">
        <f t="shared" si="157"/>
        <v>1.8728799615228837E-2</v>
      </c>
      <c r="O493" s="19">
        <v>208.36</v>
      </c>
      <c r="P493" s="19">
        <f t="shared" si="162"/>
        <v>6.3238760631834748E-6</v>
      </c>
      <c r="Q493" s="19">
        <f t="shared" si="163"/>
        <v>3.8916160388821385E-7</v>
      </c>
      <c r="R493" s="19">
        <f t="shared" si="164"/>
        <v>1.2018226002430135E-3</v>
      </c>
      <c r="S493" s="19">
        <f t="shared" si="165"/>
        <v>1.0174159578776834E-18</v>
      </c>
      <c r="T493" s="83">
        <f t="shared" si="166"/>
        <v>47.932895647091591</v>
      </c>
    </row>
    <row r="494" spans="1:20">
      <c r="A494" s="9" t="s">
        <v>1445</v>
      </c>
      <c r="B494" s="9" t="s">
        <v>11</v>
      </c>
      <c r="C494">
        <v>1.58</v>
      </c>
      <c r="D494">
        <v>1.2</v>
      </c>
      <c r="E494">
        <v>0</v>
      </c>
      <c r="F494">
        <v>1</v>
      </c>
      <c r="G494" s="1">
        <f t="shared" si="167"/>
        <v>0</v>
      </c>
      <c r="H494" s="19">
        <f t="shared" ref="H494:H514" si="170">CO2_YLL_charfact*C494</f>
        <v>-2.3886701093560139E-7</v>
      </c>
      <c r="I494" s="1">
        <f t="shared" si="168"/>
        <v>0</v>
      </c>
      <c r="J494" s="1">
        <f t="shared" si="169"/>
        <v>0</v>
      </c>
      <c r="K494" s="19">
        <f t="shared" ref="K494:K514" si="171">CO2_severewasting_charfact*C494</f>
        <v>1.0549331713244229E-5</v>
      </c>
      <c r="L494" s="19">
        <f t="shared" ref="L494:L514" si="172">CO2_workingcapacity_charfact*C494</f>
        <v>6.6008675577156756E-3</v>
      </c>
      <c r="M494" s="19">
        <f t="shared" ref="M494:M514" si="173">CO2_diarrhea_charfact*C494</f>
        <v>2.2605710814094776E-7</v>
      </c>
      <c r="N494" s="19">
        <f t="shared" si="157"/>
        <v>1.8728799615228837E-2</v>
      </c>
      <c r="O494" s="19">
        <v>209.36</v>
      </c>
      <c r="P494" s="19">
        <f t="shared" ref="P494:P514" si="174">CO2_meat_charfact*C494</f>
        <v>1.2489655224787364E-3</v>
      </c>
      <c r="Q494" s="19">
        <f t="shared" ref="Q494:Q514" si="175">CO2_fish_charfact*C494</f>
        <v>7.6859416767922247E-5</v>
      </c>
      <c r="R494" s="19">
        <f t="shared" ref="R494:R514" si="176">CO2_drinkingwater_charfact*C494</f>
        <v>0.23735996354799516</v>
      </c>
      <c r="S494" s="19">
        <f t="shared" ref="S494:S514" si="177">CO2_NEX_charfact*C494</f>
        <v>2.0093965168084248E-16</v>
      </c>
      <c r="T494" s="83">
        <f t="shared" ref="T494:T514" si="178">(G494+H494)*YLLvalue+I494*skincancervalue+J494*Lowvisionvalue+K494*severe_wasting_value+L494*working_capacity+M494*diarrhea_value+N494*cropvalue+O494*woodvalue+P494*meatvalue+Q494*fishvalue+R494*drinkingwatervalue+S494*speciesvalue</f>
        <v>48.571560795348198</v>
      </c>
    </row>
    <row r="495" spans="1:20">
      <c r="A495" s="9" t="s">
        <v>1446</v>
      </c>
      <c r="B495" s="9" t="s">
        <v>11</v>
      </c>
      <c r="C495">
        <v>7.0000000000000001E-3</v>
      </c>
      <c r="D495">
        <v>1.2</v>
      </c>
      <c r="E495">
        <v>0</v>
      </c>
      <c r="F495">
        <v>1</v>
      </c>
      <c r="G495" s="1">
        <f t="shared" si="167"/>
        <v>0</v>
      </c>
      <c r="H495" s="19">
        <f t="shared" si="170"/>
        <v>-1.0582715674362088E-9</v>
      </c>
      <c r="I495" s="1">
        <f t="shared" si="168"/>
        <v>0</v>
      </c>
      <c r="J495" s="1">
        <f t="shared" si="169"/>
        <v>0</v>
      </c>
      <c r="K495" s="19">
        <f t="shared" si="171"/>
        <v>4.6737545565006077E-8</v>
      </c>
      <c r="L495" s="19">
        <f t="shared" si="172"/>
        <v>2.9244349939246661E-5</v>
      </c>
      <c r="M495" s="19">
        <f t="shared" si="173"/>
        <v>1.0015188335358446E-9</v>
      </c>
      <c r="N495" s="19">
        <f t="shared" si="157"/>
        <v>1.8728799615228837E-2</v>
      </c>
      <c r="O495" s="19">
        <v>210.36</v>
      </c>
      <c r="P495" s="19">
        <f t="shared" si="174"/>
        <v>5.5333915552855409E-6</v>
      </c>
      <c r="Q495" s="19">
        <f t="shared" si="175"/>
        <v>3.4051640340218713E-7</v>
      </c>
      <c r="R495" s="19">
        <f t="shared" si="176"/>
        <v>1.0515947752126368E-3</v>
      </c>
      <c r="S495" s="19">
        <f t="shared" si="177"/>
        <v>8.9023896314297302E-19</v>
      </c>
      <c r="T495" s="83">
        <f t="shared" si="178"/>
        <v>48.392635681984565</v>
      </c>
    </row>
    <row r="496" spans="1:20">
      <c r="A496" s="9" t="s">
        <v>1447</v>
      </c>
      <c r="B496" s="9" t="s">
        <v>11</v>
      </c>
      <c r="C496">
        <v>82.3</v>
      </c>
      <c r="D496">
        <v>1.5</v>
      </c>
      <c r="E496">
        <v>0</v>
      </c>
      <c r="F496">
        <v>1</v>
      </c>
      <c r="G496" s="1">
        <f t="shared" si="167"/>
        <v>0</v>
      </c>
      <c r="H496" s="19">
        <f t="shared" si="170"/>
        <v>-1.2442249999999996E-5</v>
      </c>
      <c r="I496" s="1">
        <f t="shared" si="168"/>
        <v>0</v>
      </c>
      <c r="J496" s="1">
        <f t="shared" si="169"/>
        <v>0</v>
      </c>
      <c r="K496" s="19">
        <f t="shared" si="171"/>
        <v>5.4949999999999997E-4</v>
      </c>
      <c r="L496" s="19">
        <f t="shared" si="172"/>
        <v>0.34383000000000002</v>
      </c>
      <c r="M496" s="19">
        <f t="shared" si="173"/>
        <v>1.1775E-5</v>
      </c>
      <c r="N496" s="19">
        <f t="shared" si="157"/>
        <v>1.8728799615228837E-2</v>
      </c>
      <c r="O496" s="19">
        <v>211.36</v>
      </c>
      <c r="P496" s="19">
        <f t="shared" si="174"/>
        <v>6.5056875E-2</v>
      </c>
      <c r="Q496" s="19">
        <f t="shared" si="175"/>
        <v>4.0035000000000001E-3</v>
      </c>
      <c r="R496" s="19">
        <f t="shared" si="176"/>
        <v>12.363750000000001</v>
      </c>
      <c r="S496" s="19">
        <f t="shared" si="177"/>
        <v>1.0466666666666667E-14</v>
      </c>
      <c r="T496" s="83">
        <f t="shared" si="178"/>
        <v>70.015944235089492</v>
      </c>
    </row>
    <row r="497" spans="1:20">
      <c r="A497" s="9" t="s">
        <v>1448</v>
      </c>
      <c r="B497" s="9" t="s">
        <v>11</v>
      </c>
      <c r="C497">
        <v>36.5</v>
      </c>
      <c r="D497">
        <v>1.2</v>
      </c>
      <c r="E497">
        <v>0</v>
      </c>
      <c r="F497">
        <v>1</v>
      </c>
      <c r="G497" s="1">
        <f t="shared" si="167"/>
        <v>0</v>
      </c>
      <c r="H497" s="19">
        <f t="shared" si="170"/>
        <v>-5.5181303159173736E-6</v>
      </c>
      <c r="I497" s="1">
        <f t="shared" si="168"/>
        <v>0</v>
      </c>
      <c r="J497" s="1">
        <f t="shared" si="169"/>
        <v>0</v>
      </c>
      <c r="K497" s="19">
        <f t="shared" si="171"/>
        <v>2.4370291616038884E-4</v>
      </c>
      <c r="L497" s="19">
        <f t="shared" si="172"/>
        <v>0.15248839611178616</v>
      </c>
      <c r="M497" s="19">
        <f t="shared" si="173"/>
        <v>5.2222053462940461E-6</v>
      </c>
      <c r="N497" s="19">
        <f t="shared" si="157"/>
        <v>1.8728799615228837E-2</v>
      </c>
      <c r="O497" s="19">
        <v>212.36</v>
      </c>
      <c r="P497" s="19">
        <f t="shared" si="174"/>
        <v>2.8852684538274605E-2</v>
      </c>
      <c r="Q497" s="19">
        <f t="shared" si="175"/>
        <v>1.7755498177399757E-3</v>
      </c>
      <c r="R497" s="19">
        <f t="shared" si="176"/>
        <v>5.4833156136087489</v>
      </c>
      <c r="S497" s="19">
        <f t="shared" si="177"/>
        <v>4.6419603078169301E-15</v>
      </c>
      <c r="T497" s="83">
        <f t="shared" si="178"/>
        <v>58.339542332956789</v>
      </c>
    </row>
    <row r="498" spans="1:20">
      <c r="A498" s="9" t="s">
        <v>1449</v>
      </c>
      <c r="B498" s="9" t="s">
        <v>11</v>
      </c>
      <c r="C498">
        <v>1260</v>
      </c>
      <c r="D498">
        <v>1.2</v>
      </c>
      <c r="E498">
        <v>0</v>
      </c>
      <c r="F498">
        <v>1</v>
      </c>
      <c r="G498" s="1">
        <f t="shared" si="167"/>
        <v>0</v>
      </c>
      <c r="H498" s="19">
        <f t="shared" si="170"/>
        <v>-1.9048888213851756E-4</v>
      </c>
      <c r="I498" s="1">
        <f t="shared" si="168"/>
        <v>0</v>
      </c>
      <c r="J498" s="1">
        <f t="shared" si="169"/>
        <v>0</v>
      </c>
      <c r="K498" s="19">
        <f t="shared" si="171"/>
        <v>8.4127582017010944E-3</v>
      </c>
      <c r="L498" s="19">
        <f t="shared" si="172"/>
        <v>5.2639829890643988</v>
      </c>
      <c r="M498" s="19">
        <f t="shared" si="173"/>
        <v>1.80273390036452E-4</v>
      </c>
      <c r="N498" s="19">
        <f t="shared" si="157"/>
        <v>1.8728799615228837E-2</v>
      </c>
      <c r="O498" s="19">
        <v>213.36</v>
      </c>
      <c r="P498" s="19">
        <f t="shared" si="174"/>
        <v>0.99601047995139735</v>
      </c>
      <c r="Q498" s="19">
        <f t="shared" si="175"/>
        <v>6.1292952612393682E-2</v>
      </c>
      <c r="R498" s="19">
        <f t="shared" si="176"/>
        <v>189.28705953827463</v>
      </c>
      <c r="S498" s="19">
        <f t="shared" si="177"/>
        <v>1.6024301336573511E-13</v>
      </c>
      <c r="T498" s="83">
        <f t="shared" si="178"/>
        <v>376.63685078840132</v>
      </c>
    </row>
    <row r="499" spans="1:20">
      <c r="A499" s="9" t="s">
        <v>1450</v>
      </c>
      <c r="B499" s="9" t="s">
        <v>11</v>
      </c>
      <c r="C499">
        <v>26.4</v>
      </c>
      <c r="D499">
        <v>1.2</v>
      </c>
      <c r="E499">
        <v>0</v>
      </c>
      <c r="F499">
        <v>1</v>
      </c>
      <c r="G499" s="1">
        <f t="shared" si="167"/>
        <v>0</v>
      </c>
      <c r="H499" s="19">
        <f t="shared" si="170"/>
        <v>-3.9911956257594156E-6</v>
      </c>
      <c r="I499" s="1">
        <f t="shared" si="168"/>
        <v>0</v>
      </c>
      <c r="J499" s="1">
        <f t="shared" si="169"/>
        <v>0</v>
      </c>
      <c r="K499" s="19">
        <f t="shared" si="171"/>
        <v>1.7626731470230862E-4</v>
      </c>
      <c r="L499" s="19">
        <f t="shared" si="172"/>
        <v>0.11029297691373026</v>
      </c>
      <c r="M499" s="19">
        <f t="shared" si="173"/>
        <v>3.7771567436208988E-6</v>
      </c>
      <c r="N499" s="19">
        <f t="shared" si="157"/>
        <v>1.8728799615228837E-2</v>
      </c>
      <c r="O499" s="19">
        <v>214.36</v>
      </c>
      <c r="P499" s="19">
        <f t="shared" si="174"/>
        <v>2.0868791008505465E-2</v>
      </c>
      <c r="Q499" s="19">
        <f t="shared" si="175"/>
        <v>1.2842332928311056E-3</v>
      </c>
      <c r="R499" s="19">
        <f t="shared" si="176"/>
        <v>3.9660145808019442</v>
      </c>
      <c r="S499" s="19">
        <f t="shared" si="177"/>
        <v>3.357472660996355E-15</v>
      </c>
      <c r="T499" s="83">
        <f t="shared" si="178"/>
        <v>56.173894751918795</v>
      </c>
    </row>
    <row r="500" spans="1:20">
      <c r="A500" s="9" t="s">
        <v>1451</v>
      </c>
      <c r="B500" s="9" t="s">
        <v>11</v>
      </c>
      <c r="C500">
        <v>6630</v>
      </c>
      <c r="D500">
        <v>1.2</v>
      </c>
      <c r="E500">
        <v>0</v>
      </c>
      <c r="F500">
        <v>1</v>
      </c>
      <c r="G500" s="1">
        <f t="shared" si="167"/>
        <v>0</v>
      </c>
      <c r="H500" s="19">
        <f t="shared" si="170"/>
        <v>-1.0023343560145806E-3</v>
      </c>
      <c r="I500" s="1">
        <f t="shared" si="168"/>
        <v>0</v>
      </c>
      <c r="J500" s="1">
        <f t="shared" si="169"/>
        <v>0</v>
      </c>
      <c r="K500" s="19">
        <f t="shared" si="171"/>
        <v>4.4267132442284328E-2</v>
      </c>
      <c r="L500" s="19">
        <f t="shared" si="172"/>
        <v>27.698577156743625</v>
      </c>
      <c r="M500" s="19">
        <f t="shared" si="173"/>
        <v>9.4858140947752122E-4</v>
      </c>
      <c r="N500" s="19">
        <f t="shared" si="157"/>
        <v>1.8728799615228837E-2</v>
      </c>
      <c r="O500" s="19">
        <v>215.36</v>
      </c>
      <c r="P500" s="19">
        <f t="shared" si="174"/>
        <v>5.2409122873633045</v>
      </c>
      <c r="Q500" s="19">
        <f t="shared" si="175"/>
        <v>0.32251767922235725</v>
      </c>
      <c r="R500" s="19">
        <f t="shared" si="176"/>
        <v>996.01047995139743</v>
      </c>
      <c r="S500" s="19">
        <f t="shared" si="177"/>
        <v>8.4318347509113005E-13</v>
      </c>
      <c r="T500" s="83">
        <f t="shared" si="178"/>
        <v>1773.1094755581087</v>
      </c>
    </row>
    <row r="501" spans="1:20">
      <c r="A501" s="9" t="s">
        <v>1452</v>
      </c>
      <c r="B501" s="9" t="s">
        <v>11</v>
      </c>
      <c r="C501">
        <v>14.4</v>
      </c>
      <c r="D501">
        <v>1.2</v>
      </c>
      <c r="E501">
        <v>0</v>
      </c>
      <c r="F501">
        <v>1</v>
      </c>
      <c r="G501" s="1">
        <f t="shared" si="167"/>
        <v>0</v>
      </c>
      <c r="H501" s="19">
        <f t="shared" si="170"/>
        <v>-2.1770157958687724E-6</v>
      </c>
      <c r="I501" s="1">
        <f t="shared" si="168"/>
        <v>0</v>
      </c>
      <c r="J501" s="1">
        <f t="shared" si="169"/>
        <v>0</v>
      </c>
      <c r="K501" s="19">
        <f t="shared" si="171"/>
        <v>9.6145808019441079E-5</v>
      </c>
      <c r="L501" s="19">
        <f t="shared" si="172"/>
        <v>6.0159805589307419E-2</v>
      </c>
      <c r="M501" s="19">
        <f t="shared" si="173"/>
        <v>2.0602673147023087E-6</v>
      </c>
      <c r="N501" s="19">
        <f t="shared" si="157"/>
        <v>1.8728799615228837E-2</v>
      </c>
      <c r="O501" s="19">
        <v>216.36</v>
      </c>
      <c r="P501" s="19">
        <f t="shared" si="174"/>
        <v>1.1382976913730256E-2</v>
      </c>
      <c r="Q501" s="19">
        <f t="shared" si="175"/>
        <v>7.0049088699878498E-4</v>
      </c>
      <c r="R501" s="19">
        <f t="shared" si="176"/>
        <v>2.1632806804374245</v>
      </c>
      <c r="S501" s="19">
        <f t="shared" si="177"/>
        <v>1.8313487241798299E-15</v>
      </c>
      <c r="T501" s="83">
        <f t="shared" si="178"/>
        <v>53.514313467517219</v>
      </c>
    </row>
    <row r="502" spans="1:20">
      <c r="A502" s="9" t="s">
        <v>1453</v>
      </c>
      <c r="B502" s="9" t="s">
        <v>11</v>
      </c>
      <c r="C502">
        <v>30.5</v>
      </c>
      <c r="D502">
        <v>1.2</v>
      </c>
      <c r="E502">
        <v>0</v>
      </c>
      <c r="F502">
        <v>1</v>
      </c>
      <c r="G502" s="1">
        <f t="shared" si="167"/>
        <v>0</v>
      </c>
      <c r="H502" s="19">
        <f t="shared" si="170"/>
        <v>-4.611040400972052E-6</v>
      </c>
      <c r="I502" s="1">
        <f t="shared" si="168"/>
        <v>0</v>
      </c>
      <c r="J502" s="1">
        <f t="shared" si="169"/>
        <v>0</v>
      </c>
      <c r="K502" s="19">
        <f t="shared" si="171"/>
        <v>2.0364216281895504E-4</v>
      </c>
      <c r="L502" s="19">
        <f t="shared" si="172"/>
        <v>0.12742181044957474</v>
      </c>
      <c r="M502" s="19">
        <f t="shared" si="173"/>
        <v>4.3637606318347506E-6</v>
      </c>
      <c r="N502" s="19">
        <f t="shared" si="157"/>
        <v>1.8728799615228837E-2</v>
      </c>
      <c r="O502" s="19">
        <v>217.36</v>
      </c>
      <c r="P502" s="19">
        <f t="shared" si="174"/>
        <v>2.4109777490886997E-2</v>
      </c>
      <c r="Q502" s="19">
        <f t="shared" si="175"/>
        <v>1.4836786148238153E-3</v>
      </c>
      <c r="R502" s="19">
        <f t="shared" si="176"/>
        <v>4.5819486634264885</v>
      </c>
      <c r="S502" s="19">
        <f t="shared" si="177"/>
        <v>3.8788983394086678E-15</v>
      </c>
      <c r="T502" s="83">
        <f t="shared" si="178"/>
        <v>57.929751690756</v>
      </c>
    </row>
    <row r="503" spans="1:20">
      <c r="A503" s="9" t="s">
        <v>1454</v>
      </c>
      <c r="B503" s="9" t="s">
        <v>11</v>
      </c>
      <c r="C503">
        <v>1.68</v>
      </c>
      <c r="D503">
        <v>1.2</v>
      </c>
      <c r="E503">
        <v>0</v>
      </c>
      <c r="F503">
        <v>1</v>
      </c>
      <c r="G503" s="1">
        <f t="shared" si="167"/>
        <v>0</v>
      </c>
      <c r="H503" s="19">
        <f t="shared" si="170"/>
        <v>-2.5398517618469007E-7</v>
      </c>
      <c r="I503" s="1">
        <f t="shared" si="168"/>
        <v>0</v>
      </c>
      <c r="J503" s="1">
        <f t="shared" si="169"/>
        <v>0</v>
      </c>
      <c r="K503" s="19">
        <f t="shared" si="171"/>
        <v>1.1217010935601458E-5</v>
      </c>
      <c r="L503" s="19">
        <f t="shared" si="172"/>
        <v>7.0186439854191983E-3</v>
      </c>
      <c r="M503" s="19">
        <f t="shared" si="173"/>
        <v>2.4036452004860265E-7</v>
      </c>
      <c r="N503" s="19">
        <f t="shared" si="157"/>
        <v>1.8728799615228837E-2</v>
      </c>
      <c r="O503" s="19">
        <v>218.36</v>
      </c>
      <c r="P503" s="19">
        <f t="shared" si="174"/>
        <v>1.3280139732685296E-3</v>
      </c>
      <c r="Q503" s="19">
        <f t="shared" si="175"/>
        <v>8.1723936816524911E-5</v>
      </c>
      <c r="R503" s="19">
        <f t="shared" si="176"/>
        <v>0.25238274605103284</v>
      </c>
      <c r="S503" s="19">
        <f t="shared" si="177"/>
        <v>2.136573511543135E-16</v>
      </c>
      <c r="T503" s="83">
        <f t="shared" si="178"/>
        <v>50.667557306051542</v>
      </c>
    </row>
    <row r="504" spans="1:20">
      <c r="A504" s="9" t="s">
        <v>1455</v>
      </c>
      <c r="B504" s="9" t="s">
        <v>11</v>
      </c>
      <c r="C504">
        <v>0.114</v>
      </c>
      <c r="D504">
        <v>1.2</v>
      </c>
      <c r="E504">
        <v>0</v>
      </c>
      <c r="F504">
        <v>1</v>
      </c>
      <c r="G504" s="1">
        <f t="shared" si="167"/>
        <v>0</v>
      </c>
      <c r="H504" s="19">
        <f t="shared" si="170"/>
        <v>-1.7234708383961112E-8</v>
      </c>
      <c r="I504" s="1">
        <f t="shared" si="168"/>
        <v>0</v>
      </c>
      <c r="J504" s="1">
        <f t="shared" si="169"/>
        <v>0</v>
      </c>
      <c r="K504" s="19">
        <f t="shared" si="171"/>
        <v>7.6115431348724182E-7</v>
      </c>
      <c r="L504" s="19">
        <f t="shared" si="172"/>
        <v>4.7626512758201708E-4</v>
      </c>
      <c r="M504" s="19">
        <f t="shared" si="173"/>
        <v>1.6310449574726611E-8</v>
      </c>
      <c r="N504" s="19">
        <f t="shared" si="157"/>
        <v>1.8728799615228837E-2</v>
      </c>
      <c r="O504" s="19">
        <v>219.36</v>
      </c>
      <c r="P504" s="19">
        <f t="shared" si="174"/>
        <v>9.0115233900364518E-5</v>
      </c>
      <c r="Q504" s="19">
        <f t="shared" si="175"/>
        <v>5.5455528554070473E-6</v>
      </c>
      <c r="R504" s="19">
        <f t="shared" si="176"/>
        <v>1.7125972053462942E-2</v>
      </c>
      <c r="S504" s="19">
        <f t="shared" si="177"/>
        <v>1.4498177399756989E-17</v>
      </c>
      <c r="T504" s="83">
        <f t="shared" si="178"/>
        <v>50.490451948437141</v>
      </c>
    </row>
    <row r="505" spans="1:20">
      <c r="A505" t="s">
        <v>1456</v>
      </c>
      <c r="B505" s="9" t="s">
        <v>11</v>
      </c>
      <c r="C505">
        <v>2.5000000000000001E-2</v>
      </c>
      <c r="D505">
        <v>1.2</v>
      </c>
      <c r="E505">
        <v>0</v>
      </c>
      <c r="F505">
        <v>1</v>
      </c>
      <c r="G505" s="1">
        <f t="shared" si="167"/>
        <v>0</v>
      </c>
      <c r="H505" s="19">
        <f t="shared" si="170"/>
        <v>-3.7795413122721739E-9</v>
      </c>
      <c r="I505" s="1">
        <f t="shared" si="168"/>
        <v>0</v>
      </c>
      <c r="J505" s="1">
        <f t="shared" si="169"/>
        <v>0</v>
      </c>
      <c r="K505" s="19">
        <f t="shared" si="171"/>
        <v>1.6691980558930742E-7</v>
      </c>
      <c r="L505" s="19">
        <f t="shared" si="172"/>
        <v>1.0444410692588094E-4</v>
      </c>
      <c r="M505" s="19">
        <f t="shared" si="173"/>
        <v>3.5768529769137306E-9</v>
      </c>
      <c r="N505" s="19">
        <f t="shared" si="157"/>
        <v>1.8728799615228837E-2</v>
      </c>
      <c r="O505" s="19">
        <v>220.36</v>
      </c>
      <c r="P505" s="19">
        <f t="shared" si="174"/>
        <v>1.976211269744836E-5</v>
      </c>
      <c r="Q505" s="19">
        <f t="shared" si="175"/>
        <v>1.2161300121506684E-6</v>
      </c>
      <c r="R505" s="19">
        <f t="shared" si="176"/>
        <v>3.7556956257594172E-3</v>
      </c>
      <c r="S505" s="19">
        <f t="shared" si="177"/>
        <v>3.1794248683677608E-18</v>
      </c>
      <c r="T505" s="83">
        <f t="shared" si="178"/>
        <v>50.697315053911161</v>
      </c>
    </row>
    <row r="506" spans="1:20">
      <c r="A506" t="s">
        <v>1457</v>
      </c>
      <c r="B506" s="9" t="s">
        <v>11</v>
      </c>
      <c r="C506">
        <v>0.53</v>
      </c>
      <c r="D506">
        <v>1.2</v>
      </c>
      <c r="E506">
        <v>0</v>
      </c>
      <c r="F506">
        <v>1</v>
      </c>
      <c r="G506" s="1">
        <f t="shared" si="167"/>
        <v>0</v>
      </c>
      <c r="H506" s="19">
        <f t="shared" si="170"/>
        <v>-8.0126275820170082E-8</v>
      </c>
      <c r="I506" s="1">
        <f t="shared" si="168"/>
        <v>0</v>
      </c>
      <c r="J506" s="1">
        <f t="shared" si="169"/>
        <v>0</v>
      </c>
      <c r="K506" s="19">
        <f t="shared" si="171"/>
        <v>3.5386998784933174E-6</v>
      </c>
      <c r="L506" s="19">
        <f t="shared" si="172"/>
        <v>2.2142150668286757E-3</v>
      </c>
      <c r="M506" s="19">
        <f t="shared" si="173"/>
        <v>7.582928311057109E-8</v>
      </c>
      <c r="N506" s="19">
        <f t="shared" si="157"/>
        <v>1.8728799615228837E-2</v>
      </c>
      <c r="O506" s="19">
        <v>221.36</v>
      </c>
      <c r="P506" s="19">
        <f t="shared" si="174"/>
        <v>4.1895678918590522E-4</v>
      </c>
      <c r="Q506" s="19">
        <f t="shared" si="175"/>
        <v>2.5781956257594169E-5</v>
      </c>
      <c r="R506" s="19">
        <f t="shared" si="176"/>
        <v>7.9620747266099648E-2</v>
      </c>
      <c r="S506" s="19">
        <f t="shared" si="177"/>
        <v>6.7403807209396524E-17</v>
      </c>
      <c r="T506" s="83">
        <f t="shared" si="178"/>
        <v>51.058597432963055</v>
      </c>
    </row>
    <row r="507" spans="1:20">
      <c r="A507" t="s">
        <v>1458</v>
      </c>
      <c r="B507" s="9" t="s">
        <v>11</v>
      </c>
      <c r="C507">
        <v>6.18</v>
      </c>
      <c r="D507">
        <v>1.2</v>
      </c>
      <c r="E507">
        <v>0</v>
      </c>
      <c r="F507">
        <v>1</v>
      </c>
      <c r="G507" s="1">
        <f t="shared" si="167"/>
        <v>0</v>
      </c>
      <c r="H507" s="19">
        <f t="shared" si="170"/>
        <v>-9.3430261239368127E-7</v>
      </c>
      <c r="I507" s="1">
        <f t="shared" si="168"/>
        <v>0</v>
      </c>
      <c r="J507" s="1">
        <f t="shared" si="169"/>
        <v>0</v>
      </c>
      <c r="K507" s="19">
        <f t="shared" si="171"/>
        <v>4.1262575941676789E-5</v>
      </c>
      <c r="L507" s="19">
        <f t="shared" si="172"/>
        <v>2.5818583232077766E-2</v>
      </c>
      <c r="M507" s="19">
        <f t="shared" si="173"/>
        <v>8.8419805589307403E-7</v>
      </c>
      <c r="N507" s="19">
        <f t="shared" si="157"/>
        <v>1.8728799615228837E-2</v>
      </c>
      <c r="O507" s="19">
        <v>222.36</v>
      </c>
      <c r="P507" s="19">
        <f t="shared" si="174"/>
        <v>4.8851942588092343E-3</v>
      </c>
      <c r="Q507" s="19">
        <f t="shared" si="175"/>
        <v>3.0062733900364518E-4</v>
      </c>
      <c r="R507" s="19">
        <f t="shared" si="176"/>
        <v>0.92840795868772785</v>
      </c>
      <c r="S507" s="19">
        <f t="shared" si="177"/>
        <v>7.859538274605103E-16</v>
      </c>
      <c r="T507" s="83">
        <f t="shared" si="178"/>
        <v>52.75740028770214</v>
      </c>
    </row>
    <row r="508" spans="1:20">
      <c r="A508" t="s">
        <v>1459</v>
      </c>
      <c r="B508" s="9" t="s">
        <v>11</v>
      </c>
      <c r="C508">
        <v>35.700000000000003</v>
      </c>
      <c r="D508">
        <v>1.2</v>
      </c>
      <c r="E508">
        <v>0</v>
      </c>
      <c r="F508">
        <v>1</v>
      </c>
      <c r="G508" s="1">
        <f t="shared" si="167"/>
        <v>0</v>
      </c>
      <c r="H508" s="19">
        <f t="shared" si="170"/>
        <v>-5.3971849939246642E-6</v>
      </c>
      <c r="I508" s="1">
        <f t="shared" si="168"/>
        <v>0</v>
      </c>
      <c r="J508" s="1">
        <f t="shared" si="169"/>
        <v>0</v>
      </c>
      <c r="K508" s="19">
        <f t="shared" si="171"/>
        <v>2.3836148238153102E-4</v>
      </c>
      <c r="L508" s="19">
        <f t="shared" si="172"/>
        <v>0.14914618469015797</v>
      </c>
      <c r="M508" s="19">
        <f t="shared" si="173"/>
        <v>5.107746051032807E-6</v>
      </c>
      <c r="N508" s="19">
        <f t="shared" si="157"/>
        <v>1.8728799615228837E-2</v>
      </c>
      <c r="O508" s="19">
        <v>223.36</v>
      </c>
      <c r="P508" s="19">
        <f t="shared" si="174"/>
        <v>2.8220296931956258E-2</v>
      </c>
      <c r="Q508" s="19">
        <f t="shared" si="175"/>
        <v>1.7366336573511544E-3</v>
      </c>
      <c r="R508" s="19">
        <f t="shared" si="176"/>
        <v>5.3631333535844483</v>
      </c>
      <c r="S508" s="19">
        <f t="shared" si="177"/>
        <v>4.5402187120291621E-15</v>
      </c>
      <c r="T508" s="83">
        <f t="shared" si="178"/>
        <v>60.661570247330019</v>
      </c>
    </row>
    <row r="509" spans="1:20">
      <c r="A509" t="s">
        <v>1460</v>
      </c>
      <c r="B509" s="9" t="s">
        <v>11</v>
      </c>
      <c r="C509">
        <v>4380</v>
      </c>
      <c r="D509">
        <v>1.2</v>
      </c>
      <c r="E509">
        <v>0</v>
      </c>
      <c r="F509">
        <v>1</v>
      </c>
      <c r="G509" s="1">
        <f t="shared" si="167"/>
        <v>0</v>
      </c>
      <c r="H509" s="19">
        <f t="shared" si="170"/>
        <v>-6.6217563791008487E-4</v>
      </c>
      <c r="I509" s="1">
        <f t="shared" si="168"/>
        <v>0</v>
      </c>
      <c r="J509" s="1">
        <f t="shared" si="169"/>
        <v>0</v>
      </c>
      <c r="K509" s="19">
        <f t="shared" si="171"/>
        <v>2.9244349939246659E-2</v>
      </c>
      <c r="L509" s="19">
        <f t="shared" si="172"/>
        <v>18.298607533414341</v>
      </c>
      <c r="M509" s="19">
        <f t="shared" si="173"/>
        <v>6.2666464155528554E-4</v>
      </c>
      <c r="N509" s="19">
        <f t="shared" si="157"/>
        <v>1.8728799615228837E-2</v>
      </c>
      <c r="O509" s="19">
        <v>224.36</v>
      </c>
      <c r="P509" s="19">
        <f t="shared" si="174"/>
        <v>3.4623221445929526</v>
      </c>
      <c r="Q509" s="19">
        <f t="shared" si="175"/>
        <v>0.2130659781287971</v>
      </c>
      <c r="R509" s="19">
        <f t="shared" si="176"/>
        <v>657.99787363304984</v>
      </c>
      <c r="S509" s="19">
        <f t="shared" si="177"/>
        <v>5.5703523693803164E-13</v>
      </c>
      <c r="T509" s="83">
        <f t="shared" si="178"/>
        <v>1190.2579847328125</v>
      </c>
    </row>
    <row r="510" spans="1:20">
      <c r="A510" t="s">
        <v>1461</v>
      </c>
      <c r="B510" s="9" t="s">
        <v>11</v>
      </c>
      <c r="C510">
        <v>15.1</v>
      </c>
      <c r="D510">
        <v>1.2</v>
      </c>
      <c r="E510">
        <v>0</v>
      </c>
      <c r="F510">
        <v>1</v>
      </c>
      <c r="G510" s="1">
        <f t="shared" si="167"/>
        <v>0</v>
      </c>
      <c r="H510" s="19">
        <f t="shared" si="170"/>
        <v>-2.2828429526123929E-6</v>
      </c>
      <c r="I510" s="1">
        <f t="shared" si="168"/>
        <v>0</v>
      </c>
      <c r="J510" s="1">
        <f t="shared" si="169"/>
        <v>0</v>
      </c>
      <c r="K510" s="19">
        <f t="shared" si="171"/>
        <v>1.0081956257594168E-4</v>
      </c>
      <c r="L510" s="19">
        <f t="shared" si="172"/>
        <v>6.3084240583232087E-2</v>
      </c>
      <c r="M510" s="19">
        <f t="shared" si="173"/>
        <v>2.1604191980558928E-6</v>
      </c>
      <c r="N510" s="19">
        <f t="shared" si="157"/>
        <v>1.8728799615228837E-2</v>
      </c>
      <c r="O510" s="19">
        <v>225.36</v>
      </c>
      <c r="P510" s="19">
        <f t="shared" si="174"/>
        <v>1.1936316069258809E-2</v>
      </c>
      <c r="Q510" s="19">
        <f t="shared" si="175"/>
        <v>7.3454252733900366E-4</v>
      </c>
      <c r="R510" s="19">
        <f t="shared" si="176"/>
        <v>2.2684401579586879</v>
      </c>
      <c r="S510" s="19">
        <f t="shared" si="177"/>
        <v>1.9203726204941271E-15</v>
      </c>
      <c r="T510" s="83">
        <f t="shared" si="178"/>
        <v>55.76628904244064</v>
      </c>
    </row>
    <row r="511" spans="1:20">
      <c r="A511" t="s">
        <v>1462</v>
      </c>
      <c r="B511" s="9" t="s">
        <v>11</v>
      </c>
      <c r="C511">
        <v>3</v>
      </c>
      <c r="D511">
        <v>1.2</v>
      </c>
      <c r="E511">
        <v>0</v>
      </c>
      <c r="F511">
        <v>1</v>
      </c>
      <c r="G511" s="1">
        <f t="shared" si="167"/>
        <v>0</v>
      </c>
      <c r="H511" s="19">
        <f t="shared" si="170"/>
        <v>-4.5354495747266085E-7</v>
      </c>
      <c r="I511" s="1">
        <f t="shared" si="168"/>
        <v>0</v>
      </c>
      <c r="J511" s="1">
        <f t="shared" si="169"/>
        <v>0</v>
      </c>
      <c r="K511" s="19">
        <f t="shared" si="171"/>
        <v>2.0030376670716891E-5</v>
      </c>
      <c r="L511" s="19">
        <f t="shared" si="172"/>
        <v>1.2533292831105712E-2</v>
      </c>
      <c r="M511" s="19">
        <f t="shared" si="173"/>
        <v>4.2922235722964763E-7</v>
      </c>
      <c r="N511" s="19">
        <f>CO2_crop_charfact</f>
        <v>1.8728799615228837E-2</v>
      </c>
      <c r="O511" s="19">
        <v>226.36</v>
      </c>
      <c r="P511" s="19">
        <f t="shared" si="174"/>
        <v>2.3714535236938031E-3</v>
      </c>
      <c r="Q511" s="19">
        <f t="shared" si="175"/>
        <v>1.459356014580802E-4</v>
      </c>
      <c r="R511" s="19">
        <f t="shared" si="176"/>
        <v>0.45068347509113005</v>
      </c>
      <c r="S511" s="19">
        <f t="shared" si="177"/>
        <v>3.8153098420413128E-16</v>
      </c>
      <c r="T511" s="83">
        <f t="shared" si="178"/>
        <v>52.850711247335717</v>
      </c>
    </row>
    <row r="512" spans="1:20">
      <c r="A512" s="9" t="s">
        <v>1463</v>
      </c>
      <c r="B512" s="9" t="s">
        <v>11</v>
      </c>
      <c r="C512">
        <v>9.5000000000000001E-2</v>
      </c>
      <c r="D512">
        <v>1.2</v>
      </c>
      <c r="E512">
        <v>0</v>
      </c>
      <c r="F512">
        <v>1</v>
      </c>
      <c r="G512" s="1">
        <f t="shared" si="167"/>
        <v>0</v>
      </c>
      <c r="H512" s="19">
        <f t="shared" si="170"/>
        <v>-1.4362256986634261E-8</v>
      </c>
      <c r="I512" s="1">
        <f t="shared" si="168"/>
        <v>0</v>
      </c>
      <c r="J512" s="1">
        <f t="shared" si="169"/>
        <v>0</v>
      </c>
      <c r="K512" s="19">
        <f t="shared" si="171"/>
        <v>6.342952612393682E-7</v>
      </c>
      <c r="L512" s="19">
        <f t="shared" si="172"/>
        <v>3.9688760631834754E-4</v>
      </c>
      <c r="M512" s="19">
        <f t="shared" si="173"/>
        <v>1.3592041312272176E-8</v>
      </c>
      <c r="N512" s="19">
        <f>CO2_crop_charfact</f>
        <v>1.8728799615228837E-2</v>
      </c>
      <c r="O512" s="19">
        <v>227.36</v>
      </c>
      <c r="P512" s="19">
        <f t="shared" si="174"/>
        <v>7.5096028250303763E-5</v>
      </c>
      <c r="Q512" s="19">
        <f t="shared" si="175"/>
        <v>4.6212940461725397E-6</v>
      </c>
      <c r="R512" s="19">
        <f t="shared" si="176"/>
        <v>1.4271643377885786E-2</v>
      </c>
      <c r="S512" s="19">
        <f t="shared" si="177"/>
        <v>1.2081814499797491E-17</v>
      </c>
      <c r="T512" s="83">
        <f t="shared" si="178"/>
        <v>52.325512611403504</v>
      </c>
    </row>
    <row r="513" spans="1:20">
      <c r="A513" t="s">
        <v>1464</v>
      </c>
      <c r="B513" s="9" t="s">
        <v>11</v>
      </c>
      <c r="C513">
        <v>0</v>
      </c>
      <c r="D513">
        <v>1.2</v>
      </c>
      <c r="E513">
        <v>0.18</v>
      </c>
      <c r="F513">
        <v>2</v>
      </c>
      <c r="G513" s="1">
        <f t="shared" si="167"/>
        <v>3.222E-5</v>
      </c>
      <c r="H513" s="19">
        <f t="shared" si="170"/>
        <v>0</v>
      </c>
      <c r="I513" s="1">
        <f t="shared" si="168"/>
        <v>2.3939999999999999E-7</v>
      </c>
      <c r="J513" s="1">
        <f t="shared" si="169"/>
        <v>4.7880000000000002E-5</v>
      </c>
      <c r="K513" s="19">
        <f t="shared" si="171"/>
        <v>0</v>
      </c>
      <c r="L513" s="19">
        <f t="shared" si="172"/>
        <v>0</v>
      </c>
      <c r="M513" s="19">
        <f t="shared" si="173"/>
        <v>0</v>
      </c>
      <c r="N513" s="19">
        <f>CO2_crop_charfact</f>
        <v>1.8728799615228837E-2</v>
      </c>
      <c r="O513" s="19">
        <v>228.36</v>
      </c>
      <c r="P513" s="19">
        <f t="shared" si="174"/>
        <v>0</v>
      </c>
      <c r="Q513" s="19">
        <f t="shared" si="175"/>
        <v>0</v>
      </c>
      <c r="R513" s="19">
        <f t="shared" si="176"/>
        <v>0</v>
      </c>
      <c r="S513" s="19">
        <f t="shared" si="177"/>
        <v>0</v>
      </c>
      <c r="T513" s="83">
        <f t="shared" si="178"/>
        <v>55.866302632235325</v>
      </c>
    </row>
    <row r="514" spans="1:20">
      <c r="A514" t="s">
        <v>1465</v>
      </c>
      <c r="B514" s="9" t="s">
        <v>11</v>
      </c>
      <c r="C514">
        <v>13900</v>
      </c>
      <c r="D514">
        <v>1.2</v>
      </c>
      <c r="E514">
        <v>0</v>
      </c>
      <c r="F514">
        <v>1</v>
      </c>
      <c r="G514" s="1">
        <f t="shared" si="167"/>
        <v>0</v>
      </c>
      <c r="H514" s="19">
        <f t="shared" si="170"/>
        <v>-2.1014249696233284E-3</v>
      </c>
      <c r="I514" s="1">
        <f t="shared" si="168"/>
        <v>0</v>
      </c>
      <c r="J514" s="1">
        <f t="shared" si="169"/>
        <v>0</v>
      </c>
      <c r="K514" s="19">
        <f t="shared" si="171"/>
        <v>9.2807411907654916E-2</v>
      </c>
      <c r="L514" s="19">
        <f t="shared" si="172"/>
        <v>58.070923450789799</v>
      </c>
      <c r="M514" s="19">
        <f t="shared" si="173"/>
        <v>1.9887302551640342E-3</v>
      </c>
      <c r="N514" s="19">
        <f>CO2_crop_charfact</f>
        <v>1.8728799615228837E-2</v>
      </c>
      <c r="O514" s="19">
        <v>230.36</v>
      </c>
      <c r="P514" s="19">
        <f t="shared" si="174"/>
        <v>10.987734659781287</v>
      </c>
      <c r="Q514" s="19">
        <f t="shared" si="175"/>
        <v>0.67616828675577156</v>
      </c>
      <c r="R514" s="19">
        <f t="shared" si="176"/>
        <v>2088.166767922236</v>
      </c>
      <c r="S514" s="19">
        <f t="shared" si="177"/>
        <v>1.7677602268124748E-12</v>
      </c>
      <c r="T514" s="83">
        <f t="shared" si="178"/>
        <v>3666.5058036913997</v>
      </c>
    </row>
  </sheetData>
  <sheetProtection algorithmName="SHA-512" hashValue="Rl1eMWXE1Ahvdd1wYs5kBH+Ua0EN7YHs/4Z192X1sNgfQ73qS0cJjHoHnJ0wjSEwoRfMc1QCNZDcaZ6SKwbm9A==" saltValue="oAywUR160YRkqXjeTwc0CA==" spinCount="100000" sheet="1" objects="1" scenarios="1"/>
  <autoFilter ref="A1:T342" xr:uid="{00000000-0009-0000-0000-000009000000}"/>
  <phoneticPr fontId="0" type="noConversion"/>
  <pageMargins left="0.75" right="0.75" top="1" bottom="1" header="0.5" footer="0.5"/>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L73"/>
  <sheetViews>
    <sheetView topLeftCell="A55" zoomScale="101" zoomScaleNormal="72" workbookViewId="0">
      <selection activeCell="L71" sqref="L71"/>
    </sheetView>
  </sheetViews>
  <sheetFormatPr baseColWidth="10" defaultColWidth="8.83203125" defaultRowHeight="13"/>
  <cols>
    <col min="1" max="1" width="11.6640625" bestFit="1" customWidth="1"/>
    <col min="2" max="2" width="7.83203125" bestFit="1" customWidth="1"/>
    <col min="3" max="3" width="14.5" customWidth="1"/>
    <col min="4" max="4" width="12.6640625" customWidth="1"/>
    <col min="5" max="5" width="17.6640625" customWidth="1"/>
    <col min="6" max="6" width="10.83203125" customWidth="1"/>
    <col min="7" max="7" width="11.5" customWidth="1"/>
    <col min="8" max="8" width="12.6640625" customWidth="1"/>
    <col min="9" max="9" width="11.6640625" customWidth="1"/>
    <col min="10" max="10" width="15" customWidth="1"/>
    <col min="11" max="11" width="15.6640625" customWidth="1"/>
    <col min="12" max="12" width="12.83203125" customWidth="1"/>
  </cols>
  <sheetData>
    <row r="1" spans="1:12" s="2" customFormat="1" ht="53.5" customHeight="1">
      <c r="A1" s="4" t="s">
        <v>1466</v>
      </c>
      <c r="B1" s="4" t="s">
        <v>158</v>
      </c>
      <c r="C1" s="4" t="s">
        <v>1467</v>
      </c>
      <c r="D1" s="2" t="s">
        <v>252</v>
      </c>
      <c r="E1" s="2" t="s">
        <v>161</v>
      </c>
      <c r="F1" s="4" t="s">
        <v>1468</v>
      </c>
      <c r="G1" s="4" t="s">
        <v>1469</v>
      </c>
      <c r="H1" s="4" t="s">
        <v>1470</v>
      </c>
      <c r="I1" s="4" t="s">
        <v>255</v>
      </c>
      <c r="J1" s="4" t="s">
        <v>256</v>
      </c>
      <c r="K1" s="4" t="s">
        <v>1471</v>
      </c>
      <c r="L1" s="4" t="s">
        <v>1770</v>
      </c>
    </row>
    <row r="4" spans="1:12">
      <c r="A4" t="s">
        <v>1472</v>
      </c>
      <c r="B4" t="s">
        <v>11</v>
      </c>
      <c r="C4" t="s">
        <v>267</v>
      </c>
      <c r="D4" s="9" t="s">
        <v>139</v>
      </c>
      <c r="E4" s="9" t="s">
        <v>294</v>
      </c>
      <c r="F4" s="1">
        <v>232000000</v>
      </c>
      <c r="G4">
        <v>2</v>
      </c>
      <c r="H4" s="1">
        <v>6.6699999999999996E-12</v>
      </c>
      <c r="I4">
        <v>2</v>
      </c>
      <c r="J4" s="19">
        <f>F4*H4</f>
        <v>1.54744E-3</v>
      </c>
      <c r="L4" s="19">
        <f>J4*YLLvalue</f>
        <v>141.436016</v>
      </c>
    </row>
    <row r="5" spans="1:12">
      <c r="A5" t="s">
        <v>1472</v>
      </c>
      <c r="B5" t="s">
        <v>11</v>
      </c>
      <c r="C5" t="s">
        <v>257</v>
      </c>
      <c r="D5" s="9" t="s">
        <v>139</v>
      </c>
      <c r="E5" s="9" t="s">
        <v>270</v>
      </c>
      <c r="F5" s="19">
        <f>CO2_YLL_charfact</f>
        <v>-1.5118165249088695E-7</v>
      </c>
      <c r="G5">
        <v>3</v>
      </c>
      <c r="H5">
        <v>-236</v>
      </c>
      <c r="I5">
        <v>2</v>
      </c>
      <c r="J5" s="19">
        <f>F5*H5</f>
        <v>3.5678869987849319E-5</v>
      </c>
      <c r="K5" s="19">
        <f>SUM(J4:J5)</f>
        <v>1.5831188699878492E-3</v>
      </c>
      <c r="L5" s="19">
        <f>YLLvalue*J5</f>
        <v>3.2610487168894275</v>
      </c>
    </row>
    <row r="6" spans="1:12">
      <c r="A6" t="s">
        <v>1472</v>
      </c>
      <c r="B6" t="s">
        <v>11</v>
      </c>
      <c r="C6" s="9" t="s">
        <v>297</v>
      </c>
      <c r="D6" s="9" t="s">
        <v>139</v>
      </c>
      <c r="E6" s="9" t="s">
        <v>270</v>
      </c>
      <c r="F6" s="19">
        <f>CO2_severewasting_charfact</f>
        <v>6.6767922235722966E-6</v>
      </c>
      <c r="G6">
        <v>3</v>
      </c>
      <c r="H6">
        <v>-236</v>
      </c>
      <c r="I6">
        <v>2</v>
      </c>
      <c r="J6" s="19">
        <f t="shared" ref="J6:J14" si="0">F6*H6</f>
        <v>-1.5757229647630621E-3</v>
      </c>
      <c r="L6" s="19">
        <f>J6*severe_wasting_value</f>
        <v>-18.434698109356017</v>
      </c>
    </row>
    <row r="7" spans="1:12">
      <c r="A7" t="s">
        <v>1472</v>
      </c>
      <c r="B7" t="s">
        <v>11</v>
      </c>
      <c r="C7" s="9" t="s">
        <v>265</v>
      </c>
      <c r="D7" s="9" t="s">
        <v>139</v>
      </c>
      <c r="E7" s="9" t="s">
        <v>270</v>
      </c>
      <c r="F7" s="19">
        <f>CO2_workingcapacity_charfact</f>
        <v>4.1777642770352372E-3</v>
      </c>
      <c r="G7">
        <v>3</v>
      </c>
      <c r="H7">
        <v>-236</v>
      </c>
      <c r="I7">
        <v>2</v>
      </c>
      <c r="J7" s="19">
        <f t="shared" si="0"/>
        <v>-0.98595236938031594</v>
      </c>
      <c r="K7" s="1"/>
      <c r="L7" s="19">
        <f>J7*working_capacity</f>
        <v>-45.058023280680445</v>
      </c>
    </row>
    <row r="8" spans="1:12">
      <c r="A8" t="s">
        <v>1472</v>
      </c>
      <c r="B8" t="s">
        <v>11</v>
      </c>
      <c r="C8" s="9" t="s">
        <v>311</v>
      </c>
      <c r="D8" s="9" t="s">
        <v>139</v>
      </c>
      <c r="E8" s="9" t="s">
        <v>270</v>
      </c>
      <c r="F8" s="19">
        <f>CO2_diarrhea_charfact</f>
        <v>1.4307411907654921E-7</v>
      </c>
      <c r="G8">
        <v>3</v>
      </c>
      <c r="H8">
        <v>-236</v>
      </c>
      <c r="I8">
        <v>2</v>
      </c>
      <c r="J8" s="19">
        <f t="shared" si="0"/>
        <v>-3.3765492102065612E-5</v>
      </c>
      <c r="K8" s="1"/>
      <c r="L8" s="19">
        <f>J8*diarrhea_value</f>
        <v>-0.58019920388821389</v>
      </c>
    </row>
    <row r="9" spans="1:12">
      <c r="A9" t="s">
        <v>1472</v>
      </c>
      <c r="B9" t="s">
        <v>11</v>
      </c>
      <c r="C9" s="9" t="s">
        <v>269</v>
      </c>
      <c r="D9" s="9" t="s">
        <v>11</v>
      </c>
      <c r="E9" s="9" t="s">
        <v>270</v>
      </c>
      <c r="F9" s="19">
        <f>CO2_crop_charfact</f>
        <v>1.8728799615228837E-2</v>
      </c>
      <c r="G9">
        <v>3</v>
      </c>
      <c r="H9">
        <v>-236</v>
      </c>
      <c r="I9">
        <v>2</v>
      </c>
      <c r="J9" s="19">
        <f t="shared" si="0"/>
        <v>-4.419996709194006</v>
      </c>
      <c r="L9" s="19">
        <f>J9*cropvalue</f>
        <v>-1.8917585915350346</v>
      </c>
    </row>
    <row r="10" spans="1:12">
      <c r="A10" t="s">
        <v>1472</v>
      </c>
      <c r="B10" t="s">
        <v>11</v>
      </c>
      <c r="C10" s="9" t="s">
        <v>272</v>
      </c>
      <c r="D10" s="9" t="s">
        <v>11</v>
      </c>
      <c r="E10" s="9" t="s">
        <v>270</v>
      </c>
      <c r="F10" s="19">
        <f>CO2_meat_charfact</f>
        <v>7.9048450789793437E-4</v>
      </c>
      <c r="G10">
        <v>3</v>
      </c>
      <c r="H10">
        <v>-236</v>
      </c>
      <c r="I10">
        <v>2</v>
      </c>
      <c r="J10" s="19">
        <f t="shared" si="0"/>
        <v>-0.18655434386391251</v>
      </c>
      <c r="K10" s="1"/>
      <c r="L10" s="19">
        <f>J10*meatvalue</f>
        <v>-0.45192789801032801</v>
      </c>
    </row>
    <row r="11" spans="1:12">
      <c r="A11" t="s">
        <v>1472</v>
      </c>
      <c r="B11" t="s">
        <v>11</v>
      </c>
      <c r="C11" s="9" t="s">
        <v>274</v>
      </c>
      <c r="D11" s="9" t="s">
        <v>11</v>
      </c>
      <c r="E11" s="9" t="s">
        <v>270</v>
      </c>
      <c r="F11" s="19">
        <f>CO2_fish_charfact</f>
        <v>4.8645200486026732E-5</v>
      </c>
      <c r="G11">
        <v>3.7</v>
      </c>
      <c r="H11">
        <v>-236</v>
      </c>
      <c r="I11">
        <v>2</v>
      </c>
      <c r="J11" s="19">
        <f t="shared" si="0"/>
        <v>-1.1480267314702308E-2</v>
      </c>
      <c r="K11" s="1"/>
      <c r="L11" s="19">
        <f>J11*fishvalue</f>
        <v>-3.4670407290400974E-2</v>
      </c>
    </row>
    <row r="12" spans="1:12">
      <c r="A12" t="s">
        <v>1472</v>
      </c>
      <c r="B12" t="s">
        <v>11</v>
      </c>
      <c r="C12" t="s">
        <v>275</v>
      </c>
      <c r="D12" s="9" t="s">
        <v>11</v>
      </c>
      <c r="E12" s="9" t="s">
        <v>270</v>
      </c>
      <c r="F12" s="19">
        <f>CO2_wood_charfact</f>
        <v>-2.8614823815309842E-2</v>
      </c>
      <c r="G12">
        <v>3</v>
      </c>
      <c r="H12">
        <v>-236</v>
      </c>
      <c r="I12">
        <v>2</v>
      </c>
      <c r="J12" s="19">
        <f t="shared" si="0"/>
        <v>6.7530984204131226</v>
      </c>
      <c r="K12" s="1"/>
      <c r="L12" s="19">
        <f>J12*woodvalue</f>
        <v>1.5532126366950183</v>
      </c>
    </row>
    <row r="13" spans="1:12">
      <c r="A13" t="s">
        <v>1472</v>
      </c>
      <c r="B13" t="s">
        <v>11</v>
      </c>
      <c r="C13" t="s">
        <v>276</v>
      </c>
      <c r="D13" s="9" t="s">
        <v>11</v>
      </c>
      <c r="E13" s="9" t="s">
        <v>270</v>
      </c>
      <c r="F13" s="19">
        <f>CO2_drinkingwater_charfact</f>
        <v>0.15022782503037668</v>
      </c>
      <c r="G13">
        <v>3.7</v>
      </c>
      <c r="H13">
        <v>-236</v>
      </c>
      <c r="I13">
        <v>2</v>
      </c>
      <c r="J13" s="19">
        <f t="shared" si="0"/>
        <v>-35.453766707168896</v>
      </c>
      <c r="K13" s="1"/>
      <c r="L13" s="19">
        <f>J13*drinkingwatervalue</f>
        <v>-5.0698886391251523E-2</v>
      </c>
    </row>
    <row r="14" spans="1:12">
      <c r="A14" t="s">
        <v>1472</v>
      </c>
      <c r="B14" t="s">
        <v>11</v>
      </c>
      <c r="C14" t="s">
        <v>277</v>
      </c>
      <c r="D14" s="9" t="s">
        <v>281</v>
      </c>
      <c r="E14" s="9" t="s">
        <v>270</v>
      </c>
      <c r="F14" s="19">
        <f>CO2_NEX_charfact</f>
        <v>1.2717699473471042E-16</v>
      </c>
      <c r="G14">
        <v>3</v>
      </c>
      <c r="H14">
        <v>-236</v>
      </c>
      <c r="I14">
        <v>2</v>
      </c>
      <c r="J14" s="19">
        <f t="shared" si="0"/>
        <v>-3.0013770757391659E-14</v>
      </c>
      <c r="K14" s="1"/>
      <c r="L14" s="19">
        <f>J14*speciesvalue</f>
        <v>-2.5961911705143785E-3</v>
      </c>
    </row>
    <row r="15" spans="1:12">
      <c r="A15" t="s">
        <v>1472</v>
      </c>
      <c r="B15" t="s">
        <v>11</v>
      </c>
      <c r="C15" s="9" t="s">
        <v>279</v>
      </c>
      <c r="E15" s="9" t="s">
        <v>279</v>
      </c>
      <c r="L15" s="19">
        <f>SUM(L4:L14)</f>
        <v>79.745704785262248</v>
      </c>
    </row>
    <row r="16" spans="1:12">
      <c r="C16" s="9"/>
      <c r="E16" s="9"/>
      <c r="L16" s="1"/>
    </row>
    <row r="17" spans="1:12">
      <c r="A17" s="9" t="s">
        <v>1473</v>
      </c>
      <c r="B17" t="s">
        <v>11</v>
      </c>
      <c r="C17" t="s">
        <v>267</v>
      </c>
      <c r="D17" s="9" t="s">
        <v>139</v>
      </c>
      <c r="E17" s="9" t="s">
        <v>294</v>
      </c>
      <c r="F17" s="19">
        <f>J4</f>
        <v>1.54744E-3</v>
      </c>
      <c r="G17">
        <v>2</v>
      </c>
      <c r="H17">
        <v>0.1</v>
      </c>
      <c r="I17">
        <v>2</v>
      </c>
      <c r="J17" s="19">
        <f t="shared" ref="J17:J27" si="1">F17*H17</f>
        <v>1.5474400000000001E-4</v>
      </c>
      <c r="L17" s="19">
        <f>J17*YLLvalue</f>
        <v>14.1436016</v>
      </c>
    </row>
    <row r="18" spans="1:12">
      <c r="A18" s="9" t="s">
        <v>1473</v>
      </c>
      <c r="B18" t="s">
        <v>11</v>
      </c>
      <c r="C18" t="s">
        <v>257</v>
      </c>
      <c r="D18" s="9" t="s">
        <v>139</v>
      </c>
      <c r="E18" s="9" t="s">
        <v>270</v>
      </c>
      <c r="F18" s="19">
        <f t="shared" ref="F18:F27" si="2">J5</f>
        <v>3.5678869987849319E-5</v>
      </c>
      <c r="G18">
        <v>3</v>
      </c>
      <c r="H18" s="70">
        <f>H17</f>
        <v>0.1</v>
      </c>
      <c r="I18">
        <v>2</v>
      </c>
      <c r="J18" s="19">
        <f t="shared" si="1"/>
        <v>3.5678869987849321E-6</v>
      </c>
      <c r="L18" s="19">
        <f>YLLvalue*J18</f>
        <v>0.32610487168894281</v>
      </c>
    </row>
    <row r="19" spans="1:12">
      <c r="A19" s="9" t="s">
        <v>1473</v>
      </c>
      <c r="B19" t="s">
        <v>11</v>
      </c>
      <c r="C19" s="9" t="s">
        <v>297</v>
      </c>
      <c r="D19" s="9" t="s">
        <v>139</v>
      </c>
      <c r="E19" s="9" t="s">
        <v>270</v>
      </c>
      <c r="F19" s="19">
        <f t="shared" si="2"/>
        <v>-1.5757229647630621E-3</v>
      </c>
      <c r="G19">
        <v>3</v>
      </c>
      <c r="H19" s="70">
        <f>H18</f>
        <v>0.1</v>
      </c>
      <c r="I19">
        <v>2</v>
      </c>
      <c r="J19" s="19">
        <f t="shared" si="1"/>
        <v>-1.5757229647630621E-4</v>
      </c>
      <c r="L19" s="19">
        <f>J19*severe_wasting_value</f>
        <v>-1.8434698109356018</v>
      </c>
    </row>
    <row r="20" spans="1:12">
      <c r="A20" s="9" t="s">
        <v>1473</v>
      </c>
      <c r="B20" t="s">
        <v>11</v>
      </c>
      <c r="C20" s="9" t="s">
        <v>265</v>
      </c>
      <c r="D20" s="9" t="s">
        <v>139</v>
      </c>
      <c r="E20" s="9" t="s">
        <v>270</v>
      </c>
      <c r="F20" s="19">
        <f t="shared" si="2"/>
        <v>-0.98595236938031594</v>
      </c>
      <c r="G20">
        <v>3</v>
      </c>
      <c r="H20" s="70">
        <f t="shared" ref="H20:H27" si="3">H19</f>
        <v>0.1</v>
      </c>
      <c r="I20">
        <v>2</v>
      </c>
      <c r="J20" s="19">
        <f t="shared" si="1"/>
        <v>-9.85952369380316E-2</v>
      </c>
      <c r="L20" s="19">
        <f>J20*working_capacity</f>
        <v>-4.5058023280680448</v>
      </c>
    </row>
    <row r="21" spans="1:12">
      <c r="A21" s="9" t="s">
        <v>1473</v>
      </c>
      <c r="B21" t="s">
        <v>11</v>
      </c>
      <c r="C21" s="9" t="s">
        <v>311</v>
      </c>
      <c r="D21" s="9" t="s">
        <v>139</v>
      </c>
      <c r="E21" s="9" t="s">
        <v>270</v>
      </c>
      <c r="F21" s="19">
        <f t="shared" si="2"/>
        <v>-3.3765492102065612E-5</v>
      </c>
      <c r="G21">
        <v>3</v>
      </c>
      <c r="H21" s="70">
        <f t="shared" si="3"/>
        <v>0.1</v>
      </c>
      <c r="I21">
        <v>2</v>
      </c>
      <c r="J21" s="19">
        <f t="shared" si="1"/>
        <v>-3.3765492102065615E-6</v>
      </c>
      <c r="L21" s="19">
        <f>J21*diarrhea_value</f>
        <v>-5.8019920388821387E-2</v>
      </c>
    </row>
    <row r="22" spans="1:12">
      <c r="A22" s="9" t="s">
        <v>1473</v>
      </c>
      <c r="B22" t="s">
        <v>11</v>
      </c>
      <c r="C22" s="9" t="s">
        <v>269</v>
      </c>
      <c r="D22" s="9" t="s">
        <v>11</v>
      </c>
      <c r="E22" s="9" t="s">
        <v>270</v>
      </c>
      <c r="F22" s="19">
        <f t="shared" si="2"/>
        <v>-4.419996709194006</v>
      </c>
      <c r="G22">
        <v>3</v>
      </c>
      <c r="H22" s="70">
        <f t="shared" si="3"/>
        <v>0.1</v>
      </c>
      <c r="I22">
        <v>2</v>
      </c>
      <c r="J22" s="19">
        <f t="shared" si="1"/>
        <v>-0.44199967091940062</v>
      </c>
      <c r="L22" s="19">
        <f>J22*cropvalue</f>
        <v>-0.18917585915350346</v>
      </c>
    </row>
    <row r="23" spans="1:12">
      <c r="A23" s="9" t="s">
        <v>1473</v>
      </c>
      <c r="B23" t="s">
        <v>11</v>
      </c>
      <c r="C23" s="9" t="s">
        <v>272</v>
      </c>
      <c r="D23" s="9" t="s">
        <v>11</v>
      </c>
      <c r="E23" s="9" t="s">
        <v>270</v>
      </c>
      <c r="F23" s="19">
        <f t="shared" si="2"/>
        <v>-0.18655434386391251</v>
      </c>
      <c r="G23">
        <v>3</v>
      </c>
      <c r="H23" s="70">
        <f t="shared" si="3"/>
        <v>0.1</v>
      </c>
      <c r="I23">
        <v>2</v>
      </c>
      <c r="J23" s="19">
        <f t="shared" si="1"/>
        <v>-1.8655434386391251E-2</v>
      </c>
      <c r="L23" s="19">
        <f>J23*meatvalue</f>
        <v>-4.51927898010328E-2</v>
      </c>
    </row>
    <row r="24" spans="1:12">
      <c r="A24" s="9" t="s">
        <v>1473</v>
      </c>
      <c r="B24" t="s">
        <v>11</v>
      </c>
      <c r="C24" s="9" t="s">
        <v>274</v>
      </c>
      <c r="D24" s="9" t="s">
        <v>11</v>
      </c>
      <c r="E24" s="9" t="s">
        <v>270</v>
      </c>
      <c r="F24" s="19">
        <f t="shared" si="2"/>
        <v>-1.1480267314702308E-2</v>
      </c>
      <c r="G24">
        <v>3.7</v>
      </c>
      <c r="H24" s="70">
        <f t="shared" si="3"/>
        <v>0.1</v>
      </c>
      <c r="I24">
        <v>2</v>
      </c>
      <c r="J24" s="19">
        <f t="shared" si="1"/>
        <v>-1.1480267314702309E-3</v>
      </c>
      <c r="L24" s="19">
        <f>J24*fishvalue</f>
        <v>-3.4670407290400972E-3</v>
      </c>
    </row>
    <row r="25" spans="1:12">
      <c r="A25" s="9" t="s">
        <v>1473</v>
      </c>
      <c r="B25" t="s">
        <v>11</v>
      </c>
      <c r="C25" t="s">
        <v>275</v>
      </c>
      <c r="D25" s="9" t="s">
        <v>11</v>
      </c>
      <c r="E25" s="9" t="s">
        <v>270</v>
      </c>
      <c r="F25" s="19">
        <f t="shared" si="2"/>
        <v>6.7530984204131226</v>
      </c>
      <c r="G25">
        <v>3</v>
      </c>
      <c r="H25" s="70">
        <f t="shared" si="3"/>
        <v>0.1</v>
      </c>
      <c r="I25">
        <v>2</v>
      </c>
      <c r="J25" s="19">
        <f t="shared" si="1"/>
        <v>0.67530984204131228</v>
      </c>
      <c r="L25" s="19">
        <f>J25*woodvalue</f>
        <v>0.15532126366950183</v>
      </c>
    </row>
    <row r="26" spans="1:12">
      <c r="A26" s="9" t="s">
        <v>1473</v>
      </c>
      <c r="B26" t="s">
        <v>11</v>
      </c>
      <c r="C26" t="s">
        <v>276</v>
      </c>
      <c r="D26" s="9" t="s">
        <v>11</v>
      </c>
      <c r="E26" s="9" t="s">
        <v>270</v>
      </c>
      <c r="F26" s="19">
        <f t="shared" si="2"/>
        <v>-35.453766707168896</v>
      </c>
      <c r="G26">
        <v>3.7</v>
      </c>
      <c r="H26" s="70">
        <f t="shared" si="3"/>
        <v>0.1</v>
      </c>
      <c r="I26">
        <v>2</v>
      </c>
      <c r="J26" s="19">
        <f t="shared" si="1"/>
        <v>-3.5453766707168897</v>
      </c>
      <c r="L26" s="19">
        <f>J26*drinkingwatervalue</f>
        <v>-5.0698886391251528E-3</v>
      </c>
    </row>
    <row r="27" spans="1:12">
      <c r="A27" s="9" t="s">
        <v>1473</v>
      </c>
      <c r="B27" t="s">
        <v>11</v>
      </c>
      <c r="C27" s="9" t="s">
        <v>277</v>
      </c>
      <c r="D27" s="9" t="s">
        <v>281</v>
      </c>
      <c r="E27" s="9" t="s">
        <v>270</v>
      </c>
      <c r="F27" s="19">
        <f t="shared" si="2"/>
        <v>-3.0013770757391659E-14</v>
      </c>
      <c r="G27">
        <v>3</v>
      </c>
      <c r="H27" s="70">
        <f t="shared" si="3"/>
        <v>0.1</v>
      </c>
      <c r="I27">
        <v>2</v>
      </c>
      <c r="J27" s="19">
        <f t="shared" si="1"/>
        <v>-3.0013770757391662E-15</v>
      </c>
      <c r="L27" s="19">
        <f>J27*speciesvalue</f>
        <v>-2.5961911705143787E-4</v>
      </c>
    </row>
    <row r="28" spans="1:12">
      <c r="A28" s="9" t="s">
        <v>1473</v>
      </c>
      <c r="B28" s="9" t="s">
        <v>11</v>
      </c>
      <c r="C28" s="9" t="s">
        <v>265</v>
      </c>
      <c r="D28" s="9" t="s">
        <v>147</v>
      </c>
      <c r="E28" s="9" t="s">
        <v>1474</v>
      </c>
      <c r="F28" s="1">
        <f>100*2000000000</f>
        <v>200000000000</v>
      </c>
      <c r="G28">
        <v>3</v>
      </c>
      <c r="H28" s="1">
        <f>1/162000000000</f>
        <v>6.1728395061728393E-12</v>
      </c>
      <c r="I28">
        <v>2</v>
      </c>
      <c r="J28" s="19">
        <f>F28*H28</f>
        <v>1.2345679012345678</v>
      </c>
      <c r="L28" s="19">
        <f>J28*working_capacity</f>
        <v>56.419753086419753</v>
      </c>
    </row>
    <row r="29" spans="1:12">
      <c r="A29" s="9"/>
      <c r="B29" s="9"/>
      <c r="C29" s="9"/>
      <c r="D29" s="9"/>
      <c r="E29" s="9"/>
      <c r="F29" s="1"/>
      <c r="H29" s="1"/>
      <c r="J29" s="1"/>
      <c r="L29" s="19">
        <f>SUM(L17:L28)</f>
        <v>64.394323564945978</v>
      </c>
    </row>
    <row r="31" spans="1:12">
      <c r="A31" t="s">
        <v>1475</v>
      </c>
      <c r="B31" t="s">
        <v>11</v>
      </c>
      <c r="C31" t="s">
        <v>1476</v>
      </c>
      <c r="D31" t="s">
        <v>10</v>
      </c>
      <c r="E31" t="s">
        <v>34</v>
      </c>
      <c r="F31" s="19">
        <f>PM2.5value</f>
        <v>79.745704785262248</v>
      </c>
      <c r="G31">
        <v>1</v>
      </c>
      <c r="H31">
        <v>1</v>
      </c>
      <c r="I31">
        <v>1</v>
      </c>
      <c r="J31" s="19">
        <f>F31*H31</f>
        <v>79.745704785262248</v>
      </c>
      <c r="L31" s="19">
        <f>J31</f>
        <v>79.745704785262248</v>
      </c>
    </row>
    <row r="32" spans="1:12">
      <c r="A32" t="s">
        <v>1475</v>
      </c>
      <c r="B32" t="s">
        <v>11</v>
      </c>
      <c r="C32" s="9" t="s">
        <v>257</v>
      </c>
      <c r="D32" t="s">
        <v>139</v>
      </c>
      <c r="E32" t="s">
        <v>1477</v>
      </c>
      <c r="F32" s="1">
        <v>2416</v>
      </c>
      <c r="G32">
        <v>1.5</v>
      </c>
      <c r="H32" s="1">
        <f>1/44000000</f>
        <v>2.2727272727272729E-8</v>
      </c>
      <c r="I32">
        <v>1.5</v>
      </c>
      <c r="J32" s="19">
        <f>F32*H32</f>
        <v>5.4909090909090909E-5</v>
      </c>
      <c r="K32" s="1"/>
      <c r="L32" s="19">
        <f>YLLvalue*J32</f>
        <v>5.0186909090909095</v>
      </c>
    </row>
    <row r="33" spans="1:12">
      <c r="A33" t="s">
        <v>1475</v>
      </c>
      <c r="B33" t="s">
        <v>11</v>
      </c>
      <c r="C33" s="9" t="s">
        <v>257</v>
      </c>
      <c r="D33" t="s">
        <v>139</v>
      </c>
      <c r="E33" t="s">
        <v>1478</v>
      </c>
      <c r="F33" s="1">
        <v>1800</v>
      </c>
      <c r="G33">
        <v>1.5</v>
      </c>
      <c r="H33" s="1">
        <f>1/44000000</f>
        <v>2.2727272727272729E-8</v>
      </c>
      <c r="I33">
        <v>1.5</v>
      </c>
      <c r="J33" s="19">
        <f>F33*H33</f>
        <v>4.0909090909090915E-5</v>
      </c>
      <c r="K33" s="1"/>
      <c r="L33" s="19">
        <f>YLLvalue*J33</f>
        <v>3.7390909090909097</v>
      </c>
    </row>
    <row r="34" spans="1:12">
      <c r="A34" t="s">
        <v>1475</v>
      </c>
      <c r="B34" t="s">
        <v>11</v>
      </c>
      <c r="C34" t="s">
        <v>1477</v>
      </c>
      <c r="D34" t="s">
        <v>139</v>
      </c>
      <c r="E34" t="s">
        <v>1477</v>
      </c>
      <c r="F34" s="1">
        <v>95.4</v>
      </c>
      <c r="G34">
        <v>1.5</v>
      </c>
      <c r="H34" s="1">
        <f>1/44000000</f>
        <v>2.2727272727272729E-8</v>
      </c>
      <c r="I34">
        <v>1.5</v>
      </c>
      <c r="J34" s="19">
        <f>F34*H34</f>
        <v>2.1681818181818183E-6</v>
      </c>
      <c r="K34" s="1"/>
      <c r="L34" s="19">
        <f>J34*cancervalue</f>
        <v>3.9963883909090911E-9</v>
      </c>
    </row>
    <row r="35" spans="1:12">
      <c r="A35" t="s">
        <v>1475</v>
      </c>
      <c r="B35" t="s">
        <v>11</v>
      </c>
      <c r="C35" t="s">
        <v>275</v>
      </c>
      <c r="D35" s="9" t="s">
        <v>11</v>
      </c>
      <c r="E35" t="s">
        <v>1479</v>
      </c>
      <c r="F35">
        <v>0</v>
      </c>
      <c r="G35">
        <v>1</v>
      </c>
      <c r="H35">
        <v>1</v>
      </c>
      <c r="I35">
        <v>1</v>
      </c>
      <c r="J35" s="19">
        <v>0</v>
      </c>
      <c r="K35" s="19">
        <v>0</v>
      </c>
      <c r="L35" s="19">
        <v>0</v>
      </c>
    </row>
    <row r="36" spans="1:12">
      <c r="A36" t="s">
        <v>1475</v>
      </c>
      <c r="B36" t="s">
        <v>11</v>
      </c>
      <c r="C36" t="s">
        <v>279</v>
      </c>
      <c r="E36" t="s">
        <v>279</v>
      </c>
      <c r="L36" s="19">
        <f>SUM(L31:L35)</f>
        <v>88.50348660744045</v>
      </c>
    </row>
    <row r="37" spans="1:12">
      <c r="K37" s="17"/>
    </row>
    <row r="38" spans="1:12">
      <c r="A38" t="s">
        <v>1480</v>
      </c>
      <c r="B38" t="s">
        <v>11</v>
      </c>
      <c r="C38" s="9" t="s">
        <v>1476</v>
      </c>
      <c r="D38" s="9" t="s">
        <v>10</v>
      </c>
      <c r="E38" s="9" t="s">
        <v>34</v>
      </c>
      <c r="F38" s="19">
        <f>PM2.5value</f>
        <v>79.745704785262248</v>
      </c>
      <c r="G38">
        <v>1</v>
      </c>
      <c r="H38">
        <v>1</v>
      </c>
      <c r="I38">
        <v>1</v>
      </c>
      <c r="J38" s="19">
        <f>F38*H38</f>
        <v>79.745704785262248</v>
      </c>
      <c r="L38" s="19">
        <f>J38</f>
        <v>79.745704785262248</v>
      </c>
    </row>
    <row r="39" spans="1:12">
      <c r="A39" t="s">
        <v>1480</v>
      </c>
      <c r="B39" t="s">
        <v>11</v>
      </c>
      <c r="C39" s="9" t="s">
        <v>257</v>
      </c>
      <c r="D39" t="s">
        <v>139</v>
      </c>
      <c r="E39" t="s">
        <v>1477</v>
      </c>
      <c r="F39" s="1">
        <f>0.000000000211*0.0018*0.34*24/70*8200000000</f>
        <v>3.630453942857142E-4</v>
      </c>
      <c r="G39">
        <v>2</v>
      </c>
      <c r="H39">
        <v>1</v>
      </c>
      <c r="I39">
        <v>1</v>
      </c>
      <c r="J39" s="19">
        <f>F39*H39</f>
        <v>3.630453942857142E-4</v>
      </c>
      <c r="K39" s="1"/>
      <c r="L39" s="19">
        <f>J39*YLLvalue</f>
        <v>33.182349037714275</v>
      </c>
    </row>
    <row r="40" spans="1:12">
      <c r="A40" t="s">
        <v>1480</v>
      </c>
      <c r="B40" t="s">
        <v>11</v>
      </c>
      <c r="C40" s="9" t="s">
        <v>1477</v>
      </c>
      <c r="D40" t="s">
        <v>139</v>
      </c>
      <c r="E40" t="s">
        <v>1477</v>
      </c>
      <c r="F40" s="1">
        <f>0.000000000211*0.0018*1*5/70*8200000000</f>
        <v>2.2245428571428569E-4</v>
      </c>
      <c r="G40">
        <v>2</v>
      </c>
      <c r="H40">
        <v>1</v>
      </c>
      <c r="I40">
        <v>1</v>
      </c>
      <c r="J40" s="19">
        <f>F40*H40</f>
        <v>2.2245428571428569E-4</v>
      </c>
      <c r="K40" s="1"/>
      <c r="L40" s="19">
        <f>J40*cancervalue</f>
        <v>4.1002729451999994E-7</v>
      </c>
    </row>
    <row r="41" spans="1:12">
      <c r="A41" t="s">
        <v>1480</v>
      </c>
      <c r="B41" t="s">
        <v>11</v>
      </c>
      <c r="C41" t="s">
        <v>275</v>
      </c>
      <c r="D41" s="9" t="s">
        <v>11</v>
      </c>
      <c r="E41" t="s">
        <v>1479</v>
      </c>
      <c r="F41">
        <v>0</v>
      </c>
      <c r="G41">
        <v>1</v>
      </c>
      <c r="H41">
        <v>1</v>
      </c>
      <c r="I41">
        <v>1</v>
      </c>
      <c r="J41" s="70">
        <v>0</v>
      </c>
      <c r="K41" s="1"/>
      <c r="L41" s="19">
        <f>J41*woodvalue</f>
        <v>0</v>
      </c>
    </row>
    <row r="42" spans="1:12">
      <c r="A42" t="s">
        <v>1480</v>
      </c>
      <c r="B42" t="s">
        <v>11</v>
      </c>
      <c r="C42" t="s">
        <v>279</v>
      </c>
      <c r="E42" t="s">
        <v>279</v>
      </c>
      <c r="L42" s="19">
        <f>SUM(L38:L41)</f>
        <v>112.92805423300382</v>
      </c>
    </row>
    <row r="44" spans="1:12">
      <c r="A44" t="s">
        <v>1481</v>
      </c>
      <c r="B44" t="s">
        <v>11</v>
      </c>
      <c r="C44" s="9" t="s">
        <v>1476</v>
      </c>
      <c r="D44" s="9" t="s">
        <v>10</v>
      </c>
      <c r="E44" s="9" t="s">
        <v>34</v>
      </c>
      <c r="F44" s="19">
        <f>PM2.5value</f>
        <v>79.745704785262248</v>
      </c>
      <c r="G44">
        <v>1</v>
      </c>
      <c r="H44">
        <v>1</v>
      </c>
      <c r="I44">
        <v>1</v>
      </c>
      <c r="J44" s="19">
        <f>F44*H44</f>
        <v>79.745704785262248</v>
      </c>
      <c r="L44" s="19">
        <f>J44</f>
        <v>79.745704785262248</v>
      </c>
    </row>
    <row r="45" spans="1:12">
      <c r="A45" t="s">
        <v>1481</v>
      </c>
      <c r="B45" t="s">
        <v>11</v>
      </c>
      <c r="C45" s="9" t="s">
        <v>257</v>
      </c>
      <c r="D45" t="s">
        <v>139</v>
      </c>
      <c r="E45" t="s">
        <v>1477</v>
      </c>
      <c r="F45" s="1">
        <f>0.04*0.83*5.8*0.000000001*0.4/70*8200000000</f>
        <v>9.0228114285714305E-3</v>
      </c>
      <c r="G45">
        <v>2</v>
      </c>
      <c r="H45">
        <v>1</v>
      </c>
      <c r="I45">
        <v>1</v>
      </c>
      <c r="J45" s="19">
        <f>F45*H45</f>
        <v>9.0228114285714305E-3</v>
      </c>
      <c r="K45" s="1"/>
      <c r="L45" s="19">
        <f>YLLvalue*J45</f>
        <v>824.68496457142874</v>
      </c>
    </row>
    <row r="46" spans="1:12">
      <c r="A46" t="s">
        <v>1481</v>
      </c>
      <c r="B46" t="s">
        <v>11</v>
      </c>
      <c r="C46" s="9" t="s">
        <v>1477</v>
      </c>
      <c r="D46" t="s">
        <v>139</v>
      </c>
      <c r="E46" t="s">
        <v>1477</v>
      </c>
      <c r="F46" s="1">
        <f>0.0018*0.00000000549*5/70*8200000000</f>
        <v>5.7880285714285717E-3</v>
      </c>
      <c r="G46">
        <v>2</v>
      </c>
      <c r="H46">
        <v>1</v>
      </c>
      <c r="I46">
        <v>1</v>
      </c>
      <c r="J46" s="19">
        <f>F46*H46</f>
        <v>5.7880285714285717E-3</v>
      </c>
      <c r="K46" s="1"/>
      <c r="L46" s="19">
        <f>J46*cancervalue</f>
        <v>1.0668482686799999E-5</v>
      </c>
    </row>
    <row r="47" spans="1:12">
      <c r="A47" t="s">
        <v>1481</v>
      </c>
      <c r="B47" t="s">
        <v>11</v>
      </c>
      <c r="C47" t="s">
        <v>279</v>
      </c>
      <c r="E47" t="s">
        <v>279</v>
      </c>
      <c r="F47" s="1"/>
      <c r="L47" s="19">
        <f>SUM(L44:L46)</f>
        <v>904.43068002517361</v>
      </c>
    </row>
    <row r="49" spans="1:12">
      <c r="A49" t="s">
        <v>1482</v>
      </c>
      <c r="B49" t="s">
        <v>11</v>
      </c>
      <c r="C49" s="9" t="s">
        <v>1476</v>
      </c>
      <c r="D49" s="9" t="s">
        <v>10</v>
      </c>
      <c r="E49" s="9" t="s">
        <v>34</v>
      </c>
      <c r="F49" s="19">
        <f>PM2.5value</f>
        <v>79.745704785262248</v>
      </c>
      <c r="G49">
        <v>1</v>
      </c>
      <c r="H49">
        <v>1</v>
      </c>
      <c r="I49">
        <v>1</v>
      </c>
      <c r="J49" s="19">
        <f>F49*H49</f>
        <v>79.745704785262248</v>
      </c>
      <c r="L49" s="19">
        <f>J49</f>
        <v>79.745704785262248</v>
      </c>
    </row>
    <row r="50" spans="1:12">
      <c r="A50" t="s">
        <v>1482</v>
      </c>
      <c r="B50" t="s">
        <v>11</v>
      </c>
      <c r="C50" t="s">
        <v>275</v>
      </c>
      <c r="D50" t="s">
        <v>11</v>
      </c>
      <c r="E50" t="s">
        <v>1483</v>
      </c>
      <c r="F50">
        <v>0</v>
      </c>
      <c r="G50">
        <v>1</v>
      </c>
      <c r="H50">
        <v>1</v>
      </c>
      <c r="I50">
        <v>1</v>
      </c>
      <c r="J50" s="19">
        <f>F50*H50</f>
        <v>0</v>
      </c>
      <c r="L50" s="19">
        <f>J50</f>
        <v>0</v>
      </c>
    </row>
    <row r="51" spans="1:12">
      <c r="C51" t="s">
        <v>279</v>
      </c>
      <c r="E51" t="s">
        <v>279</v>
      </c>
      <c r="J51" s="1"/>
      <c r="L51" s="19">
        <f>SUM(L49:L50)</f>
        <v>79.745704785262248</v>
      </c>
    </row>
    <row r="52" spans="1:12">
      <c r="J52" s="1"/>
      <c r="L52" s="1"/>
    </row>
    <row r="53" spans="1:12">
      <c r="A53" t="s">
        <v>1484</v>
      </c>
      <c r="B53" t="s">
        <v>11</v>
      </c>
      <c r="C53" s="9" t="s">
        <v>1476</v>
      </c>
      <c r="D53" s="9" t="s">
        <v>10</v>
      </c>
      <c r="E53" s="9" t="s">
        <v>34</v>
      </c>
      <c r="F53" s="19">
        <f>PM2.5value</f>
        <v>79.745704785262248</v>
      </c>
      <c r="G53">
        <v>1</v>
      </c>
      <c r="H53">
        <v>1</v>
      </c>
      <c r="I53">
        <v>1</v>
      </c>
      <c r="J53" s="19">
        <f>F53*H53</f>
        <v>79.745704785262248</v>
      </c>
      <c r="L53" s="19">
        <f>J53</f>
        <v>79.745704785262248</v>
      </c>
    </row>
    <row r="54" spans="1:12">
      <c r="A54" t="s">
        <v>1484</v>
      </c>
      <c r="B54" t="s">
        <v>11</v>
      </c>
      <c r="C54" s="9" t="s">
        <v>257</v>
      </c>
      <c r="D54" t="s">
        <v>139</v>
      </c>
      <c r="E54" t="s">
        <v>1477</v>
      </c>
      <c r="F54" s="1">
        <f>0.00038*0.83*24*0.000000000211/70*8200000000</f>
        <v>1.870988845714286E-4</v>
      </c>
      <c r="G54">
        <v>2</v>
      </c>
      <c r="H54">
        <v>1</v>
      </c>
      <c r="I54">
        <v>1</v>
      </c>
      <c r="J54" s="19">
        <f>F54*H54</f>
        <v>1.870988845714286E-4</v>
      </c>
      <c r="L54" s="19">
        <f>YLLvalue*J54</f>
        <v>17.100838049828575</v>
      </c>
    </row>
    <row r="55" spans="1:12">
      <c r="A55" t="s">
        <v>1484</v>
      </c>
      <c r="B55" t="s">
        <v>11</v>
      </c>
      <c r="C55" s="9" t="s">
        <v>1477</v>
      </c>
      <c r="D55" t="s">
        <v>139</v>
      </c>
      <c r="E55" t="s">
        <v>1477</v>
      </c>
      <c r="F55" s="1">
        <f>0.00038*0.000000000211*5/70*8200000000</f>
        <v>4.6962571428571435E-5</v>
      </c>
      <c r="G55">
        <v>2</v>
      </c>
      <c r="H55">
        <v>1</v>
      </c>
      <c r="I55">
        <v>1</v>
      </c>
      <c r="J55" s="19">
        <f>F55*H55</f>
        <v>4.6962571428571435E-5</v>
      </c>
      <c r="L55" s="19">
        <f>cancervalue*J55</f>
        <v>8.6561317732000012E-8</v>
      </c>
    </row>
    <row r="56" spans="1:12">
      <c r="A56" t="s">
        <v>1484</v>
      </c>
      <c r="B56" t="s">
        <v>11</v>
      </c>
      <c r="C56" t="s">
        <v>275</v>
      </c>
      <c r="D56" s="9" t="s">
        <v>11</v>
      </c>
      <c r="E56" t="s">
        <v>1479</v>
      </c>
      <c r="F56">
        <v>0</v>
      </c>
      <c r="G56">
        <v>1</v>
      </c>
      <c r="H56">
        <v>1</v>
      </c>
      <c r="I56">
        <v>1</v>
      </c>
      <c r="J56" s="19">
        <f>F56*H56</f>
        <v>0</v>
      </c>
      <c r="L56" s="19">
        <f>J56*woodvalue</f>
        <v>0</v>
      </c>
    </row>
    <row r="57" spans="1:12">
      <c r="C57" s="9" t="s">
        <v>279</v>
      </c>
      <c r="E57" s="9" t="s">
        <v>279</v>
      </c>
      <c r="L57" s="19">
        <f>SUM(L53:L56)</f>
        <v>96.84654292165213</v>
      </c>
    </row>
    <row r="59" spans="1:12">
      <c r="A59" t="s">
        <v>15</v>
      </c>
      <c r="B59" t="s">
        <v>11</v>
      </c>
      <c r="C59" s="9" t="s">
        <v>1476</v>
      </c>
      <c r="D59" s="9" t="s">
        <v>10</v>
      </c>
      <c r="E59" s="9" t="s">
        <v>34</v>
      </c>
      <c r="F59" s="19">
        <f>PM2.5value</f>
        <v>79.745704785262248</v>
      </c>
      <c r="G59">
        <v>1</v>
      </c>
      <c r="H59">
        <v>1</v>
      </c>
      <c r="I59">
        <v>1</v>
      </c>
      <c r="J59" s="19">
        <f>F59*H59</f>
        <v>79.745704785262248</v>
      </c>
      <c r="L59" s="19">
        <f>J59</f>
        <v>79.745704785262248</v>
      </c>
    </row>
    <row r="60" spans="1:12">
      <c r="A60" t="s">
        <v>15</v>
      </c>
      <c r="B60" t="s">
        <v>11</v>
      </c>
      <c r="C60" s="9" t="s">
        <v>267</v>
      </c>
      <c r="D60" t="s">
        <v>1485</v>
      </c>
      <c r="E60" t="s">
        <v>1486</v>
      </c>
      <c r="F60" s="1">
        <v>33000000</v>
      </c>
      <c r="G60">
        <v>2</v>
      </c>
      <c r="H60" s="1">
        <f>1/110000000 *0.2</f>
        <v>1.8181818181818182E-9</v>
      </c>
      <c r="I60">
        <v>3</v>
      </c>
      <c r="J60" s="19">
        <f>F60*H60</f>
        <v>0.06</v>
      </c>
      <c r="K60" s="1"/>
      <c r="L60" s="19">
        <f>J60*YLLvalue</f>
        <v>5484</v>
      </c>
    </row>
    <row r="61" spans="1:12">
      <c r="A61" t="s">
        <v>15</v>
      </c>
      <c r="B61" t="s">
        <v>11</v>
      </c>
      <c r="C61" t="s">
        <v>154</v>
      </c>
      <c r="D61" t="s">
        <v>1485</v>
      </c>
      <c r="E61" t="s">
        <v>305</v>
      </c>
      <c r="F61" s="1">
        <v>3170000000</v>
      </c>
      <c r="G61">
        <v>3</v>
      </c>
      <c r="H61" s="1">
        <f>1/110000000 *0.2</f>
        <v>1.8181818181818182E-9</v>
      </c>
      <c r="I61">
        <v>3</v>
      </c>
      <c r="J61" s="19">
        <f>F61*H61</f>
        <v>5.7636363636363637</v>
      </c>
      <c r="K61" s="1"/>
      <c r="L61" s="19">
        <f>J61*Intellectualdisability_value</f>
        <v>16330.687272727273</v>
      </c>
    </row>
    <row r="62" spans="1:12">
      <c r="A62" t="s">
        <v>15</v>
      </c>
      <c r="B62" t="s">
        <v>11</v>
      </c>
      <c r="C62" t="s">
        <v>275</v>
      </c>
      <c r="D62" s="9" t="s">
        <v>11</v>
      </c>
      <c r="E62" t="s">
        <v>1479</v>
      </c>
      <c r="F62">
        <v>0</v>
      </c>
      <c r="G62">
        <v>1</v>
      </c>
      <c r="H62">
        <v>1</v>
      </c>
      <c r="I62">
        <v>1</v>
      </c>
      <c r="J62" s="70">
        <v>0</v>
      </c>
      <c r="K62" s="1"/>
      <c r="L62" s="19">
        <v>0</v>
      </c>
    </row>
    <row r="63" spans="1:12">
      <c r="C63" t="s">
        <v>279</v>
      </c>
      <c r="E63" t="s">
        <v>279</v>
      </c>
      <c r="L63" s="19">
        <f>SUM(L59:L62)</f>
        <v>21894.432977512537</v>
      </c>
    </row>
    <row r="65" spans="1:12">
      <c r="A65" t="s">
        <v>35</v>
      </c>
      <c r="B65" t="s">
        <v>11</v>
      </c>
      <c r="C65" s="9" t="s">
        <v>1476</v>
      </c>
      <c r="D65" s="9" t="s">
        <v>10</v>
      </c>
      <c r="E65" s="9" t="s">
        <v>34</v>
      </c>
      <c r="F65" s="19">
        <f>PM2.5value</f>
        <v>79.745704785262248</v>
      </c>
      <c r="G65">
        <v>1</v>
      </c>
      <c r="H65">
        <v>1</v>
      </c>
      <c r="I65">
        <v>1</v>
      </c>
      <c r="J65" s="19">
        <f>F65*H65</f>
        <v>79.745704785262248</v>
      </c>
      <c r="L65" s="19">
        <f>J65</f>
        <v>79.745704785262248</v>
      </c>
    </row>
    <row r="66" spans="1:12">
      <c r="A66" t="s">
        <v>35</v>
      </c>
      <c r="B66" t="s">
        <v>11</v>
      </c>
      <c r="C66" t="s">
        <v>257</v>
      </c>
      <c r="D66" t="s">
        <v>139</v>
      </c>
      <c r="E66" t="s">
        <v>1477</v>
      </c>
      <c r="F66" s="1">
        <f>0.000031/70*8200000000*24</f>
        <v>87154.28571428571</v>
      </c>
      <c r="G66">
        <v>2</v>
      </c>
      <c r="H66" s="1">
        <f>1/520000000</f>
        <v>1.9230769230769231E-9</v>
      </c>
      <c r="I66">
        <v>3</v>
      </c>
      <c r="J66" s="19">
        <f>F66*H66</f>
        <v>1.6760439560439561E-4</v>
      </c>
      <c r="K66" s="1"/>
      <c r="L66" s="19">
        <f>J66*YLLvalue</f>
        <v>15.31904175824176</v>
      </c>
    </row>
    <row r="67" spans="1:12">
      <c r="A67" t="s">
        <v>35</v>
      </c>
      <c r="B67" t="s">
        <v>11</v>
      </c>
      <c r="C67" t="s">
        <v>1477</v>
      </c>
      <c r="D67" t="s">
        <v>139</v>
      </c>
      <c r="E67" t="s">
        <v>1477</v>
      </c>
      <c r="F67" s="1">
        <f>0.000031/70*8200000000*3</f>
        <v>10894.285714285714</v>
      </c>
      <c r="G67">
        <v>2</v>
      </c>
      <c r="H67" s="1">
        <f>1/520000000</f>
        <v>1.9230769230769231E-9</v>
      </c>
      <c r="I67">
        <v>3</v>
      </c>
      <c r="J67" s="19">
        <f>F67*H67</f>
        <v>2.0950549450549452E-5</v>
      </c>
      <c r="K67" s="1"/>
      <c r="L67" s="19">
        <f>J67*cancervalue</f>
        <v>3.8616010846153843E-8</v>
      </c>
    </row>
    <row r="68" spans="1:12">
      <c r="C68" s="9" t="s">
        <v>279</v>
      </c>
      <c r="E68" s="9" t="s">
        <v>279</v>
      </c>
      <c r="L68" s="19">
        <f>SUM(L65:L67)</f>
        <v>95.064746582120023</v>
      </c>
    </row>
    <row r="69" spans="1:12">
      <c r="L69" s="17"/>
    </row>
    <row r="73" spans="1:12">
      <c r="J73" s="17"/>
    </row>
  </sheetData>
  <sheetProtection algorithmName="SHA-512" hashValue="6oiOU0NMgso3bYJErwiOh8fyL5WDqQBzes9ddw2/SZFCtN4az0VUw8KoY5LRYQ2qDGnZ/uXG0HUw+7H5B7VuXw==" saltValue="XVCAW8m6sSeieFMjQSi2cg==" spinCount="100000" sheet="1" objects="1" scenarios="1"/>
  <pageMargins left="0.7" right="0.7" top="0.75" bottom="0.75" header="0.3" footer="0.3"/>
  <pageSetup paperSize="9" orientation="portrait" r:id="rId1"/>
  <ignoredErrors>
    <ignoredError sqref="F13"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K158"/>
  <sheetViews>
    <sheetView zoomScale="114" zoomScaleNormal="100" workbookViewId="0">
      <pane xSplit="1" ySplit="1" topLeftCell="B2" activePane="bottomRight" state="frozenSplit"/>
      <selection pane="topRight" activeCell="L190" sqref="L190"/>
      <selection pane="bottomLeft" activeCell="L190" sqref="L190"/>
      <selection pane="bottomRight" activeCell="V161" sqref="V161"/>
    </sheetView>
  </sheetViews>
  <sheetFormatPr baseColWidth="10" defaultColWidth="8.83203125" defaultRowHeight="13"/>
  <cols>
    <col min="1" max="1" width="33" bestFit="1" customWidth="1"/>
    <col min="2" max="2" width="8.83203125" customWidth="1"/>
    <col min="4" max="4" width="8.1640625" bestFit="1" customWidth="1"/>
    <col min="5" max="5" width="7.83203125" bestFit="1" customWidth="1"/>
    <col min="6" max="6" width="8.1640625" bestFit="1" customWidth="1"/>
    <col min="7" max="7" width="9.5" customWidth="1"/>
    <col min="8" max="8" width="10.33203125" bestFit="1" customWidth="1"/>
    <col min="9" max="12" width="10.33203125" customWidth="1"/>
    <col min="13" max="13" width="11.83203125" customWidth="1"/>
    <col min="14" max="24" width="10.33203125" customWidth="1"/>
    <col min="25" max="25" width="13.5" style="2" customWidth="1"/>
  </cols>
  <sheetData>
    <row r="1" spans="1:37" s="2" customFormat="1" ht="53" customHeight="1">
      <c r="A1" s="2" t="s">
        <v>1487</v>
      </c>
      <c r="B1" s="2" t="s">
        <v>158</v>
      </c>
      <c r="C1" s="2" t="s">
        <v>1488</v>
      </c>
      <c r="D1" s="4" t="s">
        <v>1489</v>
      </c>
      <c r="E1" s="2" t="s">
        <v>1490</v>
      </c>
      <c r="F1" s="4" t="s">
        <v>1491</v>
      </c>
      <c r="G1" s="4" t="s">
        <v>1492</v>
      </c>
      <c r="H1" s="4" t="s">
        <v>1493</v>
      </c>
      <c r="I1" s="4" t="s">
        <v>1494</v>
      </c>
      <c r="J1" s="4" t="s">
        <v>1495</v>
      </c>
      <c r="K1" s="4" t="s">
        <v>1496</v>
      </c>
      <c r="L1" s="4" t="s">
        <v>1497</v>
      </c>
      <c r="M1" s="4" t="s">
        <v>1498</v>
      </c>
      <c r="N1" s="4" t="s">
        <v>1499</v>
      </c>
      <c r="O1" s="4" t="s">
        <v>1500</v>
      </c>
      <c r="P1" s="4" t="s">
        <v>1501</v>
      </c>
      <c r="Q1" s="4" t="s">
        <v>1502</v>
      </c>
      <c r="R1" s="4" t="s">
        <v>1503</v>
      </c>
      <c r="S1" s="4" t="s">
        <v>1504</v>
      </c>
      <c r="T1" s="4" t="s">
        <v>1505</v>
      </c>
      <c r="U1" s="4" t="s">
        <v>1506</v>
      </c>
      <c r="V1" s="4" t="s">
        <v>1507</v>
      </c>
      <c r="W1" s="4" t="s">
        <v>1508</v>
      </c>
      <c r="X1" s="4" t="s">
        <v>1509</v>
      </c>
      <c r="Y1" s="4" t="s">
        <v>1771</v>
      </c>
    </row>
    <row r="2" spans="1:37">
      <c r="A2" s="8" t="s">
        <v>1510</v>
      </c>
      <c r="B2" s="8"/>
      <c r="D2" s="10"/>
      <c r="F2" s="10"/>
      <c r="G2" s="10"/>
      <c r="H2" s="10"/>
      <c r="I2" s="10"/>
      <c r="J2" s="10"/>
      <c r="K2" s="10"/>
      <c r="L2" s="10"/>
      <c r="M2" s="10"/>
      <c r="N2" s="10"/>
      <c r="O2" s="10"/>
      <c r="P2" s="10"/>
      <c r="Q2" s="10"/>
      <c r="R2" s="10"/>
      <c r="S2" s="10"/>
      <c r="T2" s="10"/>
      <c r="U2" s="10"/>
      <c r="V2" s="10"/>
      <c r="W2" s="10"/>
      <c r="X2" s="10"/>
    </row>
    <row r="3" spans="1:37">
      <c r="A3" s="9" t="s">
        <v>1511</v>
      </c>
      <c r="B3" s="9" t="s">
        <v>11</v>
      </c>
      <c r="C3">
        <v>28.4</v>
      </c>
      <c r="D3" s="10">
        <v>1.22</v>
      </c>
      <c r="E3">
        <v>8.0000000000000002E-3</v>
      </c>
      <c r="F3" s="10">
        <v>1.2</v>
      </c>
      <c r="G3" s="10">
        <v>0</v>
      </c>
      <c r="H3" s="10">
        <v>0.01</v>
      </c>
      <c r="I3" s="70">
        <f t="shared" ref="I3:I27" si="0">C3*CO2_YLL_charfact</f>
        <v>-4.2935589307411891E-6</v>
      </c>
      <c r="J3" s="19">
        <f t="shared" ref="J3:J27" si="1">E3*NOx_YOLL_Oxidant_charfact/0.46</f>
        <v>4.5673739130434779E-7</v>
      </c>
      <c r="K3" s="19">
        <f>G3*PM2.5_YLL_charfact</f>
        <v>0</v>
      </c>
      <c r="L3" s="1"/>
      <c r="M3" s="19">
        <f>CO2_severewasting_charfact*C3</f>
        <v>1.8962089914945321E-4</v>
      </c>
      <c r="N3" s="19">
        <f>CO2_workingcapacity_charfact*C3</f>
        <v>0.11864850546780073</v>
      </c>
      <c r="O3" s="19">
        <f>CO2_diarrhea_charfact*C3</f>
        <v>4.0633049817739974E-6</v>
      </c>
      <c r="P3" s="19">
        <f t="shared" ref="P3:P27" si="2">CO2_crop_charfact*C3</f>
        <v>0.53189790907249901</v>
      </c>
      <c r="Q3" s="19">
        <f t="shared" ref="Q3:Q27" si="3">charnoxcrop/0.62*E3</f>
        <v>1.3051870967741935E-2</v>
      </c>
      <c r="R3" s="19">
        <f t="shared" ref="R3:R27" si="4">CO2_wood_charfact*C3</f>
        <v>-0.81266099635479949</v>
      </c>
      <c r="S3" s="19">
        <f t="shared" ref="S3:S27" si="5">NOx_wood_oxidantcharfact/0.62*E3</f>
        <v>1.3974193548387099E-3</v>
      </c>
      <c r="T3" s="19">
        <f t="shared" ref="T3:T27" si="6">CO2_crop_charfact*C3</f>
        <v>0.53189790907249901</v>
      </c>
      <c r="U3" s="19">
        <f t="shared" ref="U3:U27" si="7">CO2_meat_charfact*C3</f>
        <v>2.2449760024301334E-2</v>
      </c>
      <c r="V3" s="19">
        <f t="shared" ref="V3:V27" si="8">CO2_fish_charfact*C3</f>
        <v>1.3815236938031592E-3</v>
      </c>
      <c r="W3" s="19">
        <f t="shared" ref="W3:W27" si="9">CO2_drinkingwater_charfact*C3</f>
        <v>4.2664702308626978</v>
      </c>
      <c r="X3" s="19">
        <f t="shared" ref="X3:X27" si="10">CO2_NEX_charfact*C3</f>
        <v>3.6118266504657758E-15</v>
      </c>
      <c r="Y3" s="53">
        <f t="shared" ref="Y3:Y27" si="11">(I3+J3+K3+L3)*YLLvalue+M3*severe_wasting_value+N3*working_capacity+O3*diarrhea_value+(P3+Q3)*cropvalue+(R3+S3)*woodvalue+T3*cropvalue+U3*meatvalue+V3*fishvalue+W3*drinkingwatervalue+X3*speciesvalue</f>
        <v>7.6990550255458849</v>
      </c>
    </row>
    <row r="4" spans="1:37">
      <c r="A4" t="s">
        <v>1512</v>
      </c>
      <c r="B4" s="9" t="s">
        <v>11</v>
      </c>
      <c r="C4">
        <v>10.1</v>
      </c>
      <c r="D4">
        <v>1.27</v>
      </c>
      <c r="E4">
        <v>0.25</v>
      </c>
      <c r="F4">
        <v>1.2</v>
      </c>
      <c r="G4">
        <v>0</v>
      </c>
      <c r="H4" s="10">
        <v>0.01</v>
      </c>
      <c r="I4" s="70">
        <f t="shared" si="0"/>
        <v>-1.5269346901579581E-6</v>
      </c>
      <c r="J4" s="19">
        <f t="shared" si="1"/>
        <v>1.4273043478260868E-5</v>
      </c>
      <c r="K4" s="19">
        <f t="shared" ref="K4:K27" si="12">G4*PM2.5_YLL_charfact</f>
        <v>0</v>
      </c>
      <c r="L4" s="18"/>
      <c r="M4" s="19">
        <f t="shared" ref="M4:M27" si="13">CO2_severewasting_charfact*C4</f>
        <v>6.7435601458080193E-5</v>
      </c>
      <c r="N4" s="19">
        <f t="shared" ref="N4:N27" si="14">CO2_workingcapacity_charfact*C4</f>
        <v>4.2195419198055896E-2</v>
      </c>
      <c r="O4" s="19">
        <f t="shared" ref="O4:O27" si="15">CO2_diarrhea_charfact*C4</f>
        <v>1.4450486026731469E-6</v>
      </c>
      <c r="P4" s="19">
        <f t="shared" si="2"/>
        <v>0.18916087611381124</v>
      </c>
      <c r="Q4" s="19">
        <f t="shared" si="3"/>
        <v>0.40787096774193549</v>
      </c>
      <c r="R4" s="19">
        <f t="shared" si="4"/>
        <v>-0.28900972053462937</v>
      </c>
      <c r="S4" s="19">
        <f t="shared" si="5"/>
        <v>4.3669354838709679E-2</v>
      </c>
      <c r="T4" s="19">
        <f t="shared" si="6"/>
        <v>0.18916087611381124</v>
      </c>
      <c r="U4" s="19">
        <f t="shared" si="7"/>
        <v>7.9838935297691371E-3</v>
      </c>
      <c r="V4" s="19">
        <f t="shared" si="8"/>
        <v>4.9131652490886995E-4</v>
      </c>
      <c r="W4" s="19">
        <f t="shared" si="9"/>
        <v>1.5173010328068044</v>
      </c>
      <c r="X4" s="19">
        <f t="shared" si="10"/>
        <v>1.2844876468205751E-15</v>
      </c>
      <c r="Y4" s="53">
        <f t="shared" si="11"/>
        <v>4.2102659549879489</v>
      </c>
      <c r="AD4" s="3"/>
      <c r="AF4" s="3"/>
      <c r="AI4" s="1"/>
      <c r="AK4" s="1"/>
    </row>
    <row r="5" spans="1:37">
      <c r="A5" t="s">
        <v>1513</v>
      </c>
      <c r="B5" s="9" t="s">
        <v>11</v>
      </c>
      <c r="C5">
        <v>9.5</v>
      </c>
      <c r="D5">
        <v>1.27</v>
      </c>
      <c r="E5">
        <v>0.55000000000000004</v>
      </c>
      <c r="F5">
        <v>1.2</v>
      </c>
      <c r="G5">
        <v>0</v>
      </c>
      <c r="H5" s="10">
        <v>0.01</v>
      </c>
      <c r="I5" s="70">
        <f t="shared" si="0"/>
        <v>-1.436225698663426E-6</v>
      </c>
      <c r="J5" s="19">
        <f t="shared" si="1"/>
        <v>3.1400695652173911E-5</v>
      </c>
      <c r="K5" s="19">
        <f t="shared" si="12"/>
        <v>0</v>
      </c>
      <c r="L5" s="1"/>
      <c r="M5" s="19">
        <f t="shared" si="13"/>
        <v>6.3429526123936822E-5</v>
      </c>
      <c r="N5" s="19">
        <f t="shared" si="14"/>
        <v>3.9688760631834755E-2</v>
      </c>
      <c r="O5" s="19">
        <f t="shared" si="15"/>
        <v>1.3592041312272175E-6</v>
      </c>
      <c r="P5" s="19">
        <f t="shared" si="2"/>
        <v>0.17792359634467395</v>
      </c>
      <c r="Q5" s="19">
        <f t="shared" si="3"/>
        <v>0.8973161290322581</v>
      </c>
      <c r="R5" s="19">
        <f t="shared" si="4"/>
        <v>-0.27184082624544348</v>
      </c>
      <c r="S5" s="19">
        <f t="shared" si="5"/>
        <v>9.6072580645161304E-2</v>
      </c>
      <c r="T5" s="19">
        <f t="shared" si="6"/>
        <v>0.17792359634467395</v>
      </c>
      <c r="U5" s="19">
        <f t="shared" si="7"/>
        <v>7.5096028250303763E-3</v>
      </c>
      <c r="V5" s="19">
        <f t="shared" si="8"/>
        <v>4.6212940461725396E-4</v>
      </c>
      <c r="W5" s="19">
        <f t="shared" si="9"/>
        <v>1.4271643377885785</v>
      </c>
      <c r="X5" s="19">
        <f t="shared" si="10"/>
        <v>1.2081814499797489E-15</v>
      </c>
      <c r="Y5" s="53">
        <f t="shared" si="11"/>
        <v>5.8356193046353955</v>
      </c>
      <c r="AD5" s="3"/>
      <c r="AF5" s="3"/>
      <c r="AI5" s="1"/>
      <c r="AK5" s="1"/>
    </row>
    <row r="6" spans="1:37">
      <c r="A6" t="s">
        <v>1514</v>
      </c>
      <c r="B6" s="9" t="s">
        <v>11</v>
      </c>
      <c r="C6">
        <v>6.5</v>
      </c>
      <c r="D6">
        <v>1.27</v>
      </c>
      <c r="E6">
        <v>0.72</v>
      </c>
      <c r="F6">
        <v>1.2</v>
      </c>
      <c r="G6">
        <v>0</v>
      </c>
      <c r="H6" s="10">
        <v>0.01</v>
      </c>
      <c r="I6" s="70">
        <f t="shared" si="0"/>
        <v>-9.8268074119076521E-7</v>
      </c>
      <c r="J6" s="19">
        <f t="shared" si="1"/>
        <v>4.1106365217391298E-5</v>
      </c>
      <c r="K6" s="19">
        <f t="shared" si="12"/>
        <v>0</v>
      </c>
      <c r="L6" s="1"/>
      <c r="M6" s="19">
        <f t="shared" si="13"/>
        <v>4.339914945321993E-5</v>
      </c>
      <c r="N6" s="19">
        <f t="shared" si="14"/>
        <v>2.7155467800729041E-2</v>
      </c>
      <c r="O6" s="19">
        <f t="shared" si="15"/>
        <v>9.2998177399756981E-7</v>
      </c>
      <c r="P6" s="19">
        <f t="shared" si="2"/>
        <v>0.12173719749898744</v>
      </c>
      <c r="Q6" s="19">
        <f t="shared" si="3"/>
        <v>1.1746683870967742</v>
      </c>
      <c r="R6" s="19">
        <f t="shared" si="4"/>
        <v>-0.18599635479951396</v>
      </c>
      <c r="S6" s="19">
        <f t="shared" si="5"/>
        <v>0.12576774193548387</v>
      </c>
      <c r="T6" s="19">
        <f t="shared" si="6"/>
        <v>0.12173719749898744</v>
      </c>
      <c r="U6" s="19">
        <f t="shared" si="7"/>
        <v>5.1381493013365736E-3</v>
      </c>
      <c r="V6" s="19">
        <f t="shared" si="8"/>
        <v>3.1619380315917376E-4</v>
      </c>
      <c r="W6" s="19">
        <f t="shared" si="9"/>
        <v>0.97648086269744838</v>
      </c>
      <c r="X6" s="19">
        <f t="shared" si="10"/>
        <v>8.2665046577561775E-16</v>
      </c>
      <c r="Y6" s="53">
        <f t="shared" si="11"/>
        <v>6.0400075063649137</v>
      </c>
      <c r="AD6" s="3"/>
      <c r="AF6" s="3"/>
      <c r="AI6" s="1"/>
      <c r="AK6" s="1"/>
    </row>
    <row r="7" spans="1:37">
      <c r="A7" t="s">
        <v>1515</v>
      </c>
      <c r="B7" s="9" t="s">
        <v>11</v>
      </c>
      <c r="C7">
        <v>2.36</v>
      </c>
      <c r="D7">
        <v>2</v>
      </c>
      <c r="E7">
        <v>0.57999999999999996</v>
      </c>
      <c r="F7">
        <v>1.2</v>
      </c>
      <c r="G7">
        <v>0</v>
      </c>
      <c r="H7" s="10">
        <v>0.01</v>
      </c>
      <c r="I7" s="70">
        <f t="shared" si="0"/>
        <v>-3.5678869987849318E-7</v>
      </c>
      <c r="J7" s="19">
        <f t="shared" si="1"/>
        <v>3.3113460869565214E-5</v>
      </c>
      <c r="K7" s="19">
        <f t="shared" si="12"/>
        <v>0</v>
      </c>
      <c r="L7" s="1"/>
      <c r="M7" s="19">
        <f t="shared" si="13"/>
        <v>1.5757229647630619E-5</v>
      </c>
      <c r="N7" s="19">
        <f t="shared" si="14"/>
        <v>9.8595236938031593E-3</v>
      </c>
      <c r="O7" s="19">
        <f t="shared" si="15"/>
        <v>3.3765492102065614E-7</v>
      </c>
      <c r="P7" s="19">
        <f t="shared" si="2"/>
        <v>4.4199967091940053E-2</v>
      </c>
      <c r="Q7" s="19">
        <f t="shared" si="3"/>
        <v>0.94626064516129027</v>
      </c>
      <c r="R7" s="19">
        <f t="shared" si="4"/>
        <v>-6.7530984204131228E-2</v>
      </c>
      <c r="S7" s="19">
        <f t="shared" si="5"/>
        <v>0.10131290322580645</v>
      </c>
      <c r="T7" s="19">
        <f t="shared" si="6"/>
        <v>4.4199967091940053E-2</v>
      </c>
      <c r="U7" s="19">
        <f t="shared" si="7"/>
        <v>1.8655434386391249E-3</v>
      </c>
      <c r="V7" s="19">
        <f t="shared" si="8"/>
        <v>1.1480267314702308E-4</v>
      </c>
      <c r="W7" s="19">
        <f t="shared" si="9"/>
        <v>0.35453766707168893</v>
      </c>
      <c r="X7" s="19">
        <f t="shared" si="10"/>
        <v>3.0013770757391656E-16</v>
      </c>
      <c r="Y7" s="53">
        <f t="shared" si="11"/>
        <v>4.0906925454119563</v>
      </c>
      <c r="AA7" s="9"/>
      <c r="AD7" s="3"/>
      <c r="AF7" s="3"/>
      <c r="AI7" s="1"/>
      <c r="AK7" s="1"/>
    </row>
    <row r="8" spans="1:37">
      <c r="A8" t="s">
        <v>1516</v>
      </c>
      <c r="B8" s="9" t="s">
        <v>11</v>
      </c>
      <c r="C8">
        <v>2.36</v>
      </c>
      <c r="D8">
        <v>2</v>
      </c>
      <c r="E8">
        <v>0.94</v>
      </c>
      <c r="F8">
        <v>1.2</v>
      </c>
      <c r="G8">
        <v>0</v>
      </c>
      <c r="H8" s="10">
        <v>0.01</v>
      </c>
      <c r="I8" s="70">
        <f t="shared" si="0"/>
        <v>-3.5678869987849318E-7</v>
      </c>
      <c r="J8" s="19">
        <f t="shared" si="1"/>
        <v>5.3666643478260853E-5</v>
      </c>
      <c r="K8" s="19">
        <f t="shared" si="12"/>
        <v>0</v>
      </c>
      <c r="L8" s="1"/>
      <c r="M8" s="19">
        <f t="shared" si="13"/>
        <v>1.5757229647630619E-5</v>
      </c>
      <c r="N8" s="19">
        <f t="shared" si="14"/>
        <v>9.8595236938031593E-3</v>
      </c>
      <c r="O8" s="19">
        <f t="shared" si="15"/>
        <v>3.3765492102065614E-7</v>
      </c>
      <c r="P8" s="19">
        <f t="shared" si="2"/>
        <v>4.4199967091940053E-2</v>
      </c>
      <c r="Q8" s="19">
        <f t="shared" si="3"/>
        <v>1.5335948387096774</v>
      </c>
      <c r="R8" s="19">
        <f t="shared" si="4"/>
        <v>-6.7530984204131228E-2</v>
      </c>
      <c r="S8" s="19">
        <f t="shared" si="5"/>
        <v>0.16419677419354839</v>
      </c>
      <c r="T8" s="19">
        <f t="shared" si="6"/>
        <v>4.4199967091940053E-2</v>
      </c>
      <c r="U8" s="19">
        <f t="shared" si="7"/>
        <v>1.8655434386391249E-3</v>
      </c>
      <c r="V8" s="19">
        <f t="shared" si="8"/>
        <v>1.1480267314702308E-4</v>
      </c>
      <c r="W8" s="19">
        <f t="shared" si="9"/>
        <v>0.35453766707168893</v>
      </c>
      <c r="X8" s="19">
        <f t="shared" si="10"/>
        <v>3.0013770757391656E-16</v>
      </c>
      <c r="Y8" s="53">
        <f t="shared" si="11"/>
        <v>6.2350957610080275</v>
      </c>
      <c r="AD8" s="3"/>
      <c r="AF8" s="3"/>
      <c r="AI8" s="1"/>
      <c r="AK8" s="1"/>
    </row>
    <row r="9" spans="1:37">
      <c r="A9" t="s">
        <v>1517</v>
      </c>
      <c r="B9" s="9" t="s">
        <v>11</v>
      </c>
      <c r="C9">
        <v>2.36</v>
      </c>
      <c r="D9">
        <v>2</v>
      </c>
      <c r="E9">
        <v>0.45</v>
      </c>
      <c r="F9">
        <v>1.3</v>
      </c>
      <c r="G9">
        <v>0</v>
      </c>
      <c r="H9" s="10">
        <v>0.01</v>
      </c>
      <c r="I9" s="70">
        <f t="shared" si="0"/>
        <v>-3.5678869987849318E-7</v>
      </c>
      <c r="J9" s="19">
        <f t="shared" si="1"/>
        <v>2.5691478260869562E-5</v>
      </c>
      <c r="K9" s="19">
        <f t="shared" si="12"/>
        <v>0</v>
      </c>
      <c r="L9" s="1"/>
      <c r="M9" s="19">
        <f t="shared" si="13"/>
        <v>1.5757229647630619E-5</v>
      </c>
      <c r="N9" s="19">
        <f t="shared" si="14"/>
        <v>9.8595236938031593E-3</v>
      </c>
      <c r="O9" s="19">
        <f t="shared" si="15"/>
        <v>3.3765492102065614E-7</v>
      </c>
      <c r="P9" s="19">
        <f t="shared" si="2"/>
        <v>4.4199967091940053E-2</v>
      </c>
      <c r="Q9" s="19">
        <f t="shared" si="3"/>
        <v>0.73416774193548384</v>
      </c>
      <c r="R9" s="19">
        <f t="shared" si="4"/>
        <v>-6.7530984204131228E-2</v>
      </c>
      <c r="S9" s="19">
        <f t="shared" si="5"/>
        <v>7.8604838709677424E-2</v>
      </c>
      <c r="T9" s="19">
        <f t="shared" si="6"/>
        <v>4.4199967091940053E-2</v>
      </c>
      <c r="U9" s="19">
        <f t="shared" si="7"/>
        <v>1.8655434386391249E-3</v>
      </c>
      <c r="V9" s="19">
        <f t="shared" si="8"/>
        <v>1.1480267314702308E-4</v>
      </c>
      <c r="W9" s="19">
        <f t="shared" si="9"/>
        <v>0.35453766707168893</v>
      </c>
      <c r="X9" s="19">
        <f t="shared" si="10"/>
        <v>3.0013770757391656E-16</v>
      </c>
      <c r="Y9" s="53">
        <f t="shared" si="11"/>
        <v>3.3163247175578192</v>
      </c>
      <c r="AD9" s="3"/>
      <c r="AF9" s="3"/>
      <c r="AI9" s="1"/>
      <c r="AK9" s="1"/>
    </row>
    <row r="10" spans="1:37">
      <c r="A10" s="9" t="s">
        <v>1518</v>
      </c>
      <c r="B10" s="9" t="s">
        <v>11</v>
      </c>
      <c r="C10">
        <v>2.36</v>
      </c>
      <c r="D10">
        <v>2</v>
      </c>
      <c r="E10">
        <v>0.17299999999999999</v>
      </c>
      <c r="F10">
        <v>1.4</v>
      </c>
      <c r="G10">
        <v>0</v>
      </c>
      <c r="H10" s="10">
        <v>0.01</v>
      </c>
      <c r="I10" s="70">
        <f t="shared" si="0"/>
        <v>-3.5678869987849318E-7</v>
      </c>
      <c r="J10" s="19">
        <f t="shared" si="1"/>
        <v>9.8769460869565187E-6</v>
      </c>
      <c r="K10" s="19">
        <f t="shared" si="12"/>
        <v>0</v>
      </c>
      <c r="L10" s="1"/>
      <c r="M10" s="19">
        <f t="shared" si="13"/>
        <v>1.5757229647630619E-5</v>
      </c>
      <c r="N10" s="19">
        <f t="shared" si="14"/>
        <v>9.8595236938031593E-3</v>
      </c>
      <c r="O10" s="19">
        <f t="shared" si="15"/>
        <v>3.3765492102065614E-7</v>
      </c>
      <c r="P10" s="19">
        <f t="shared" si="2"/>
        <v>4.4199967091940053E-2</v>
      </c>
      <c r="Q10" s="19">
        <f t="shared" si="3"/>
        <v>0.28224670967741933</v>
      </c>
      <c r="R10" s="19">
        <f t="shared" si="4"/>
        <v>-6.7530984204131228E-2</v>
      </c>
      <c r="S10" s="19">
        <f t="shared" si="5"/>
        <v>3.0219193548387095E-2</v>
      </c>
      <c r="T10" s="19">
        <f t="shared" si="6"/>
        <v>4.4199967091940053E-2</v>
      </c>
      <c r="U10" s="19">
        <f t="shared" si="7"/>
        <v>1.8655434386391249E-3</v>
      </c>
      <c r="V10" s="19">
        <f t="shared" si="8"/>
        <v>1.1480267314702308E-4</v>
      </c>
      <c r="W10" s="19">
        <f t="shared" si="9"/>
        <v>0.35453766707168893</v>
      </c>
      <c r="X10" s="19">
        <f t="shared" si="10"/>
        <v>3.0013770757391656E-16</v>
      </c>
      <c r="Y10" s="53">
        <f t="shared" si="11"/>
        <v>1.6663255766686178</v>
      </c>
      <c r="AD10" s="3"/>
      <c r="AF10" s="3"/>
      <c r="AI10" s="1"/>
      <c r="AK10" s="1"/>
    </row>
    <row r="11" spans="1:37">
      <c r="A11" s="9" t="s">
        <v>1519</v>
      </c>
      <c r="B11" s="9" t="s">
        <v>11</v>
      </c>
      <c r="C11">
        <v>2.36</v>
      </c>
      <c r="D11">
        <v>2</v>
      </c>
      <c r="E11">
        <v>0.3</v>
      </c>
      <c r="F11">
        <v>1.5</v>
      </c>
      <c r="G11">
        <v>0</v>
      </c>
      <c r="H11" s="10">
        <v>0.01</v>
      </c>
      <c r="I11" s="70">
        <f>C11*CO2_YLL_charfact</f>
        <v>-3.5678869987849318E-7</v>
      </c>
      <c r="J11" s="19">
        <f t="shared" si="1"/>
        <v>1.7127652173913043E-5</v>
      </c>
      <c r="K11" s="19">
        <f>G11*PM2.5_YLL_charfact</f>
        <v>0</v>
      </c>
      <c r="L11" s="1"/>
      <c r="M11" s="19">
        <f>CO2_severewasting_charfact*C11</f>
        <v>1.5757229647630619E-5</v>
      </c>
      <c r="N11" s="19">
        <f>CO2_workingcapacity_charfact*C11</f>
        <v>9.8595236938031593E-3</v>
      </c>
      <c r="O11" s="19">
        <f>CO2_diarrhea_charfact*C11</f>
        <v>3.3765492102065614E-7</v>
      </c>
      <c r="P11" s="19">
        <f t="shared" si="2"/>
        <v>4.4199967091940053E-2</v>
      </c>
      <c r="Q11" s="19">
        <f t="shared" si="3"/>
        <v>0.48944516129032256</v>
      </c>
      <c r="R11" s="19">
        <f t="shared" si="4"/>
        <v>-6.7530984204131228E-2</v>
      </c>
      <c r="S11" s="19">
        <f t="shared" si="5"/>
        <v>5.2403225806451612E-2</v>
      </c>
      <c r="T11" s="19">
        <f t="shared" si="6"/>
        <v>4.4199967091940053E-2</v>
      </c>
      <c r="U11" s="19">
        <f t="shared" si="7"/>
        <v>1.8655434386391249E-3</v>
      </c>
      <c r="V11" s="19">
        <f t="shared" si="8"/>
        <v>1.1480267314702308E-4</v>
      </c>
      <c r="W11" s="19">
        <f t="shared" si="9"/>
        <v>0.35453766707168893</v>
      </c>
      <c r="X11" s="19">
        <f t="shared" si="10"/>
        <v>3.0013770757391656E-16</v>
      </c>
      <c r="Y11" s="53">
        <f t="shared" si="11"/>
        <v>2.4228233777261221</v>
      </c>
      <c r="AD11" s="3"/>
      <c r="AF11" s="3"/>
      <c r="AI11" s="1"/>
      <c r="AK11" s="1"/>
    </row>
    <row r="12" spans="1:37">
      <c r="A12" t="s">
        <v>1520</v>
      </c>
      <c r="B12" s="9" t="s">
        <v>11</v>
      </c>
      <c r="C12">
        <v>2.36</v>
      </c>
      <c r="D12">
        <v>2</v>
      </c>
      <c r="E12">
        <v>1.04</v>
      </c>
      <c r="F12">
        <v>1.2</v>
      </c>
      <c r="G12">
        <v>0</v>
      </c>
      <c r="H12" s="10">
        <v>0.01</v>
      </c>
      <c r="I12" s="70">
        <f t="shared" si="0"/>
        <v>-3.5678869987849318E-7</v>
      </c>
      <c r="J12" s="19">
        <f t="shared" si="1"/>
        <v>5.9375860869565215E-5</v>
      </c>
      <c r="K12" s="19">
        <f t="shared" si="12"/>
        <v>0</v>
      </c>
      <c r="L12" s="1"/>
      <c r="M12" s="19">
        <f t="shared" si="13"/>
        <v>1.5757229647630619E-5</v>
      </c>
      <c r="N12" s="19">
        <f t="shared" si="14"/>
        <v>9.8595236938031593E-3</v>
      </c>
      <c r="O12" s="19">
        <f t="shared" si="15"/>
        <v>3.3765492102065614E-7</v>
      </c>
      <c r="P12" s="19">
        <f t="shared" si="2"/>
        <v>4.4199967091940053E-2</v>
      </c>
      <c r="Q12" s="19">
        <f t="shared" si="3"/>
        <v>1.6967432258064516</v>
      </c>
      <c r="R12" s="19">
        <f t="shared" si="4"/>
        <v>-6.7530984204131228E-2</v>
      </c>
      <c r="S12" s="19">
        <f t="shared" si="5"/>
        <v>0.18166451612903228</v>
      </c>
      <c r="T12" s="19">
        <f t="shared" si="6"/>
        <v>4.4199967091940053E-2</v>
      </c>
      <c r="U12" s="19">
        <f t="shared" si="7"/>
        <v>1.8655434386391249E-3</v>
      </c>
      <c r="V12" s="19">
        <f t="shared" si="8"/>
        <v>1.1480267314702308E-4</v>
      </c>
      <c r="W12" s="19">
        <f t="shared" si="9"/>
        <v>0.35453766707168893</v>
      </c>
      <c r="X12" s="19">
        <f t="shared" si="10"/>
        <v>3.0013770757391656E-16</v>
      </c>
      <c r="Y12" s="53">
        <f t="shared" si="11"/>
        <v>6.8307633208958265</v>
      </c>
      <c r="AD12" s="3"/>
      <c r="AF12" s="3"/>
      <c r="AI12" s="1"/>
      <c r="AK12" s="1"/>
    </row>
    <row r="13" spans="1:37">
      <c r="A13" t="s">
        <v>1521</v>
      </c>
      <c r="B13" s="9" t="s">
        <v>11</v>
      </c>
      <c r="C13">
        <v>2.36</v>
      </c>
      <c r="D13">
        <v>2</v>
      </c>
      <c r="E13">
        <v>0.82</v>
      </c>
      <c r="F13">
        <v>1.2</v>
      </c>
      <c r="G13">
        <v>0</v>
      </c>
      <c r="H13" s="10">
        <v>0.01</v>
      </c>
      <c r="I13" s="70">
        <f t="shared" si="0"/>
        <v>-3.5678869987849318E-7</v>
      </c>
      <c r="J13" s="19">
        <f t="shared" si="1"/>
        <v>4.681558260869564E-5</v>
      </c>
      <c r="K13" s="19">
        <f t="shared" si="12"/>
        <v>0</v>
      </c>
      <c r="L13" s="1"/>
      <c r="M13" s="19">
        <f t="shared" si="13"/>
        <v>1.5757229647630619E-5</v>
      </c>
      <c r="N13" s="19">
        <f t="shared" si="14"/>
        <v>9.8595236938031593E-3</v>
      </c>
      <c r="O13" s="19">
        <f t="shared" si="15"/>
        <v>3.3765492102065614E-7</v>
      </c>
      <c r="P13" s="19">
        <f t="shared" si="2"/>
        <v>4.4199967091940053E-2</v>
      </c>
      <c r="Q13" s="19">
        <f t="shared" si="3"/>
        <v>1.3378167741935483</v>
      </c>
      <c r="R13" s="19">
        <f t="shared" si="4"/>
        <v>-6.7530984204131228E-2</v>
      </c>
      <c r="S13" s="19">
        <f t="shared" si="5"/>
        <v>0.14323548387096774</v>
      </c>
      <c r="T13" s="19">
        <f t="shared" si="6"/>
        <v>4.4199967091940053E-2</v>
      </c>
      <c r="U13" s="19">
        <f t="shared" si="7"/>
        <v>1.8655434386391249E-3</v>
      </c>
      <c r="V13" s="19">
        <f t="shared" si="8"/>
        <v>1.1480267314702308E-4</v>
      </c>
      <c r="W13" s="19">
        <f t="shared" si="9"/>
        <v>0.35453766707168893</v>
      </c>
      <c r="X13" s="19">
        <f t="shared" si="10"/>
        <v>3.0013770757391656E-16</v>
      </c>
      <c r="Y13" s="53">
        <f t="shared" si="11"/>
        <v>5.5202946891426699</v>
      </c>
      <c r="AD13" s="3"/>
      <c r="AF13" s="3"/>
      <c r="AI13" s="1"/>
      <c r="AK13" s="1"/>
    </row>
    <row r="14" spans="1:37">
      <c r="A14" t="s">
        <v>1522</v>
      </c>
      <c r="B14" s="9" t="s">
        <v>11</v>
      </c>
      <c r="C14">
        <v>2.36</v>
      </c>
      <c r="D14">
        <v>2</v>
      </c>
      <c r="E14">
        <v>0.9</v>
      </c>
      <c r="F14">
        <v>1.2</v>
      </c>
      <c r="G14">
        <v>0</v>
      </c>
      <c r="H14" s="10">
        <v>0.01</v>
      </c>
      <c r="I14" s="70">
        <f t="shared" si="0"/>
        <v>-3.5678869987849318E-7</v>
      </c>
      <c r="J14" s="19">
        <f t="shared" si="1"/>
        <v>5.1382956521739124E-5</v>
      </c>
      <c r="K14" s="19">
        <f t="shared" si="12"/>
        <v>0</v>
      </c>
      <c r="L14" s="1"/>
      <c r="M14" s="19">
        <f t="shared" si="13"/>
        <v>1.5757229647630619E-5</v>
      </c>
      <c r="N14" s="19">
        <f t="shared" si="14"/>
        <v>9.8595236938031593E-3</v>
      </c>
      <c r="O14" s="19">
        <f t="shared" si="15"/>
        <v>3.3765492102065614E-7</v>
      </c>
      <c r="P14" s="19">
        <f t="shared" si="2"/>
        <v>4.4199967091940053E-2</v>
      </c>
      <c r="Q14" s="19">
        <f t="shared" si="3"/>
        <v>1.4683354838709677</v>
      </c>
      <c r="R14" s="19">
        <f t="shared" si="4"/>
        <v>-6.7530984204131228E-2</v>
      </c>
      <c r="S14" s="19">
        <f t="shared" si="5"/>
        <v>0.15720967741935485</v>
      </c>
      <c r="T14" s="19">
        <f t="shared" si="6"/>
        <v>4.4199967091940053E-2</v>
      </c>
      <c r="U14" s="19">
        <f t="shared" si="7"/>
        <v>1.8655434386391249E-3</v>
      </c>
      <c r="V14" s="19">
        <f t="shared" si="8"/>
        <v>1.1480267314702308E-4</v>
      </c>
      <c r="W14" s="19">
        <f t="shared" si="9"/>
        <v>0.35453766707168893</v>
      </c>
      <c r="X14" s="19">
        <f t="shared" si="10"/>
        <v>3.0013770757391656E-16</v>
      </c>
      <c r="Y14" s="53">
        <f t="shared" si="11"/>
        <v>5.9968287370529083</v>
      </c>
      <c r="AD14" s="3"/>
      <c r="AF14" s="3"/>
      <c r="AI14" s="1"/>
      <c r="AK14" s="1"/>
    </row>
    <row r="15" spans="1:37">
      <c r="A15" t="s">
        <v>1523</v>
      </c>
      <c r="B15" s="9" t="s">
        <v>11</v>
      </c>
      <c r="C15">
        <v>2.36</v>
      </c>
      <c r="D15">
        <v>2</v>
      </c>
      <c r="E15">
        <v>0.47899999999999998</v>
      </c>
      <c r="F15">
        <v>1.4</v>
      </c>
      <c r="G15">
        <v>0</v>
      </c>
      <c r="H15" s="10">
        <v>0.01</v>
      </c>
      <c r="I15" s="70">
        <f t="shared" si="0"/>
        <v>-3.5678869987849318E-7</v>
      </c>
      <c r="J15" s="19">
        <f t="shared" si="1"/>
        <v>2.7347151304347822E-5</v>
      </c>
      <c r="K15" s="19">
        <f t="shared" si="12"/>
        <v>0</v>
      </c>
      <c r="L15" s="1"/>
      <c r="M15" s="19">
        <f t="shared" si="13"/>
        <v>1.5757229647630619E-5</v>
      </c>
      <c r="N15" s="19">
        <f t="shared" si="14"/>
        <v>9.8595236938031593E-3</v>
      </c>
      <c r="O15" s="19">
        <f t="shared" si="15"/>
        <v>3.3765492102065614E-7</v>
      </c>
      <c r="P15" s="19">
        <f t="shared" si="2"/>
        <v>4.4199967091940053E-2</v>
      </c>
      <c r="Q15" s="19">
        <f t="shared" si="3"/>
        <v>0.78148077419354833</v>
      </c>
      <c r="R15" s="19">
        <f t="shared" si="4"/>
        <v>-6.7530984204131228E-2</v>
      </c>
      <c r="S15" s="19">
        <f t="shared" si="5"/>
        <v>8.3670483870967746E-2</v>
      </c>
      <c r="T15" s="19">
        <f t="shared" si="6"/>
        <v>4.4199967091940053E-2</v>
      </c>
      <c r="U15" s="19">
        <f t="shared" si="7"/>
        <v>1.8655434386391249E-3</v>
      </c>
      <c r="V15" s="19">
        <f t="shared" si="8"/>
        <v>1.1480267314702308E-4</v>
      </c>
      <c r="W15" s="19">
        <f t="shared" si="9"/>
        <v>0.35453766707168893</v>
      </c>
      <c r="X15" s="19">
        <f t="shared" si="10"/>
        <v>3.0013770757391656E-16</v>
      </c>
      <c r="Y15" s="53">
        <f t="shared" si="11"/>
        <v>3.4890683099252811</v>
      </c>
      <c r="AD15" s="3"/>
      <c r="AF15" s="3"/>
      <c r="AI15" s="1"/>
      <c r="AK15" s="1"/>
    </row>
    <row r="16" spans="1:37">
      <c r="A16" t="s">
        <v>1524</v>
      </c>
      <c r="B16" s="9" t="s">
        <v>11</v>
      </c>
      <c r="C16">
        <v>2.36</v>
      </c>
      <c r="D16">
        <v>2</v>
      </c>
      <c r="E16">
        <v>0.24099999999999999</v>
      </c>
      <c r="F16">
        <v>1.4</v>
      </c>
      <c r="G16">
        <v>0</v>
      </c>
      <c r="H16" s="10">
        <v>0.01</v>
      </c>
      <c r="I16" s="70">
        <f t="shared" si="0"/>
        <v>-3.5678869987849318E-7</v>
      </c>
      <c r="J16" s="19">
        <f t="shared" si="1"/>
        <v>1.3759213913043476E-5</v>
      </c>
      <c r="K16" s="19">
        <f t="shared" si="12"/>
        <v>0</v>
      </c>
      <c r="L16" s="1"/>
      <c r="M16" s="19">
        <f t="shared" si="13"/>
        <v>1.5757229647630619E-5</v>
      </c>
      <c r="N16" s="19">
        <f t="shared" si="14"/>
        <v>9.8595236938031593E-3</v>
      </c>
      <c r="O16" s="19">
        <f t="shared" si="15"/>
        <v>3.3765492102065614E-7</v>
      </c>
      <c r="P16" s="19">
        <f t="shared" si="2"/>
        <v>4.4199967091940053E-2</v>
      </c>
      <c r="Q16" s="19">
        <f t="shared" si="3"/>
        <v>0.39318761290322579</v>
      </c>
      <c r="R16" s="19">
        <f t="shared" si="4"/>
        <v>-6.7530984204131228E-2</v>
      </c>
      <c r="S16" s="19">
        <f t="shared" si="5"/>
        <v>4.2097258064516127E-2</v>
      </c>
      <c r="T16" s="19">
        <f t="shared" si="6"/>
        <v>4.4199967091940053E-2</v>
      </c>
      <c r="U16" s="19">
        <f t="shared" si="7"/>
        <v>1.8655434386391249E-3</v>
      </c>
      <c r="V16" s="19">
        <f t="shared" si="8"/>
        <v>1.1480267314702308E-4</v>
      </c>
      <c r="W16" s="19">
        <f t="shared" si="9"/>
        <v>0.35453766707168893</v>
      </c>
      <c r="X16" s="19">
        <f t="shared" si="10"/>
        <v>3.0013770757391656E-16</v>
      </c>
      <c r="Y16" s="53">
        <f t="shared" si="11"/>
        <v>2.0713795173923208</v>
      </c>
      <c r="AD16" s="3"/>
      <c r="AF16" s="3"/>
      <c r="AI16" s="1"/>
      <c r="AK16" s="1"/>
    </row>
    <row r="17" spans="1:37">
      <c r="A17" t="s">
        <v>1525</v>
      </c>
      <c r="B17" s="9" t="s">
        <v>11</v>
      </c>
      <c r="C17">
        <v>2.36</v>
      </c>
      <c r="D17">
        <v>2</v>
      </c>
      <c r="E17">
        <v>1</v>
      </c>
      <c r="F17">
        <v>1.2</v>
      </c>
      <c r="G17">
        <v>0.11</v>
      </c>
      <c r="H17">
        <v>2</v>
      </c>
      <c r="I17" s="70">
        <f t="shared" si="0"/>
        <v>-3.5678869987849318E-7</v>
      </c>
      <c r="J17" s="19">
        <f t="shared" si="1"/>
        <v>5.7092173913043473E-5</v>
      </c>
      <c r="K17" s="19">
        <f t="shared" si="12"/>
        <v>1.741430756986634E-4</v>
      </c>
      <c r="L17" s="1"/>
      <c r="M17" s="19">
        <f t="shared" si="13"/>
        <v>1.5757229647630619E-5</v>
      </c>
      <c r="N17" s="19">
        <f t="shared" si="14"/>
        <v>9.8595236938031593E-3</v>
      </c>
      <c r="O17" s="19">
        <f t="shared" si="15"/>
        <v>3.3765492102065614E-7</v>
      </c>
      <c r="P17" s="19">
        <f t="shared" si="2"/>
        <v>4.4199967091940053E-2</v>
      </c>
      <c r="Q17" s="19">
        <f t="shared" si="3"/>
        <v>1.6314838709677419</v>
      </c>
      <c r="R17" s="19">
        <f t="shared" si="4"/>
        <v>-6.7530984204131228E-2</v>
      </c>
      <c r="S17" s="19">
        <f t="shared" si="5"/>
        <v>0.17467741935483871</v>
      </c>
      <c r="T17" s="19">
        <f t="shared" si="6"/>
        <v>4.4199967091940053E-2</v>
      </c>
      <c r="U17" s="19">
        <f t="shared" si="7"/>
        <v>1.8655434386391249E-3</v>
      </c>
      <c r="V17" s="19">
        <f t="shared" si="8"/>
        <v>1.1480267314702308E-4</v>
      </c>
      <c r="W17" s="19">
        <f t="shared" si="9"/>
        <v>0.35453766707168893</v>
      </c>
      <c r="X17" s="19">
        <f t="shared" si="10"/>
        <v>3.0013770757391656E-16</v>
      </c>
      <c r="Y17" s="53">
        <f t="shared" si="11"/>
        <v>22.509173415798543</v>
      </c>
      <c r="AD17" s="3"/>
      <c r="AF17" s="3"/>
      <c r="AI17" s="1"/>
      <c r="AK17" s="1"/>
    </row>
    <row r="18" spans="1:37">
      <c r="A18" t="s">
        <v>1526</v>
      </c>
      <c r="B18" s="9" t="s">
        <v>11</v>
      </c>
      <c r="C18">
        <v>2.36</v>
      </c>
      <c r="D18">
        <v>2</v>
      </c>
      <c r="E18">
        <v>0.41099999999999998</v>
      </c>
      <c r="F18">
        <v>1.4</v>
      </c>
      <c r="G18">
        <v>0.11</v>
      </c>
      <c r="H18">
        <v>2</v>
      </c>
      <c r="I18" s="70">
        <f t="shared" si="0"/>
        <v>-3.5678869987849318E-7</v>
      </c>
      <c r="J18" s="19">
        <f t="shared" si="1"/>
        <v>2.3464883478260867E-5</v>
      </c>
      <c r="K18" s="19">
        <f t="shared" si="12"/>
        <v>1.741430756986634E-4</v>
      </c>
      <c r="L18" s="1"/>
      <c r="M18" s="19">
        <f t="shared" si="13"/>
        <v>1.5757229647630619E-5</v>
      </c>
      <c r="N18" s="19">
        <f t="shared" si="14"/>
        <v>9.8595236938031593E-3</v>
      </c>
      <c r="O18" s="19">
        <f t="shared" si="15"/>
        <v>3.3765492102065614E-7</v>
      </c>
      <c r="P18" s="19">
        <f t="shared" si="2"/>
        <v>4.4199967091940053E-2</v>
      </c>
      <c r="Q18" s="19">
        <f t="shared" si="3"/>
        <v>0.67053987096774192</v>
      </c>
      <c r="R18" s="19">
        <f t="shared" si="4"/>
        <v>-6.7530984204131228E-2</v>
      </c>
      <c r="S18" s="19">
        <f t="shared" si="5"/>
        <v>7.179241935483871E-2</v>
      </c>
      <c r="T18" s="19">
        <f t="shared" si="6"/>
        <v>4.4199967091940053E-2</v>
      </c>
      <c r="U18" s="19">
        <f t="shared" si="7"/>
        <v>1.8655434386391249E-3</v>
      </c>
      <c r="V18" s="19">
        <f t="shared" si="8"/>
        <v>1.1480267314702308E-4</v>
      </c>
      <c r="W18" s="19">
        <f t="shared" si="9"/>
        <v>0.35453766707168893</v>
      </c>
      <c r="X18" s="19">
        <f t="shared" si="10"/>
        <v>3.0013770757391656E-16</v>
      </c>
      <c r="Y18" s="53">
        <f t="shared" si="11"/>
        <v>19.000691488059417</v>
      </c>
      <c r="AD18" s="3"/>
      <c r="AF18" s="3"/>
      <c r="AI18" s="1"/>
      <c r="AK18" s="1"/>
    </row>
    <row r="19" spans="1:37">
      <c r="A19" t="s">
        <v>1527</v>
      </c>
      <c r="B19" s="9" t="s">
        <v>11</v>
      </c>
      <c r="C19">
        <v>2.36</v>
      </c>
      <c r="D19">
        <v>2</v>
      </c>
      <c r="E19">
        <v>0.36399999999999999</v>
      </c>
      <c r="F19">
        <v>1.4</v>
      </c>
      <c r="G19">
        <v>0.11</v>
      </c>
      <c r="H19">
        <v>2</v>
      </c>
      <c r="I19" s="70">
        <f t="shared" si="0"/>
        <v>-3.5678869987849318E-7</v>
      </c>
      <c r="J19" s="19">
        <f t="shared" si="1"/>
        <v>2.0781551304347822E-5</v>
      </c>
      <c r="K19" s="19">
        <f t="shared" si="12"/>
        <v>1.741430756986634E-4</v>
      </c>
      <c r="L19" s="1"/>
      <c r="M19" s="19">
        <f t="shared" si="13"/>
        <v>1.5757229647630619E-5</v>
      </c>
      <c r="N19" s="19">
        <f t="shared" si="14"/>
        <v>9.8595236938031593E-3</v>
      </c>
      <c r="O19" s="19">
        <f t="shared" si="15"/>
        <v>3.3765492102065614E-7</v>
      </c>
      <c r="P19" s="19">
        <f t="shared" si="2"/>
        <v>4.4199967091940053E-2</v>
      </c>
      <c r="Q19" s="19">
        <f t="shared" si="3"/>
        <v>0.59386012903225804</v>
      </c>
      <c r="R19" s="19">
        <f t="shared" si="4"/>
        <v>-6.7530984204131228E-2</v>
      </c>
      <c r="S19" s="19">
        <f t="shared" si="5"/>
        <v>6.3582580645161285E-2</v>
      </c>
      <c r="T19" s="19">
        <f t="shared" si="6"/>
        <v>4.4199967091940053E-2</v>
      </c>
      <c r="U19" s="19">
        <f t="shared" si="7"/>
        <v>1.8655434386391249E-3</v>
      </c>
      <c r="V19" s="19">
        <f t="shared" si="8"/>
        <v>1.1480267314702308E-4</v>
      </c>
      <c r="W19" s="19">
        <f t="shared" si="9"/>
        <v>0.35453766707168893</v>
      </c>
      <c r="X19" s="19">
        <f t="shared" si="10"/>
        <v>3.0013770757391656E-16</v>
      </c>
      <c r="Y19" s="53">
        <f t="shared" si="11"/>
        <v>18.720727734912153</v>
      </c>
      <c r="AD19" s="3"/>
      <c r="AF19" s="3"/>
      <c r="AI19" s="1"/>
      <c r="AK19" s="1"/>
    </row>
    <row r="20" spans="1:37">
      <c r="A20" t="s">
        <v>1528</v>
      </c>
      <c r="B20" s="9" t="s">
        <v>11</v>
      </c>
      <c r="C20">
        <v>2.36</v>
      </c>
      <c r="D20">
        <v>2</v>
      </c>
      <c r="E20">
        <v>0.98</v>
      </c>
      <c r="F20">
        <v>1.2</v>
      </c>
      <c r="G20">
        <v>0.11</v>
      </c>
      <c r="H20">
        <v>2</v>
      </c>
      <c r="I20" s="70">
        <f t="shared" si="0"/>
        <v>-3.5678869987849318E-7</v>
      </c>
      <c r="J20" s="19">
        <f t="shared" si="1"/>
        <v>5.5950330434782602E-5</v>
      </c>
      <c r="K20" s="19">
        <f t="shared" si="12"/>
        <v>1.741430756986634E-4</v>
      </c>
      <c r="L20" s="1"/>
      <c r="M20" s="19">
        <f t="shared" si="13"/>
        <v>1.5757229647630619E-5</v>
      </c>
      <c r="N20" s="19">
        <f t="shared" si="14"/>
        <v>9.8595236938031593E-3</v>
      </c>
      <c r="O20" s="19">
        <f t="shared" si="15"/>
        <v>3.3765492102065614E-7</v>
      </c>
      <c r="P20" s="19">
        <f t="shared" si="2"/>
        <v>4.4199967091940053E-2</v>
      </c>
      <c r="Q20" s="19">
        <f t="shared" si="3"/>
        <v>1.5988541935483871</v>
      </c>
      <c r="R20" s="19">
        <f t="shared" si="4"/>
        <v>-6.7530984204131228E-2</v>
      </c>
      <c r="S20" s="19">
        <f t="shared" si="5"/>
        <v>0.17118387096774193</v>
      </c>
      <c r="T20" s="19">
        <f t="shared" si="6"/>
        <v>4.4199967091940053E-2</v>
      </c>
      <c r="U20" s="19">
        <f t="shared" si="7"/>
        <v>1.8655434386391249E-3</v>
      </c>
      <c r="V20" s="19">
        <f t="shared" si="8"/>
        <v>1.1480267314702308E-4</v>
      </c>
      <c r="W20" s="19">
        <f t="shared" si="9"/>
        <v>0.35453766707168893</v>
      </c>
      <c r="X20" s="19">
        <f t="shared" si="10"/>
        <v>3.0013770757391656E-16</v>
      </c>
      <c r="Y20" s="53">
        <f t="shared" si="11"/>
        <v>22.390039903820984</v>
      </c>
      <c r="AD20" s="3"/>
      <c r="AF20" s="3"/>
      <c r="AI20" s="1"/>
      <c r="AK20" s="1"/>
    </row>
    <row r="21" spans="1:37">
      <c r="A21" t="s">
        <v>1529</v>
      </c>
      <c r="B21" s="9" t="s">
        <v>11</v>
      </c>
      <c r="C21">
        <v>2.36</v>
      </c>
      <c r="D21">
        <v>2</v>
      </c>
      <c r="E21">
        <v>0.87</v>
      </c>
      <c r="F21">
        <v>1.2</v>
      </c>
      <c r="G21">
        <v>0.11</v>
      </c>
      <c r="H21">
        <v>2</v>
      </c>
      <c r="I21" s="70">
        <f t="shared" si="0"/>
        <v>-3.5678869987849318E-7</v>
      </c>
      <c r="J21" s="19">
        <f t="shared" si="1"/>
        <v>4.9670191304347814E-5</v>
      </c>
      <c r="K21" s="19">
        <f t="shared" si="12"/>
        <v>1.741430756986634E-4</v>
      </c>
      <c r="L21" s="1"/>
      <c r="M21" s="19">
        <f t="shared" si="13"/>
        <v>1.5757229647630619E-5</v>
      </c>
      <c r="N21" s="19">
        <f t="shared" si="14"/>
        <v>9.8595236938031593E-3</v>
      </c>
      <c r="O21" s="19">
        <f t="shared" si="15"/>
        <v>3.3765492102065614E-7</v>
      </c>
      <c r="P21" s="19">
        <f t="shared" si="2"/>
        <v>4.4199967091940053E-2</v>
      </c>
      <c r="Q21" s="19">
        <f t="shared" si="3"/>
        <v>1.4193909677419354</v>
      </c>
      <c r="R21" s="19">
        <f t="shared" si="4"/>
        <v>-6.7530984204131228E-2</v>
      </c>
      <c r="S21" s="19">
        <f t="shared" si="5"/>
        <v>0.15196935483870969</v>
      </c>
      <c r="T21" s="19">
        <f t="shared" si="6"/>
        <v>4.4199967091940053E-2</v>
      </c>
      <c r="U21" s="19">
        <f t="shared" si="7"/>
        <v>1.8655434386391249E-3</v>
      </c>
      <c r="V21" s="19">
        <f t="shared" si="8"/>
        <v>1.1480267314702308E-4</v>
      </c>
      <c r="W21" s="19">
        <f t="shared" si="9"/>
        <v>0.35453766707168893</v>
      </c>
      <c r="X21" s="19">
        <f t="shared" si="10"/>
        <v>3.0013770757391656E-16</v>
      </c>
      <c r="Y21" s="53">
        <f t="shared" si="11"/>
        <v>21.734805587944404</v>
      </c>
      <c r="AD21" s="3"/>
      <c r="AF21" s="3"/>
      <c r="AI21" s="1"/>
      <c r="AK21" s="1"/>
    </row>
    <row r="22" spans="1:37">
      <c r="A22" t="s">
        <v>1530</v>
      </c>
      <c r="B22" s="9" t="s">
        <v>11</v>
      </c>
      <c r="C22">
        <v>2.36</v>
      </c>
      <c r="D22">
        <v>2</v>
      </c>
      <c r="E22">
        <v>0.97</v>
      </c>
      <c r="F22">
        <v>1.2</v>
      </c>
      <c r="G22">
        <v>0.11</v>
      </c>
      <c r="H22">
        <v>2</v>
      </c>
      <c r="I22" s="70">
        <f t="shared" si="0"/>
        <v>-3.5678869987849318E-7</v>
      </c>
      <c r="J22" s="19">
        <f t="shared" si="1"/>
        <v>5.537940869565217E-5</v>
      </c>
      <c r="K22" s="19">
        <f t="shared" si="12"/>
        <v>1.741430756986634E-4</v>
      </c>
      <c r="L22" s="1"/>
      <c r="M22" s="19">
        <f t="shared" si="13"/>
        <v>1.5757229647630619E-5</v>
      </c>
      <c r="N22" s="19">
        <f t="shared" si="14"/>
        <v>9.8595236938031593E-3</v>
      </c>
      <c r="O22" s="19">
        <f t="shared" si="15"/>
        <v>3.3765492102065614E-7</v>
      </c>
      <c r="P22" s="19">
        <f t="shared" si="2"/>
        <v>4.4199967091940053E-2</v>
      </c>
      <c r="Q22" s="19">
        <f t="shared" si="3"/>
        <v>1.5825393548387097</v>
      </c>
      <c r="R22" s="19">
        <f t="shared" si="4"/>
        <v>-6.7530984204131228E-2</v>
      </c>
      <c r="S22" s="19">
        <f t="shared" si="5"/>
        <v>0.16943709677419355</v>
      </c>
      <c r="T22" s="19">
        <f t="shared" si="6"/>
        <v>4.4199967091940053E-2</v>
      </c>
      <c r="U22" s="19">
        <f t="shared" si="7"/>
        <v>1.8655434386391249E-3</v>
      </c>
      <c r="V22" s="19">
        <f t="shared" si="8"/>
        <v>1.1480267314702308E-4</v>
      </c>
      <c r="W22" s="19">
        <f t="shared" si="9"/>
        <v>0.35453766707168893</v>
      </c>
      <c r="X22" s="19">
        <f t="shared" si="10"/>
        <v>3.0013770757391656E-16</v>
      </c>
      <c r="Y22" s="53">
        <f t="shared" si="11"/>
        <v>22.330473147832208</v>
      </c>
      <c r="AD22" s="3"/>
      <c r="AF22" s="3"/>
      <c r="AI22" s="1"/>
      <c r="AK22" s="1"/>
    </row>
    <row r="23" spans="1:37">
      <c r="A23" t="s">
        <v>1531</v>
      </c>
      <c r="B23" s="9" t="s">
        <v>11</v>
      </c>
      <c r="C23">
        <v>2.36</v>
      </c>
      <c r="D23">
        <v>2</v>
      </c>
      <c r="E23">
        <v>0.87</v>
      </c>
      <c r="F23">
        <v>1.2</v>
      </c>
      <c r="G23">
        <v>0.11</v>
      </c>
      <c r="H23">
        <v>2</v>
      </c>
      <c r="I23" s="70">
        <f t="shared" si="0"/>
        <v>-3.5678869987849318E-7</v>
      </c>
      <c r="J23" s="19">
        <f t="shared" si="1"/>
        <v>4.9670191304347814E-5</v>
      </c>
      <c r="K23" s="19">
        <f t="shared" si="12"/>
        <v>1.741430756986634E-4</v>
      </c>
      <c r="L23" s="1"/>
      <c r="M23" s="19">
        <f t="shared" si="13"/>
        <v>1.5757229647630619E-5</v>
      </c>
      <c r="N23" s="19">
        <f t="shared" si="14"/>
        <v>9.8595236938031593E-3</v>
      </c>
      <c r="O23" s="19">
        <f t="shared" si="15"/>
        <v>3.3765492102065614E-7</v>
      </c>
      <c r="P23" s="19">
        <f t="shared" si="2"/>
        <v>4.4199967091940053E-2</v>
      </c>
      <c r="Q23" s="19">
        <f t="shared" si="3"/>
        <v>1.4193909677419354</v>
      </c>
      <c r="R23" s="19">
        <f t="shared" si="4"/>
        <v>-6.7530984204131228E-2</v>
      </c>
      <c r="S23" s="19">
        <f t="shared" si="5"/>
        <v>0.15196935483870969</v>
      </c>
      <c r="T23" s="19">
        <f t="shared" si="6"/>
        <v>4.4199967091940053E-2</v>
      </c>
      <c r="U23" s="19">
        <f t="shared" si="7"/>
        <v>1.8655434386391249E-3</v>
      </c>
      <c r="V23" s="19">
        <f t="shared" si="8"/>
        <v>1.1480267314702308E-4</v>
      </c>
      <c r="W23" s="19">
        <f t="shared" si="9"/>
        <v>0.35453766707168893</v>
      </c>
      <c r="X23" s="19">
        <f t="shared" si="10"/>
        <v>3.0013770757391656E-16</v>
      </c>
      <c r="Y23" s="53">
        <f t="shared" si="11"/>
        <v>21.734805587944404</v>
      </c>
      <c r="AD23" s="3"/>
      <c r="AF23" s="3"/>
      <c r="AI23" s="1"/>
      <c r="AK23" s="1"/>
    </row>
    <row r="24" spans="1:37">
      <c r="A24" t="s">
        <v>1532</v>
      </c>
      <c r="B24" s="9" t="s">
        <v>11</v>
      </c>
      <c r="C24">
        <v>2.36</v>
      </c>
      <c r="D24">
        <v>2</v>
      </c>
      <c r="E24">
        <v>0.95</v>
      </c>
      <c r="F24">
        <v>1.2</v>
      </c>
      <c r="G24">
        <v>0.11</v>
      </c>
      <c r="H24">
        <v>2</v>
      </c>
      <c r="I24" s="70">
        <f t="shared" si="0"/>
        <v>-3.5678869987849318E-7</v>
      </c>
      <c r="J24" s="19">
        <f t="shared" si="1"/>
        <v>5.4237565217391299E-5</v>
      </c>
      <c r="K24" s="19">
        <f t="shared" si="12"/>
        <v>1.741430756986634E-4</v>
      </c>
      <c r="L24" s="1"/>
      <c r="M24" s="19">
        <f t="shared" si="13"/>
        <v>1.5757229647630619E-5</v>
      </c>
      <c r="N24" s="19">
        <f t="shared" si="14"/>
        <v>9.8595236938031593E-3</v>
      </c>
      <c r="O24" s="19">
        <f t="shared" si="15"/>
        <v>3.3765492102065614E-7</v>
      </c>
      <c r="P24" s="19">
        <f t="shared" si="2"/>
        <v>4.4199967091940053E-2</v>
      </c>
      <c r="Q24" s="19">
        <f t="shared" si="3"/>
        <v>1.5499096774193548</v>
      </c>
      <c r="R24" s="19">
        <f t="shared" si="4"/>
        <v>-6.7530984204131228E-2</v>
      </c>
      <c r="S24" s="19">
        <f t="shared" si="5"/>
        <v>0.16594354838709677</v>
      </c>
      <c r="T24" s="19">
        <f t="shared" si="6"/>
        <v>4.4199967091940053E-2</v>
      </c>
      <c r="U24" s="19">
        <f t="shared" si="7"/>
        <v>1.8655434386391249E-3</v>
      </c>
      <c r="V24" s="19">
        <f t="shared" si="8"/>
        <v>1.1480267314702308E-4</v>
      </c>
      <c r="W24" s="19">
        <f t="shared" si="9"/>
        <v>0.35453766707168893</v>
      </c>
      <c r="X24" s="19">
        <f t="shared" si="10"/>
        <v>3.0013770757391656E-16</v>
      </c>
      <c r="Y24" s="53">
        <f t="shared" si="11"/>
        <v>22.211339635854646</v>
      </c>
      <c r="AD24" s="3"/>
      <c r="AF24" s="3"/>
      <c r="AI24" s="1"/>
      <c r="AK24" s="1"/>
    </row>
    <row r="25" spans="1:37">
      <c r="A25" t="s">
        <v>1533</v>
      </c>
      <c r="B25" s="9" t="s">
        <v>11</v>
      </c>
      <c r="C25">
        <v>2.36</v>
      </c>
      <c r="D25">
        <v>2</v>
      </c>
      <c r="E25">
        <v>0.88</v>
      </c>
      <c r="F25">
        <v>1.2</v>
      </c>
      <c r="G25">
        <v>0.11</v>
      </c>
      <c r="H25">
        <v>2</v>
      </c>
      <c r="I25" s="70">
        <f t="shared" si="0"/>
        <v>-3.5678869987849318E-7</v>
      </c>
      <c r="J25" s="19">
        <f t="shared" si="1"/>
        <v>5.0241113043478253E-5</v>
      </c>
      <c r="K25" s="19">
        <f t="shared" si="12"/>
        <v>1.741430756986634E-4</v>
      </c>
      <c r="L25" s="1"/>
      <c r="M25" s="19">
        <f t="shared" si="13"/>
        <v>1.5757229647630619E-5</v>
      </c>
      <c r="N25" s="19">
        <f t="shared" si="14"/>
        <v>9.8595236938031593E-3</v>
      </c>
      <c r="O25" s="19">
        <f t="shared" si="15"/>
        <v>3.3765492102065614E-7</v>
      </c>
      <c r="P25" s="19">
        <f t="shared" si="2"/>
        <v>4.4199967091940053E-2</v>
      </c>
      <c r="Q25" s="19">
        <f t="shared" si="3"/>
        <v>1.4357058064516128</v>
      </c>
      <c r="R25" s="19">
        <f t="shared" si="4"/>
        <v>-6.7530984204131228E-2</v>
      </c>
      <c r="S25" s="19">
        <f t="shared" si="5"/>
        <v>0.15371612903225806</v>
      </c>
      <c r="T25" s="19">
        <f t="shared" si="6"/>
        <v>4.4199967091940053E-2</v>
      </c>
      <c r="U25" s="19">
        <f t="shared" si="7"/>
        <v>1.8655434386391249E-3</v>
      </c>
      <c r="V25" s="19">
        <f t="shared" si="8"/>
        <v>1.1480267314702308E-4</v>
      </c>
      <c r="W25" s="19">
        <f t="shared" si="9"/>
        <v>0.35453766707168893</v>
      </c>
      <c r="X25" s="19">
        <f t="shared" si="10"/>
        <v>3.0013770757391656E-16</v>
      </c>
      <c r="Y25" s="53">
        <f t="shared" si="11"/>
        <v>21.794372343933187</v>
      </c>
      <c r="AD25" s="3"/>
      <c r="AF25" s="3"/>
      <c r="AI25" s="1"/>
      <c r="AK25" s="1"/>
    </row>
    <row r="26" spans="1:37">
      <c r="A26" t="s">
        <v>1534</v>
      </c>
      <c r="B26" s="9" t="s">
        <v>11</v>
      </c>
      <c r="C26">
        <v>2.36</v>
      </c>
      <c r="D26">
        <v>2</v>
      </c>
      <c r="E26">
        <v>0.92</v>
      </c>
      <c r="F26">
        <v>1.2</v>
      </c>
      <c r="G26">
        <v>0.11</v>
      </c>
      <c r="H26">
        <v>2</v>
      </c>
      <c r="I26" s="70">
        <f t="shared" si="0"/>
        <v>-3.5678869987849318E-7</v>
      </c>
      <c r="J26" s="19">
        <f t="shared" si="1"/>
        <v>5.2524800000000002E-5</v>
      </c>
      <c r="K26" s="19">
        <f t="shared" si="12"/>
        <v>1.741430756986634E-4</v>
      </c>
      <c r="L26" s="1"/>
      <c r="M26" s="19">
        <f t="shared" si="13"/>
        <v>1.5757229647630619E-5</v>
      </c>
      <c r="N26" s="19">
        <f t="shared" si="14"/>
        <v>9.8595236938031593E-3</v>
      </c>
      <c r="O26" s="19">
        <f t="shared" si="15"/>
        <v>3.3765492102065614E-7</v>
      </c>
      <c r="P26" s="19">
        <f t="shared" si="2"/>
        <v>4.4199967091940053E-2</v>
      </c>
      <c r="Q26" s="19">
        <f t="shared" si="3"/>
        <v>1.5009651612903228</v>
      </c>
      <c r="R26" s="19">
        <f t="shared" si="4"/>
        <v>-6.7530984204131228E-2</v>
      </c>
      <c r="S26" s="19">
        <f t="shared" si="5"/>
        <v>0.16070322580645163</v>
      </c>
      <c r="T26" s="19">
        <f t="shared" si="6"/>
        <v>4.4199967091940053E-2</v>
      </c>
      <c r="U26" s="19">
        <f t="shared" si="7"/>
        <v>1.8655434386391249E-3</v>
      </c>
      <c r="V26" s="19">
        <f t="shared" si="8"/>
        <v>1.1480267314702308E-4</v>
      </c>
      <c r="W26" s="19">
        <f t="shared" si="9"/>
        <v>0.35453766707168893</v>
      </c>
      <c r="X26" s="19">
        <f t="shared" si="10"/>
        <v>3.0013770757391656E-16</v>
      </c>
      <c r="Y26" s="53">
        <f t="shared" si="11"/>
        <v>22.032639367888304</v>
      </c>
      <c r="AD26" s="3"/>
      <c r="AF26" s="3"/>
      <c r="AI26" s="1"/>
      <c r="AK26" s="1"/>
    </row>
    <row r="27" spans="1:37">
      <c r="A27" t="s">
        <v>1535</v>
      </c>
      <c r="B27" s="9" t="s">
        <v>11</v>
      </c>
      <c r="C27">
        <v>2.36</v>
      </c>
      <c r="D27">
        <v>2</v>
      </c>
      <c r="E27">
        <v>0.92</v>
      </c>
      <c r="F27">
        <v>1.2</v>
      </c>
      <c r="G27">
        <v>0.11</v>
      </c>
      <c r="H27">
        <v>2</v>
      </c>
      <c r="I27" s="70">
        <f t="shared" si="0"/>
        <v>-3.5678869987849318E-7</v>
      </c>
      <c r="J27" s="19">
        <f t="shared" si="1"/>
        <v>5.2524800000000002E-5</v>
      </c>
      <c r="K27" s="19">
        <f t="shared" si="12"/>
        <v>1.741430756986634E-4</v>
      </c>
      <c r="L27" s="1"/>
      <c r="M27" s="19">
        <f t="shared" si="13"/>
        <v>1.5757229647630619E-5</v>
      </c>
      <c r="N27" s="19">
        <f t="shared" si="14"/>
        <v>9.8595236938031593E-3</v>
      </c>
      <c r="O27" s="19">
        <f t="shared" si="15"/>
        <v>3.3765492102065614E-7</v>
      </c>
      <c r="P27" s="19">
        <f t="shared" si="2"/>
        <v>4.4199967091940053E-2</v>
      </c>
      <c r="Q27" s="19">
        <f t="shared" si="3"/>
        <v>1.5009651612903228</v>
      </c>
      <c r="R27" s="19">
        <f t="shared" si="4"/>
        <v>-6.7530984204131228E-2</v>
      </c>
      <c r="S27" s="19">
        <f t="shared" si="5"/>
        <v>0.16070322580645163</v>
      </c>
      <c r="T27" s="19">
        <f t="shared" si="6"/>
        <v>4.4199967091940053E-2</v>
      </c>
      <c r="U27" s="19">
        <f t="shared" si="7"/>
        <v>1.8655434386391249E-3</v>
      </c>
      <c r="V27" s="19">
        <f t="shared" si="8"/>
        <v>1.1480267314702308E-4</v>
      </c>
      <c r="W27" s="19">
        <f t="shared" si="9"/>
        <v>0.35453766707168893</v>
      </c>
      <c r="X27" s="19">
        <f t="shared" si="10"/>
        <v>3.0013770757391656E-16</v>
      </c>
      <c r="Y27" s="53">
        <f t="shared" si="11"/>
        <v>22.032639367888304</v>
      </c>
      <c r="AD27" s="3"/>
      <c r="AF27" s="3"/>
      <c r="AI27" s="1"/>
      <c r="AK27" s="1"/>
    </row>
    <row r="28" spans="1:37">
      <c r="A28" s="8" t="s">
        <v>1536</v>
      </c>
      <c r="B28" s="9" t="s">
        <v>11</v>
      </c>
      <c r="I28" s="17"/>
      <c r="J28" s="18"/>
      <c r="K28" s="18"/>
      <c r="L28" s="1"/>
      <c r="M28" s="18"/>
      <c r="N28" s="18"/>
      <c r="O28" s="18"/>
      <c r="P28" s="18"/>
      <c r="Q28" s="18"/>
      <c r="R28" s="18"/>
      <c r="S28" s="18"/>
      <c r="T28" s="18"/>
      <c r="U28" s="18"/>
      <c r="V28" s="18"/>
      <c r="W28" s="18"/>
      <c r="X28" s="18"/>
      <c r="Y28" s="87"/>
      <c r="AD28" s="3"/>
      <c r="AF28" s="3"/>
      <c r="AI28" s="1"/>
      <c r="AK28" s="1"/>
    </row>
    <row r="29" spans="1:37">
      <c r="A29" s="9" t="s">
        <v>1537</v>
      </c>
      <c r="B29" s="9" t="s">
        <v>11</v>
      </c>
      <c r="C29">
        <v>2.36</v>
      </c>
      <c r="D29">
        <v>2</v>
      </c>
      <c r="E29">
        <v>0.28999999999999998</v>
      </c>
      <c r="F29">
        <v>1.4</v>
      </c>
      <c r="G29">
        <v>0.11</v>
      </c>
      <c r="H29">
        <v>2</v>
      </c>
      <c r="I29" s="70">
        <f>C29*CO2_YLL_charfact</f>
        <v>-3.5678869987849318E-7</v>
      </c>
      <c r="J29" s="19">
        <f>E29*NOx_YOLL_Oxidant_charfact/0.46</f>
        <v>1.6556730434782607E-5</v>
      </c>
      <c r="K29" s="19">
        <f>G29*PM2.5_YLL_charfact</f>
        <v>1.741430756986634E-4</v>
      </c>
      <c r="L29" s="1"/>
      <c r="M29" s="19">
        <f>CO2_severewasting_charfact*C29</f>
        <v>1.5757229647630619E-5</v>
      </c>
      <c r="N29" s="19">
        <f>CO2_workingcapacity_charfact*C29</f>
        <v>9.8595236938031593E-3</v>
      </c>
      <c r="O29" s="19">
        <f>CO2_diarrhea_charfact*C29</f>
        <v>3.3765492102065614E-7</v>
      </c>
      <c r="P29" s="19">
        <f>CO2_crop_charfact*C29</f>
        <v>4.4199967091940053E-2</v>
      </c>
      <c r="Q29" s="19">
        <f>charnoxcrop/0.62*E29</f>
        <v>0.47313032258064514</v>
      </c>
      <c r="R29" s="19">
        <f>CO2_wood_charfact*C29</f>
        <v>-6.7530984204131228E-2</v>
      </c>
      <c r="S29" s="19">
        <f>NOx_wood_oxidantcharfact/0.62*E29</f>
        <v>5.0656451612903226E-2</v>
      </c>
      <c r="T29" s="19">
        <f>CO2_crop_charfact*C29</f>
        <v>4.4199967091940053E-2</v>
      </c>
      <c r="U29" s="19">
        <f>CO2_meat_charfact*C29</f>
        <v>1.8655434386391249E-3</v>
      </c>
      <c r="V29" s="19">
        <f>CO2_fish_charfact*C29</f>
        <v>1.1480267314702308E-4</v>
      </c>
      <c r="W29" s="19">
        <f>CO2_drinkingwater_charfact*C29</f>
        <v>0.35453766707168893</v>
      </c>
      <c r="X29" s="19">
        <f>CO2_NEX_charfact*C29</f>
        <v>3.0013770757391656E-16</v>
      </c>
      <c r="Y29" s="53">
        <f>(I29+J29+K29+L29)*YLLvalue+M29*severe_wasting_value+N29*working_capacity+O29*diarrhea_value+(P29+Q29)*cropvalue+(R29+S29)*woodvalue+T29*cropvalue+U29*meatvalue+V29*fishvalue+W29*drinkingwatervalue+X29*speciesvalue</f>
        <v>18.279933740595183</v>
      </c>
      <c r="AD29" s="3"/>
      <c r="AF29" s="3"/>
      <c r="AI29" s="1"/>
      <c r="AK29" s="1"/>
    </row>
    <row r="30" spans="1:37">
      <c r="A30" t="s">
        <v>1538</v>
      </c>
      <c r="B30" s="9" t="s">
        <v>11</v>
      </c>
      <c r="C30">
        <v>2.36</v>
      </c>
      <c r="D30">
        <v>2</v>
      </c>
      <c r="E30">
        <v>0.75</v>
      </c>
      <c r="F30">
        <v>1.3</v>
      </c>
      <c r="G30">
        <v>0.11</v>
      </c>
      <c r="H30">
        <v>2</v>
      </c>
      <c r="I30" s="70">
        <f>C30*CO2_YLL_charfact</f>
        <v>-3.5678869987849318E-7</v>
      </c>
      <c r="J30" s="19">
        <f>E30*NOx_YOLL_Oxidant_charfact/0.46</f>
        <v>4.2819130434782601E-5</v>
      </c>
      <c r="K30" s="19">
        <f>G30*PM2.5_YLL_charfact</f>
        <v>1.741430756986634E-4</v>
      </c>
      <c r="L30" s="1"/>
      <c r="M30" s="19">
        <f>CO2_severewasting_charfact*C30</f>
        <v>1.5757229647630619E-5</v>
      </c>
      <c r="N30" s="19">
        <f>CO2_workingcapacity_charfact*C30</f>
        <v>9.8595236938031593E-3</v>
      </c>
      <c r="O30" s="19">
        <f>CO2_diarrhea_charfact*C30</f>
        <v>3.3765492102065614E-7</v>
      </c>
      <c r="P30" s="19">
        <f>CO2_crop_charfact*C30</f>
        <v>4.4199967091940053E-2</v>
      </c>
      <c r="Q30" s="19">
        <f>charnoxcrop/0.62*E30</f>
        <v>1.2236129032258065</v>
      </c>
      <c r="R30" s="19">
        <f>CO2_wood_charfact*C30</f>
        <v>-6.7530984204131228E-2</v>
      </c>
      <c r="S30" s="19">
        <f>NOx_wood_oxidantcharfact/0.62*E30</f>
        <v>0.13100806451612904</v>
      </c>
      <c r="T30" s="19">
        <f>CO2_crop_charfact*C30</f>
        <v>4.4199967091940053E-2</v>
      </c>
      <c r="U30" s="19">
        <f>CO2_meat_charfact*C30</f>
        <v>1.8655434386391249E-3</v>
      </c>
      <c r="V30" s="19">
        <f>CO2_fish_charfact*C30</f>
        <v>1.1480267314702308E-4</v>
      </c>
      <c r="W30" s="19">
        <f>CO2_drinkingwater_charfact*C30</f>
        <v>0.35453766707168893</v>
      </c>
      <c r="X30" s="19">
        <f>CO2_NEX_charfact*C30</f>
        <v>3.0013770757391656E-16</v>
      </c>
      <c r="Y30" s="53">
        <f>(I30+J30+K30+L30)*YLLvalue+M30*severe_wasting_value+N30*working_capacity+O30*diarrhea_value+(P30+Q30)*cropvalue+(R30+S30)*woodvalue+T30*cropvalue+U30*meatvalue+V30*fishvalue+W30*drinkingwatervalue+X30*speciesvalue</f>
        <v>21.020004516079048</v>
      </c>
      <c r="AD30" s="3"/>
      <c r="AF30" s="3"/>
      <c r="AI30" s="1"/>
      <c r="AK30" s="1"/>
    </row>
    <row r="31" spans="1:37">
      <c r="A31" t="s">
        <v>1539</v>
      </c>
      <c r="B31" s="9" t="s">
        <v>11</v>
      </c>
      <c r="C31">
        <v>2.36</v>
      </c>
      <c r="D31">
        <v>2</v>
      </c>
      <c r="E31">
        <v>0.29899999999999999</v>
      </c>
      <c r="F31">
        <v>1.4</v>
      </c>
      <c r="G31">
        <v>0.11</v>
      </c>
      <c r="H31">
        <v>2</v>
      </c>
      <c r="I31" s="70">
        <f>C31*CO2_YLL_charfact</f>
        <v>-3.5678869987849318E-7</v>
      </c>
      <c r="J31" s="19">
        <f>E31*NOx_YOLL_Oxidant_charfact/0.46</f>
        <v>1.7070559999999996E-5</v>
      </c>
      <c r="K31" s="19">
        <f>G31*PM2.5_YLL_charfact</f>
        <v>1.741430756986634E-4</v>
      </c>
      <c r="L31" s="1"/>
      <c r="M31" s="19">
        <f>CO2_severewasting_charfact*C31</f>
        <v>1.5757229647630619E-5</v>
      </c>
      <c r="N31" s="19">
        <f>CO2_workingcapacity_charfact*C31</f>
        <v>9.8595236938031593E-3</v>
      </c>
      <c r="O31" s="19">
        <f>CO2_diarrhea_charfact*C31</f>
        <v>3.3765492102065614E-7</v>
      </c>
      <c r="P31" s="19">
        <f>CO2_crop_charfact*C31</f>
        <v>4.4199967091940053E-2</v>
      </c>
      <c r="Q31" s="19">
        <f>charnoxcrop/0.62*E31</f>
        <v>0.48781367741935483</v>
      </c>
      <c r="R31" s="19">
        <f>CO2_wood_charfact*C31</f>
        <v>-6.7530984204131228E-2</v>
      </c>
      <c r="S31" s="19">
        <f>NOx_wood_oxidantcharfact/0.62*E31</f>
        <v>5.2228548387096771E-2</v>
      </c>
      <c r="T31" s="19">
        <f>CO2_crop_charfact*C31</f>
        <v>4.4199967091940053E-2</v>
      </c>
      <c r="U31" s="19">
        <f>CO2_meat_charfact*C31</f>
        <v>1.8655434386391249E-3</v>
      </c>
      <c r="V31" s="19">
        <f>CO2_fish_charfact*C31</f>
        <v>1.1480267314702308E-4</v>
      </c>
      <c r="W31" s="19">
        <f>CO2_drinkingwater_charfact*C31</f>
        <v>0.35453766707168893</v>
      </c>
      <c r="X31" s="19">
        <f>CO2_NEX_charfact*C31</f>
        <v>3.0013770757391656E-16</v>
      </c>
      <c r="Y31" s="53">
        <f>(I31+J31+K31+L31)*YLLvalue+M31*severe_wasting_value+N31*working_capacity+O31*diarrhea_value+(P31+Q31)*cropvalue+(R31+S31)*woodvalue+T31*cropvalue+U31*meatvalue+V31*fishvalue+W31*drinkingwatervalue+X31*speciesvalue</f>
        <v>18.333543820985081</v>
      </c>
      <c r="AD31" s="3"/>
      <c r="AF31" s="3"/>
      <c r="AI31" s="1"/>
      <c r="AK31" s="1"/>
    </row>
    <row r="32" spans="1:37">
      <c r="A32" s="9" t="s">
        <v>1540</v>
      </c>
      <c r="B32" s="9" t="s">
        <v>11</v>
      </c>
      <c r="C32">
        <v>2.36</v>
      </c>
      <c r="D32">
        <v>2</v>
      </c>
      <c r="E32">
        <v>0.44600000000000001</v>
      </c>
      <c r="F32">
        <v>1.4</v>
      </c>
      <c r="G32">
        <v>0.11</v>
      </c>
      <c r="H32">
        <v>2</v>
      </c>
      <c r="I32" s="70">
        <f>C32*CO2_YLL_charfact</f>
        <v>-3.5678869987849318E-7</v>
      </c>
      <c r="J32" s="19">
        <f>E32*NOx_YOLL_Oxidant_charfact/0.46</f>
        <v>2.5463109565217389E-5</v>
      </c>
      <c r="K32" s="19">
        <f>G32*PM2.5_YLL_charfact</f>
        <v>1.741430756986634E-4</v>
      </c>
      <c r="L32" s="1"/>
      <c r="M32" s="19">
        <f>CO2_severewasting_charfact*C32</f>
        <v>1.5757229647630619E-5</v>
      </c>
      <c r="N32" s="19">
        <f>CO2_workingcapacity_charfact*C32</f>
        <v>9.8595236938031593E-3</v>
      </c>
      <c r="O32" s="19">
        <f>CO2_diarrhea_charfact*C32</f>
        <v>3.3765492102065614E-7</v>
      </c>
      <c r="P32" s="19">
        <f>CO2_crop_charfact*C32</f>
        <v>4.4199967091940053E-2</v>
      </c>
      <c r="Q32" s="19">
        <f>charnoxcrop/0.62*E32</f>
        <v>0.72764180645161292</v>
      </c>
      <c r="R32" s="19">
        <f>CO2_wood_charfact*C32</f>
        <v>-6.7530984204131228E-2</v>
      </c>
      <c r="S32" s="19">
        <f>NOx_wood_oxidantcharfact/0.62*E32</f>
        <v>7.7906129032258062E-2</v>
      </c>
      <c r="T32" s="19">
        <f>CO2_crop_charfact*C32</f>
        <v>4.4199967091940053E-2</v>
      </c>
      <c r="U32" s="19">
        <f>CO2_meat_charfact*C32</f>
        <v>1.8655434386391249E-3</v>
      </c>
      <c r="V32" s="19">
        <f>CO2_fish_charfact*C32</f>
        <v>1.1480267314702308E-4</v>
      </c>
      <c r="W32" s="19">
        <f>CO2_drinkingwater_charfact*C32</f>
        <v>0.35453766707168893</v>
      </c>
      <c r="X32" s="19">
        <f>CO2_NEX_charfact*C32</f>
        <v>3.0013770757391656E-16</v>
      </c>
      <c r="Y32" s="53">
        <f>(I32+J32+K32+L32)*YLLvalue+M32*severe_wasting_value+N32*working_capacity+O32*diarrhea_value+(P32+Q32)*cropvalue+(R32+S32)*woodvalue+T32*cropvalue+U32*meatvalue+V32*fishvalue+W32*drinkingwatervalue+X32*speciesvalue</f>
        <v>19.209175134020146</v>
      </c>
      <c r="AD32" s="3"/>
      <c r="AF32" s="3"/>
      <c r="AI32" s="1"/>
      <c r="AK32" s="1"/>
    </row>
    <row r="33" spans="1:37">
      <c r="A33" s="8" t="s">
        <v>1541</v>
      </c>
      <c r="B33" s="9" t="s">
        <v>11</v>
      </c>
      <c r="I33" s="17"/>
      <c r="J33" s="18"/>
      <c r="K33" s="18"/>
      <c r="L33" s="1"/>
      <c r="M33" s="18"/>
      <c r="N33" s="18"/>
      <c r="O33" s="18"/>
      <c r="P33" s="18"/>
      <c r="Q33" s="18"/>
      <c r="R33" s="18"/>
      <c r="S33" s="18"/>
      <c r="T33" s="18"/>
      <c r="U33" s="18"/>
      <c r="V33" s="18"/>
      <c r="W33" s="18"/>
      <c r="X33" s="18"/>
      <c r="Y33" s="87"/>
      <c r="AD33" s="3"/>
      <c r="AF33" s="3"/>
      <c r="AI33" s="1"/>
      <c r="AK33" s="1"/>
    </row>
    <row r="34" spans="1:37">
      <c r="A34" s="9" t="s">
        <v>1542</v>
      </c>
      <c r="B34" s="9" t="s">
        <v>11</v>
      </c>
      <c r="C34">
        <v>2.36</v>
      </c>
      <c r="D34">
        <v>2</v>
      </c>
      <c r="E34">
        <v>1</v>
      </c>
      <c r="F34">
        <v>1</v>
      </c>
      <c r="G34">
        <v>0.11</v>
      </c>
      <c r="H34">
        <v>2</v>
      </c>
      <c r="I34" s="70">
        <f t="shared" ref="I34:I46" si="16">C34*CO2_YLL_charfact</f>
        <v>-3.5678869987849318E-7</v>
      </c>
      <c r="J34" s="19">
        <f t="shared" ref="J34:J46" si="17">E34*NOx_YOLL_Oxidant_charfact/0.46</f>
        <v>5.7092173913043473E-5</v>
      </c>
      <c r="K34" s="19">
        <f t="shared" ref="K34:K46" si="18">G34*PM2.5_YLL_charfact</f>
        <v>1.741430756986634E-4</v>
      </c>
      <c r="L34" s="1">
        <f>0.89*L55</f>
        <v>3.5282142857142859E-6</v>
      </c>
      <c r="M34" s="19">
        <f t="shared" ref="M34:M46" si="19">CO2_severewasting_charfact*C34</f>
        <v>1.5757229647630619E-5</v>
      </c>
      <c r="N34" s="19">
        <f t="shared" ref="N34:N46" si="20">CO2_workingcapacity_charfact*C34</f>
        <v>9.8595236938031593E-3</v>
      </c>
      <c r="O34" s="19">
        <f t="shared" ref="O34:O46" si="21">CO2_diarrhea_charfact*C34</f>
        <v>3.3765492102065614E-7</v>
      </c>
      <c r="P34" s="19">
        <f t="shared" ref="P34:P46" si="22">CO2_crop_charfact*C34</f>
        <v>4.4199967091940053E-2</v>
      </c>
      <c r="Q34" s="19">
        <f t="shared" ref="Q34:Q46" si="23">charnoxcrop/0.62*E34</f>
        <v>1.6314838709677419</v>
      </c>
      <c r="R34" s="19">
        <f t="shared" ref="R34:R46" si="24">CO2_wood_charfact*C34</f>
        <v>-6.7530984204131228E-2</v>
      </c>
      <c r="S34" s="19">
        <f t="shared" ref="S34:S46" si="25">NOx_wood_oxidantcharfact/0.62*E34</f>
        <v>0.17467741935483871</v>
      </c>
      <c r="T34" s="19">
        <f t="shared" ref="T34:T46" si="26">CO2_crop_charfact*C34</f>
        <v>4.4199967091940053E-2</v>
      </c>
      <c r="U34" s="19">
        <f t="shared" ref="U34:U46" si="27">CO2_meat_charfact*C34</f>
        <v>1.8655434386391249E-3</v>
      </c>
      <c r="V34" s="19">
        <f t="shared" ref="V34:V46" si="28">CO2_fish_charfact*C34</f>
        <v>1.1480267314702308E-4</v>
      </c>
      <c r="W34" s="19">
        <f t="shared" ref="W34:W46" si="29">CO2_drinkingwater_charfact*C34</f>
        <v>0.35453766707168893</v>
      </c>
      <c r="X34" s="19">
        <f t="shared" ref="X34:X46" si="30">CO2_NEX_charfact*C34</f>
        <v>3.0013770757391656E-16</v>
      </c>
      <c r="Y34" s="53">
        <f t="shared" ref="Y34:Y46" si="31">(I34+J34+K34+L34)*YLLvalue+M34*severe_wasting_value+N34*working_capacity+O34*diarrhea_value+(P34+Q34)*cropvalue+(R34+S34)*woodvalue+T34*cropvalue+U34*meatvalue+V34*fishvalue+W34*drinkingwatervalue+X34*speciesvalue</f>
        <v>22.831652201512828</v>
      </c>
      <c r="AD34" s="3"/>
      <c r="AF34" s="3"/>
      <c r="AI34" s="1"/>
      <c r="AK34" s="1"/>
    </row>
    <row r="35" spans="1:37">
      <c r="A35" s="9" t="s">
        <v>1543</v>
      </c>
      <c r="B35" s="9" t="s">
        <v>11</v>
      </c>
      <c r="C35">
        <v>2.36</v>
      </c>
      <c r="D35">
        <v>2</v>
      </c>
      <c r="E35">
        <v>1.25</v>
      </c>
      <c r="F35">
        <v>1.2</v>
      </c>
      <c r="G35">
        <v>0.11</v>
      </c>
      <c r="H35">
        <v>2</v>
      </c>
      <c r="I35" s="70">
        <f t="shared" si="16"/>
        <v>-3.5678869987849318E-7</v>
      </c>
      <c r="J35" s="19">
        <f t="shared" si="17"/>
        <v>7.1365217391304345E-5</v>
      </c>
      <c r="K35" s="19">
        <f t="shared" si="18"/>
        <v>1.741430756986634E-4</v>
      </c>
      <c r="L35" s="1">
        <f>0.074*L55</f>
        <v>2.9335714285714285E-7</v>
      </c>
      <c r="M35" s="19">
        <f t="shared" si="19"/>
        <v>1.5757229647630619E-5</v>
      </c>
      <c r="N35" s="19">
        <f t="shared" si="20"/>
        <v>9.8595236938031593E-3</v>
      </c>
      <c r="O35" s="19">
        <f t="shared" si="21"/>
        <v>3.3765492102065614E-7</v>
      </c>
      <c r="P35" s="19">
        <f t="shared" si="22"/>
        <v>4.4199967091940053E-2</v>
      </c>
      <c r="Q35" s="19">
        <f t="shared" si="23"/>
        <v>2.0393548387096776</v>
      </c>
      <c r="R35" s="19">
        <f t="shared" si="24"/>
        <v>-6.7530984204131228E-2</v>
      </c>
      <c r="S35" s="19">
        <f t="shared" si="25"/>
        <v>0.21834677419354839</v>
      </c>
      <c r="T35" s="19">
        <f t="shared" si="26"/>
        <v>4.4199967091940053E-2</v>
      </c>
      <c r="U35" s="19">
        <f t="shared" si="27"/>
        <v>1.8655434386391249E-3</v>
      </c>
      <c r="V35" s="19">
        <f t="shared" si="28"/>
        <v>1.1480267314702308E-4</v>
      </c>
      <c r="W35" s="19">
        <f t="shared" si="29"/>
        <v>0.35453766707168893</v>
      </c>
      <c r="X35" s="19">
        <f t="shared" si="30"/>
        <v>3.0013770757391656E-16</v>
      </c>
      <c r="Y35" s="53">
        <f t="shared" si="31"/>
        <v>24.025155158375181</v>
      </c>
      <c r="AD35" s="3"/>
      <c r="AF35" s="3"/>
      <c r="AI35" s="1"/>
      <c r="AK35" s="1"/>
    </row>
    <row r="36" spans="1:37">
      <c r="A36" t="s">
        <v>1544</v>
      </c>
      <c r="B36" s="9" t="s">
        <v>11</v>
      </c>
      <c r="C36">
        <v>2.36</v>
      </c>
      <c r="D36">
        <v>2</v>
      </c>
      <c r="E36">
        <v>1.26</v>
      </c>
      <c r="F36">
        <v>1.2</v>
      </c>
      <c r="G36">
        <v>0.11</v>
      </c>
      <c r="H36">
        <v>2</v>
      </c>
      <c r="I36" s="70">
        <f t="shared" si="16"/>
        <v>-3.5678869987849318E-7</v>
      </c>
      <c r="J36" s="19">
        <f t="shared" si="17"/>
        <v>7.1936139130434777E-5</v>
      </c>
      <c r="K36" s="19">
        <f t="shared" si="18"/>
        <v>1.741430756986634E-4</v>
      </c>
      <c r="L36" s="1"/>
      <c r="M36" s="19">
        <f>CO2_severewasting_charfact*C36</f>
        <v>1.5757229647630619E-5</v>
      </c>
      <c r="N36" s="19">
        <f t="shared" si="20"/>
        <v>9.8595236938031593E-3</v>
      </c>
      <c r="O36" s="19">
        <f t="shared" si="21"/>
        <v>3.3765492102065614E-7</v>
      </c>
      <c r="P36" s="19">
        <f t="shared" si="22"/>
        <v>4.4199967091940053E-2</v>
      </c>
      <c r="Q36" s="19">
        <f t="shared" si="23"/>
        <v>2.0556696774193548</v>
      </c>
      <c r="R36" s="19">
        <f t="shared" si="24"/>
        <v>-6.7530984204131228E-2</v>
      </c>
      <c r="S36" s="19">
        <f t="shared" si="25"/>
        <v>0.22009354838709677</v>
      </c>
      <c r="T36" s="19">
        <f t="shared" si="26"/>
        <v>4.4199967091940053E-2</v>
      </c>
      <c r="U36" s="19">
        <f t="shared" si="27"/>
        <v>1.8655434386391249E-3</v>
      </c>
      <c r="V36" s="19">
        <f t="shared" si="28"/>
        <v>1.1480267314702308E-4</v>
      </c>
      <c r="W36" s="19">
        <f t="shared" si="29"/>
        <v>0.35453766707168893</v>
      </c>
      <c r="X36" s="19">
        <f t="shared" si="30"/>
        <v>3.0013770757391656E-16</v>
      </c>
      <c r="Y36" s="53">
        <f t="shared" si="31"/>
        <v>24.05790907150682</v>
      </c>
      <c r="AD36" s="3"/>
      <c r="AF36" s="3"/>
      <c r="AI36" s="1"/>
      <c r="AK36" s="1"/>
    </row>
    <row r="37" spans="1:37">
      <c r="A37" t="s">
        <v>1545</v>
      </c>
      <c r="B37" s="9" t="s">
        <v>11</v>
      </c>
      <c r="C37">
        <v>2.36</v>
      </c>
      <c r="D37">
        <v>2</v>
      </c>
      <c r="E37">
        <v>1.1299999999999999</v>
      </c>
      <c r="F37">
        <v>1.2</v>
      </c>
      <c r="G37">
        <v>0.11</v>
      </c>
      <c r="H37">
        <v>2</v>
      </c>
      <c r="I37" s="70">
        <f t="shared" si="16"/>
        <v>-3.5678869987849318E-7</v>
      </c>
      <c r="J37" s="19">
        <f t="shared" si="17"/>
        <v>6.4514156521739118E-5</v>
      </c>
      <c r="K37" s="19">
        <f t="shared" si="18"/>
        <v>1.741430756986634E-4</v>
      </c>
      <c r="L37" s="1"/>
      <c r="M37" s="19">
        <f t="shared" si="19"/>
        <v>1.5757229647630619E-5</v>
      </c>
      <c r="N37" s="19">
        <f t="shared" si="20"/>
        <v>9.8595236938031593E-3</v>
      </c>
      <c r="O37" s="19">
        <f t="shared" si="21"/>
        <v>3.3765492102065614E-7</v>
      </c>
      <c r="P37" s="19">
        <f t="shared" si="22"/>
        <v>4.4199967091940053E-2</v>
      </c>
      <c r="Q37" s="19">
        <f t="shared" si="23"/>
        <v>1.8435767741935483</v>
      </c>
      <c r="R37" s="19">
        <f t="shared" si="24"/>
        <v>-6.7530984204131228E-2</v>
      </c>
      <c r="S37" s="19">
        <f t="shared" si="25"/>
        <v>0.19738548387096772</v>
      </c>
      <c r="T37" s="19">
        <f t="shared" si="26"/>
        <v>4.4199967091940053E-2</v>
      </c>
      <c r="U37" s="19">
        <f t="shared" si="27"/>
        <v>1.8655434386391249E-3</v>
      </c>
      <c r="V37" s="19">
        <f t="shared" si="28"/>
        <v>1.1480267314702308E-4</v>
      </c>
      <c r="W37" s="19">
        <f t="shared" si="29"/>
        <v>0.35453766707168893</v>
      </c>
      <c r="X37" s="19">
        <f t="shared" si="30"/>
        <v>3.0013770757391656E-16</v>
      </c>
      <c r="Y37" s="53">
        <f t="shared" si="31"/>
        <v>23.283541243652678</v>
      </c>
      <c r="AD37" s="3"/>
      <c r="AF37" s="3"/>
      <c r="AI37" s="1"/>
      <c r="AK37" s="1"/>
    </row>
    <row r="38" spans="1:37">
      <c r="A38" s="9" t="s">
        <v>1546</v>
      </c>
      <c r="B38" s="9" t="s">
        <v>11</v>
      </c>
      <c r="C38">
        <v>2.36</v>
      </c>
      <c r="D38">
        <v>2</v>
      </c>
      <c r="E38">
        <v>0.627</v>
      </c>
      <c r="F38">
        <v>1.4</v>
      </c>
      <c r="G38">
        <v>0.11</v>
      </c>
      <c r="H38">
        <v>2</v>
      </c>
      <c r="I38" s="70">
        <f t="shared" si="16"/>
        <v>-3.5678869987849318E-7</v>
      </c>
      <c r="J38" s="19">
        <f t="shared" si="17"/>
        <v>3.5796793043478252E-5</v>
      </c>
      <c r="K38" s="19">
        <f t="shared" si="18"/>
        <v>1.741430756986634E-4</v>
      </c>
      <c r="L38" s="1"/>
      <c r="M38" s="19">
        <f t="shared" si="19"/>
        <v>1.5757229647630619E-5</v>
      </c>
      <c r="N38" s="19">
        <f t="shared" si="20"/>
        <v>9.8595236938031593E-3</v>
      </c>
      <c r="O38" s="19">
        <f t="shared" si="21"/>
        <v>3.3765492102065614E-7</v>
      </c>
      <c r="P38" s="19">
        <f t="shared" si="22"/>
        <v>4.4199967091940053E-2</v>
      </c>
      <c r="Q38" s="19">
        <f t="shared" si="23"/>
        <v>1.0229403870967742</v>
      </c>
      <c r="R38" s="19">
        <f t="shared" si="24"/>
        <v>-6.7530984204131228E-2</v>
      </c>
      <c r="S38" s="19">
        <f t="shared" si="25"/>
        <v>0.10952274193548388</v>
      </c>
      <c r="T38" s="19">
        <f t="shared" si="26"/>
        <v>4.4199967091940053E-2</v>
      </c>
      <c r="U38" s="19">
        <f t="shared" si="27"/>
        <v>1.8655434386391249E-3</v>
      </c>
      <c r="V38" s="19">
        <f t="shared" si="28"/>
        <v>1.1480267314702308E-4</v>
      </c>
      <c r="W38" s="19">
        <f t="shared" si="29"/>
        <v>0.35453766707168893</v>
      </c>
      <c r="X38" s="19">
        <f t="shared" si="30"/>
        <v>3.0013770757391656E-16</v>
      </c>
      <c r="Y38" s="53">
        <f t="shared" si="31"/>
        <v>20.287333417417059</v>
      </c>
      <c r="AD38" s="3"/>
      <c r="AF38" s="3"/>
      <c r="AI38" s="1"/>
      <c r="AK38" s="1"/>
    </row>
    <row r="39" spans="1:37">
      <c r="A39" t="s">
        <v>1547</v>
      </c>
      <c r="B39" s="9" t="s">
        <v>11</v>
      </c>
      <c r="C39">
        <v>2.36</v>
      </c>
      <c r="D39">
        <v>2</v>
      </c>
      <c r="E39" s="9">
        <v>1.21</v>
      </c>
      <c r="F39">
        <v>1.2</v>
      </c>
      <c r="G39">
        <v>0.11</v>
      </c>
      <c r="H39">
        <v>2</v>
      </c>
      <c r="I39" s="70">
        <f t="shared" si="16"/>
        <v>-3.5678869987849318E-7</v>
      </c>
      <c r="J39" s="19">
        <f t="shared" si="17"/>
        <v>6.9081530434782603E-5</v>
      </c>
      <c r="K39" s="19">
        <f t="shared" si="18"/>
        <v>1.741430756986634E-4</v>
      </c>
      <c r="L39" s="1"/>
      <c r="M39" s="19">
        <f t="shared" si="19"/>
        <v>1.5757229647630619E-5</v>
      </c>
      <c r="N39" s="19">
        <f t="shared" si="20"/>
        <v>9.8595236938031593E-3</v>
      </c>
      <c r="O39" s="19">
        <f t="shared" si="21"/>
        <v>3.3765492102065614E-7</v>
      </c>
      <c r="P39" s="19">
        <f t="shared" si="22"/>
        <v>4.4199967091940053E-2</v>
      </c>
      <c r="Q39" s="19">
        <f t="shared" si="23"/>
        <v>1.9740954838709677</v>
      </c>
      <c r="R39" s="19">
        <f t="shared" si="24"/>
        <v>-6.7530984204131228E-2</v>
      </c>
      <c r="S39" s="19">
        <f t="shared" si="25"/>
        <v>0.21135967741935482</v>
      </c>
      <c r="T39" s="19">
        <f t="shared" si="26"/>
        <v>4.4199967091940053E-2</v>
      </c>
      <c r="U39" s="19">
        <f t="shared" si="27"/>
        <v>1.8655434386391249E-3</v>
      </c>
      <c r="V39" s="19">
        <f t="shared" si="28"/>
        <v>1.1480267314702308E-4</v>
      </c>
      <c r="W39" s="19">
        <f t="shared" si="29"/>
        <v>0.35453766707168893</v>
      </c>
      <c r="X39" s="19">
        <f t="shared" si="30"/>
        <v>3.0013770757391656E-16</v>
      </c>
      <c r="Y39" s="53">
        <f t="shared" si="31"/>
        <v>23.76007529156292</v>
      </c>
      <c r="AD39" s="3"/>
      <c r="AF39" s="3"/>
      <c r="AI39" s="1"/>
      <c r="AK39" s="1"/>
    </row>
    <row r="40" spans="1:37">
      <c r="A40" t="s">
        <v>1548</v>
      </c>
      <c r="B40" s="9" t="s">
        <v>11</v>
      </c>
      <c r="C40">
        <v>2.36</v>
      </c>
      <c r="D40">
        <v>2</v>
      </c>
      <c r="E40">
        <v>1.28</v>
      </c>
      <c r="F40">
        <v>1.2</v>
      </c>
      <c r="G40">
        <v>0.11</v>
      </c>
      <c r="H40">
        <v>2</v>
      </c>
      <c r="I40" s="70">
        <f t="shared" si="16"/>
        <v>-3.5678869987849318E-7</v>
      </c>
      <c r="J40" s="19">
        <f t="shared" si="17"/>
        <v>7.3077982608695655E-5</v>
      </c>
      <c r="K40" s="19">
        <f t="shared" si="18"/>
        <v>1.741430756986634E-4</v>
      </c>
      <c r="L40" s="1"/>
      <c r="M40" s="19">
        <f t="shared" si="19"/>
        <v>1.5757229647630619E-5</v>
      </c>
      <c r="N40" s="19">
        <f t="shared" si="20"/>
        <v>9.8595236938031593E-3</v>
      </c>
      <c r="O40" s="19">
        <f t="shared" si="21"/>
        <v>3.3765492102065614E-7</v>
      </c>
      <c r="P40" s="19">
        <f t="shared" si="22"/>
        <v>4.4199967091940053E-2</v>
      </c>
      <c r="Q40" s="19">
        <f t="shared" si="23"/>
        <v>2.0882993548387097</v>
      </c>
      <c r="R40" s="19">
        <f t="shared" si="24"/>
        <v>-6.7530984204131228E-2</v>
      </c>
      <c r="S40" s="19">
        <f t="shared" si="25"/>
        <v>0.22358709677419356</v>
      </c>
      <c r="T40" s="19">
        <f t="shared" si="26"/>
        <v>4.4199967091940053E-2</v>
      </c>
      <c r="U40" s="19">
        <f t="shared" si="27"/>
        <v>1.8655434386391249E-3</v>
      </c>
      <c r="V40" s="19">
        <f t="shared" si="28"/>
        <v>1.1480267314702308E-4</v>
      </c>
      <c r="W40" s="19">
        <f t="shared" si="29"/>
        <v>0.35453766707168893</v>
      </c>
      <c r="X40" s="19">
        <f t="shared" si="30"/>
        <v>3.0013770757391656E-16</v>
      </c>
      <c r="Y40" s="53">
        <f t="shared" si="31"/>
        <v>24.177042583484383</v>
      </c>
      <c r="AD40" s="3"/>
      <c r="AF40" s="3"/>
      <c r="AI40" s="1"/>
      <c r="AK40" s="1"/>
    </row>
    <row r="41" spans="1:37">
      <c r="A41" s="9" t="s">
        <v>1549</v>
      </c>
      <c r="B41" s="9" t="s">
        <v>11</v>
      </c>
      <c r="C41">
        <v>2.36</v>
      </c>
      <c r="D41">
        <v>2</v>
      </c>
      <c r="E41">
        <v>0.97</v>
      </c>
      <c r="F41">
        <v>1.2</v>
      </c>
      <c r="G41">
        <v>0.11</v>
      </c>
      <c r="H41">
        <v>2</v>
      </c>
      <c r="I41" s="70">
        <f t="shared" si="16"/>
        <v>-3.5678869987849318E-7</v>
      </c>
      <c r="J41" s="19">
        <f t="shared" si="17"/>
        <v>5.537940869565217E-5</v>
      </c>
      <c r="K41" s="19">
        <f t="shared" si="18"/>
        <v>1.741430756986634E-4</v>
      </c>
      <c r="L41" s="1"/>
      <c r="M41" s="19">
        <f t="shared" si="19"/>
        <v>1.5757229647630619E-5</v>
      </c>
      <c r="N41" s="19">
        <f t="shared" si="20"/>
        <v>9.8595236938031593E-3</v>
      </c>
      <c r="O41" s="19">
        <f t="shared" si="21"/>
        <v>3.3765492102065614E-7</v>
      </c>
      <c r="P41" s="19">
        <f t="shared" si="22"/>
        <v>4.4199967091940053E-2</v>
      </c>
      <c r="Q41" s="19">
        <f t="shared" si="23"/>
        <v>1.5825393548387097</v>
      </c>
      <c r="R41" s="19">
        <f t="shared" si="24"/>
        <v>-6.7530984204131228E-2</v>
      </c>
      <c r="S41" s="19">
        <f t="shared" si="25"/>
        <v>0.16943709677419355</v>
      </c>
      <c r="T41" s="19">
        <f t="shared" si="26"/>
        <v>4.4199967091940053E-2</v>
      </c>
      <c r="U41" s="19">
        <f t="shared" si="27"/>
        <v>1.8655434386391249E-3</v>
      </c>
      <c r="V41" s="19">
        <f t="shared" si="28"/>
        <v>1.1480267314702308E-4</v>
      </c>
      <c r="W41" s="19">
        <f t="shared" si="29"/>
        <v>0.35453766707168893</v>
      </c>
      <c r="X41" s="19">
        <f t="shared" si="30"/>
        <v>3.0013770757391656E-16</v>
      </c>
      <c r="Y41" s="53">
        <f t="shared" si="31"/>
        <v>22.330473147832208</v>
      </c>
      <c r="AD41" s="3"/>
      <c r="AF41" s="3"/>
      <c r="AI41" s="1"/>
      <c r="AK41" s="1"/>
    </row>
    <row r="42" spans="1:37">
      <c r="A42" s="9" t="s">
        <v>1550</v>
      </c>
      <c r="B42" s="9" t="s">
        <v>11</v>
      </c>
      <c r="C42">
        <v>2.36</v>
      </c>
      <c r="D42">
        <v>2</v>
      </c>
      <c r="E42">
        <v>1.1100000000000001</v>
      </c>
      <c r="F42">
        <v>1.2</v>
      </c>
      <c r="G42">
        <v>0.11</v>
      </c>
      <c r="H42">
        <v>2</v>
      </c>
      <c r="I42" s="70">
        <f t="shared" si="16"/>
        <v>-3.5678869987849318E-7</v>
      </c>
      <c r="J42" s="19">
        <f t="shared" si="17"/>
        <v>6.3372313043478268E-5</v>
      </c>
      <c r="K42" s="19">
        <f t="shared" si="18"/>
        <v>1.741430756986634E-4</v>
      </c>
      <c r="L42" s="1"/>
      <c r="M42" s="19">
        <f t="shared" si="19"/>
        <v>1.5757229647630619E-5</v>
      </c>
      <c r="N42" s="19">
        <f t="shared" si="20"/>
        <v>9.8595236938031593E-3</v>
      </c>
      <c r="O42" s="19">
        <f t="shared" si="21"/>
        <v>3.3765492102065614E-7</v>
      </c>
      <c r="P42" s="19">
        <f t="shared" si="22"/>
        <v>4.4199967091940053E-2</v>
      </c>
      <c r="Q42" s="19">
        <f t="shared" si="23"/>
        <v>1.8109470967741936</v>
      </c>
      <c r="R42" s="19">
        <f t="shared" si="24"/>
        <v>-6.7530984204131228E-2</v>
      </c>
      <c r="S42" s="19">
        <f t="shared" si="25"/>
        <v>0.19389193548387099</v>
      </c>
      <c r="T42" s="19">
        <f t="shared" si="26"/>
        <v>4.4199967091940053E-2</v>
      </c>
      <c r="U42" s="19">
        <f t="shared" si="27"/>
        <v>1.8655434386391249E-3</v>
      </c>
      <c r="V42" s="19">
        <f t="shared" si="28"/>
        <v>1.1480267314702308E-4</v>
      </c>
      <c r="W42" s="19">
        <f t="shared" si="29"/>
        <v>0.35453766707168893</v>
      </c>
      <c r="X42" s="19">
        <f t="shared" si="30"/>
        <v>3.0013770757391656E-16</v>
      </c>
      <c r="Y42" s="53">
        <f t="shared" si="31"/>
        <v>23.164407731675123</v>
      </c>
      <c r="AD42" s="3"/>
      <c r="AF42" s="3"/>
      <c r="AI42" s="1"/>
      <c r="AK42" s="1"/>
    </row>
    <row r="43" spans="1:37">
      <c r="A43" s="9" t="s">
        <v>1551</v>
      </c>
      <c r="B43" s="9" t="s">
        <v>11</v>
      </c>
      <c r="C43">
        <v>2.36</v>
      </c>
      <c r="D43">
        <v>2</v>
      </c>
      <c r="E43">
        <v>0.67100000000000004</v>
      </c>
      <c r="F43">
        <v>1.4</v>
      </c>
      <c r="G43">
        <v>0.11</v>
      </c>
      <c r="H43">
        <v>2</v>
      </c>
      <c r="I43" s="70">
        <f t="shared" si="16"/>
        <v>-3.5678869987849318E-7</v>
      </c>
      <c r="J43" s="19">
        <f t="shared" si="17"/>
        <v>3.8308848695652174E-5</v>
      </c>
      <c r="K43" s="19">
        <f t="shared" si="18"/>
        <v>1.741430756986634E-4</v>
      </c>
      <c r="L43" s="1"/>
      <c r="M43" s="19">
        <f t="shared" si="19"/>
        <v>1.5757229647630619E-5</v>
      </c>
      <c r="N43" s="19">
        <f t="shared" si="20"/>
        <v>9.8595236938031593E-3</v>
      </c>
      <c r="O43" s="19">
        <f t="shared" si="21"/>
        <v>3.3765492102065614E-7</v>
      </c>
      <c r="P43" s="19">
        <f t="shared" si="22"/>
        <v>4.4199967091940053E-2</v>
      </c>
      <c r="Q43" s="19">
        <f t="shared" si="23"/>
        <v>1.094725677419355</v>
      </c>
      <c r="R43" s="19">
        <f t="shared" si="24"/>
        <v>-6.7530984204131228E-2</v>
      </c>
      <c r="S43" s="19">
        <f t="shared" si="25"/>
        <v>0.11720854838709678</v>
      </c>
      <c r="T43" s="19">
        <f t="shared" si="26"/>
        <v>4.4199967091940053E-2</v>
      </c>
      <c r="U43" s="19">
        <f t="shared" si="27"/>
        <v>1.8655434386391249E-3</v>
      </c>
      <c r="V43" s="19">
        <f t="shared" si="28"/>
        <v>1.1480267314702308E-4</v>
      </c>
      <c r="W43" s="19">
        <f t="shared" si="29"/>
        <v>0.35453766707168893</v>
      </c>
      <c r="X43" s="19">
        <f t="shared" si="30"/>
        <v>3.0013770757391656E-16</v>
      </c>
      <c r="Y43" s="53">
        <f t="shared" si="31"/>
        <v>20.549427143767691</v>
      </c>
      <c r="AD43" s="3"/>
      <c r="AF43" s="3"/>
      <c r="AI43" s="1"/>
      <c r="AK43" s="1"/>
    </row>
    <row r="44" spans="1:37">
      <c r="A44" s="9" t="s">
        <v>1552</v>
      </c>
      <c r="B44" s="9" t="s">
        <v>11</v>
      </c>
      <c r="C44">
        <v>2.36</v>
      </c>
      <c r="D44">
        <v>2</v>
      </c>
      <c r="E44">
        <v>0.874</v>
      </c>
      <c r="F44">
        <v>1.4</v>
      </c>
      <c r="G44">
        <v>0.11</v>
      </c>
      <c r="H44">
        <v>2</v>
      </c>
      <c r="I44" s="70">
        <f t="shared" si="16"/>
        <v>-3.5678869987849318E-7</v>
      </c>
      <c r="J44" s="19">
        <f t="shared" si="17"/>
        <v>4.9898559999999994E-5</v>
      </c>
      <c r="K44" s="19">
        <f t="shared" si="18"/>
        <v>1.741430756986634E-4</v>
      </c>
      <c r="L44" s="1"/>
      <c r="M44" s="19">
        <f t="shared" si="19"/>
        <v>1.5757229647630619E-5</v>
      </c>
      <c r="N44" s="19">
        <f t="shared" si="20"/>
        <v>9.8595236938031593E-3</v>
      </c>
      <c r="O44" s="19">
        <f t="shared" si="21"/>
        <v>3.3765492102065614E-7</v>
      </c>
      <c r="P44" s="19">
        <f t="shared" si="22"/>
        <v>4.4199967091940053E-2</v>
      </c>
      <c r="Q44" s="19">
        <f t="shared" si="23"/>
        <v>1.4259169032258066</v>
      </c>
      <c r="R44" s="19">
        <f t="shared" si="24"/>
        <v>-6.7530984204131228E-2</v>
      </c>
      <c r="S44" s="19">
        <f t="shared" si="25"/>
        <v>0.15266806451612905</v>
      </c>
      <c r="T44" s="19">
        <f t="shared" si="26"/>
        <v>4.4199967091940053E-2</v>
      </c>
      <c r="U44" s="19">
        <f t="shared" si="27"/>
        <v>1.8655434386391249E-3</v>
      </c>
      <c r="V44" s="19">
        <f t="shared" si="28"/>
        <v>1.1480267314702308E-4</v>
      </c>
      <c r="W44" s="19">
        <f t="shared" si="29"/>
        <v>0.35453766707168893</v>
      </c>
      <c r="X44" s="19">
        <f t="shared" si="30"/>
        <v>3.0013770757391656E-16</v>
      </c>
      <c r="Y44" s="53">
        <f t="shared" si="31"/>
        <v>21.758632290339921</v>
      </c>
      <c r="AD44" s="3"/>
      <c r="AF44" s="3"/>
      <c r="AI44" s="1"/>
      <c r="AK44" s="1"/>
    </row>
    <row r="45" spans="1:37">
      <c r="A45" s="9" t="s">
        <v>1553</v>
      </c>
      <c r="B45" s="9" t="s">
        <v>11</v>
      </c>
      <c r="C45">
        <v>2.36</v>
      </c>
      <c r="D45">
        <v>2</v>
      </c>
      <c r="E45">
        <v>1.07</v>
      </c>
      <c r="F45">
        <v>1.4</v>
      </c>
      <c r="G45">
        <v>0.11</v>
      </c>
      <c r="H45">
        <v>2</v>
      </c>
      <c r="I45" s="70">
        <f t="shared" si="16"/>
        <v>-3.5678869987849318E-7</v>
      </c>
      <c r="J45" s="19">
        <f t="shared" si="17"/>
        <v>6.1088626086956512E-5</v>
      </c>
      <c r="K45" s="19">
        <f t="shared" si="18"/>
        <v>1.741430756986634E-4</v>
      </c>
      <c r="L45" s="1"/>
      <c r="M45" s="19">
        <f t="shared" si="19"/>
        <v>1.5757229647630619E-5</v>
      </c>
      <c r="N45" s="19">
        <f t="shared" si="20"/>
        <v>9.8595236938031593E-3</v>
      </c>
      <c r="O45" s="19">
        <f t="shared" si="21"/>
        <v>3.3765492102065614E-7</v>
      </c>
      <c r="P45" s="19">
        <f t="shared" si="22"/>
        <v>4.4199967091940053E-2</v>
      </c>
      <c r="Q45" s="19">
        <f t="shared" si="23"/>
        <v>1.7456877419354839</v>
      </c>
      <c r="R45" s="19">
        <f t="shared" si="24"/>
        <v>-6.7530984204131228E-2</v>
      </c>
      <c r="S45" s="19">
        <f t="shared" si="25"/>
        <v>0.18690483870967745</v>
      </c>
      <c r="T45" s="19">
        <f t="shared" si="26"/>
        <v>4.4199967091940053E-2</v>
      </c>
      <c r="U45" s="19">
        <f t="shared" si="27"/>
        <v>1.8655434386391249E-3</v>
      </c>
      <c r="V45" s="19">
        <f t="shared" si="28"/>
        <v>1.1480267314702308E-4</v>
      </c>
      <c r="W45" s="19">
        <f t="shared" si="29"/>
        <v>0.35453766707168893</v>
      </c>
      <c r="X45" s="19">
        <f t="shared" si="30"/>
        <v>3.0013770757391656E-16</v>
      </c>
      <c r="Y45" s="53">
        <f t="shared" si="31"/>
        <v>22.926140707720005</v>
      </c>
      <c r="AD45" s="3"/>
      <c r="AF45" s="3"/>
      <c r="AI45" s="1"/>
      <c r="AK45" s="1"/>
    </row>
    <row r="46" spans="1:37">
      <c r="A46" s="9" t="s">
        <v>1554</v>
      </c>
      <c r="B46" s="9" t="s">
        <v>11</v>
      </c>
      <c r="C46">
        <v>2.36</v>
      </c>
      <c r="D46">
        <v>2</v>
      </c>
      <c r="E46">
        <v>0.85099999999999998</v>
      </c>
      <c r="F46">
        <v>1.4</v>
      </c>
      <c r="G46">
        <v>0.11</v>
      </c>
      <c r="H46">
        <v>2</v>
      </c>
      <c r="I46" s="70">
        <f t="shared" si="16"/>
        <v>-3.5678869987849318E-7</v>
      </c>
      <c r="J46" s="19">
        <f t="shared" si="17"/>
        <v>4.8585439999999993E-5</v>
      </c>
      <c r="K46" s="19">
        <f t="shared" si="18"/>
        <v>1.741430756986634E-4</v>
      </c>
      <c r="L46" s="1">
        <f>3/5.9*L55</f>
        <v>2.0157384987893463E-6</v>
      </c>
      <c r="M46" s="19">
        <f t="shared" si="19"/>
        <v>1.5757229647630619E-5</v>
      </c>
      <c r="N46" s="19">
        <f t="shared" si="20"/>
        <v>9.8595236938031593E-3</v>
      </c>
      <c r="O46" s="19">
        <f t="shared" si="21"/>
        <v>3.3765492102065614E-7</v>
      </c>
      <c r="P46" s="19">
        <f t="shared" si="22"/>
        <v>4.4199967091940053E-2</v>
      </c>
      <c r="Q46" s="19">
        <f t="shared" si="23"/>
        <v>1.3883927741935485</v>
      </c>
      <c r="R46" s="19">
        <f t="shared" si="24"/>
        <v>-6.7530984204131228E-2</v>
      </c>
      <c r="S46" s="19">
        <f t="shared" si="25"/>
        <v>0.14865048387096774</v>
      </c>
      <c r="T46" s="19">
        <f t="shared" si="26"/>
        <v>4.4199967091940053E-2</v>
      </c>
      <c r="U46" s="19">
        <f t="shared" si="27"/>
        <v>1.8655434386391249E-3</v>
      </c>
      <c r="V46" s="19">
        <f t="shared" si="28"/>
        <v>1.1480267314702308E-4</v>
      </c>
      <c r="W46" s="19">
        <f t="shared" si="29"/>
        <v>0.35453766707168893</v>
      </c>
      <c r="X46" s="19">
        <f t="shared" si="30"/>
        <v>3.0013770757391656E-16</v>
      </c>
      <c r="Y46" s="53">
        <f t="shared" si="31"/>
        <v>21.805867250355075</v>
      </c>
      <c r="AD46" s="3"/>
      <c r="AF46" s="3"/>
      <c r="AI46" s="1"/>
      <c r="AK46" s="1"/>
    </row>
    <row r="47" spans="1:37">
      <c r="A47" s="8" t="s">
        <v>1555</v>
      </c>
      <c r="B47" s="9" t="s">
        <v>11</v>
      </c>
      <c r="I47" s="17"/>
      <c r="J47" s="18"/>
      <c r="K47" s="18"/>
      <c r="L47" s="1"/>
      <c r="M47" s="18"/>
      <c r="N47" s="18"/>
      <c r="O47" s="18"/>
      <c r="P47" s="18"/>
      <c r="Q47" s="18"/>
      <c r="R47" s="18"/>
      <c r="S47" s="18"/>
      <c r="T47" s="18"/>
      <c r="U47" s="18"/>
      <c r="V47" s="18"/>
      <c r="W47" s="18"/>
      <c r="X47" s="18"/>
      <c r="Y47" s="87"/>
      <c r="AD47" s="3"/>
      <c r="AF47" s="3"/>
      <c r="AI47" s="1"/>
      <c r="AK47" s="1"/>
    </row>
    <row r="48" spans="1:37">
      <c r="A48" t="s">
        <v>1556</v>
      </c>
      <c r="B48" s="9" t="s">
        <v>11</v>
      </c>
      <c r="C48">
        <v>2.36</v>
      </c>
      <c r="D48">
        <v>2</v>
      </c>
      <c r="E48">
        <v>1.56</v>
      </c>
      <c r="F48">
        <v>1.2</v>
      </c>
      <c r="G48">
        <v>3.2000000000000001E-2</v>
      </c>
      <c r="H48">
        <v>1.5</v>
      </c>
      <c r="I48" s="70">
        <f>C48*CO2_YLL_charfact</f>
        <v>-3.5678869987849318E-7</v>
      </c>
      <c r="J48" s="19">
        <f>E48*NOx_YOLL_Oxidant_charfact/0.46</f>
        <v>8.9063791304347823E-5</v>
      </c>
      <c r="K48" s="19">
        <f>G48*PM2.5_YLL_charfact</f>
        <v>5.0659803839611177E-5</v>
      </c>
      <c r="L48" s="1"/>
      <c r="M48" s="19">
        <f>CO2_severewasting_charfact*C48</f>
        <v>1.5757229647630619E-5</v>
      </c>
      <c r="N48" s="19">
        <f>CO2_workingcapacity_charfact*C48</f>
        <v>9.8595236938031593E-3</v>
      </c>
      <c r="O48" s="19">
        <f>CO2_diarrhea_charfact*C48</f>
        <v>3.3765492102065614E-7</v>
      </c>
      <c r="P48" s="19">
        <f>CO2_crop_charfact*C48</f>
        <v>4.4199967091940053E-2</v>
      </c>
      <c r="Q48" s="19">
        <f>charnoxcrop/0.62*E48</f>
        <v>2.5451148387096776</v>
      </c>
      <c r="R48" s="19">
        <f>CO2_wood_charfact*C48</f>
        <v>-6.7530984204131228E-2</v>
      </c>
      <c r="S48" s="19">
        <f>NOx_wood_oxidantcharfact/0.62*E48</f>
        <v>0.2724967741935484</v>
      </c>
      <c r="T48" s="19">
        <f>CO2_crop_charfact*C48</f>
        <v>4.4199967091940053E-2</v>
      </c>
      <c r="U48" s="19">
        <f>CO2_meat_charfact*C48</f>
        <v>1.8655434386391249E-3</v>
      </c>
      <c r="V48" s="19">
        <f>CO2_fish_charfact*C48</f>
        <v>1.1480267314702308E-4</v>
      </c>
      <c r="W48" s="19">
        <f>CO2_drinkingwater_charfact*C48</f>
        <v>0.35453766707168893</v>
      </c>
      <c r="X48" s="19">
        <f>CO2_NEX_charfact*C48</f>
        <v>3.0013770757391656E-16</v>
      </c>
      <c r="Y48" s="53">
        <f>(I48+J48+K48+L48)*YLLvalue+M48*severe_wasting_value+N48*working_capacity+O48*diarrhea_value+(P48+Q48)*cropvalue+(R48+S48)*woodvalue+T48*cropvalue+U48*meatvalue+V48*fishvalue+W48*drinkingwatervalue+X48*speciesvalue</f>
        <v>14.558540703252836</v>
      </c>
      <c r="AD48" s="3"/>
      <c r="AF48" s="3"/>
      <c r="AI48" s="1"/>
      <c r="AK48" s="1"/>
    </row>
    <row r="49" spans="1:37">
      <c r="A49" t="s">
        <v>1557</v>
      </c>
      <c r="B49" s="9" t="s">
        <v>11</v>
      </c>
      <c r="C49">
        <v>2.36</v>
      </c>
      <c r="D49">
        <v>2</v>
      </c>
      <c r="E49">
        <v>1.56</v>
      </c>
      <c r="F49">
        <v>1.3</v>
      </c>
      <c r="G49">
        <v>0.14199999999999999</v>
      </c>
      <c r="H49">
        <v>1.5</v>
      </c>
      <c r="I49" s="70">
        <f>C49*CO2_YLL_charfact</f>
        <v>-3.5678869987849318E-7</v>
      </c>
      <c r="J49" s="19">
        <f>E49*NOx_YOLL_Oxidant_charfact/0.46</f>
        <v>8.9063791304347823E-5</v>
      </c>
      <c r="K49" s="19">
        <f>G49*PM2.5_YLL_charfact</f>
        <v>2.2480287953827456E-4</v>
      </c>
      <c r="L49" s="1"/>
      <c r="M49" s="19">
        <f>CO2_severewasting_charfact*C49</f>
        <v>1.5757229647630619E-5</v>
      </c>
      <c r="N49" s="19">
        <f>CO2_workingcapacity_charfact*C49</f>
        <v>9.8595236938031593E-3</v>
      </c>
      <c r="O49" s="19">
        <f>CO2_diarrhea_charfact*C49</f>
        <v>3.3765492102065614E-7</v>
      </c>
      <c r="P49" s="19">
        <f>CO2_crop_charfact*C49</f>
        <v>4.4199967091940053E-2</v>
      </c>
      <c r="Q49" s="19">
        <f>charnoxcrop/0.62*E49</f>
        <v>2.5451148387096776</v>
      </c>
      <c r="R49" s="19">
        <f>CO2_wood_charfact*C49</f>
        <v>-6.7530984204131228E-2</v>
      </c>
      <c r="S49" s="19">
        <f>NOx_wood_oxidantcharfact/0.62*E49</f>
        <v>0.2724967741935484</v>
      </c>
      <c r="T49" s="19">
        <f>CO2_crop_charfact*C49</f>
        <v>4.4199967091940053E-2</v>
      </c>
      <c r="U49" s="19">
        <f>CO2_meat_charfact*C49</f>
        <v>1.8655434386391249E-3</v>
      </c>
      <c r="V49" s="19">
        <f>CO2_fish_charfact*C49</f>
        <v>1.1480267314702308E-4</v>
      </c>
      <c r="W49" s="19">
        <f>CO2_drinkingwater_charfact*C49</f>
        <v>0.35453766707168893</v>
      </c>
      <c r="X49" s="19">
        <f>CO2_NEX_charfact*C49</f>
        <v>3.0013770757391656E-16</v>
      </c>
      <c r="Y49" s="53">
        <f>(I49+J49+K49+L49)*YLLvalue+M49*severe_wasting_value+N49*working_capacity+O49*diarrhea_value+(P49+Q49)*cropvalue+(R49+S49)*woodvalue+T49*cropvalue+U49*meatvalue+V49*fishvalue+W49*drinkingwatervalue+X49*speciesvalue</f>
        <v>30.475217822110675</v>
      </c>
      <c r="AD49" s="3"/>
      <c r="AF49" s="3"/>
      <c r="AI49" s="1"/>
      <c r="AK49" s="1"/>
    </row>
    <row r="50" spans="1:37">
      <c r="A50" t="s">
        <v>1558</v>
      </c>
      <c r="B50" s="9" t="s">
        <v>11</v>
      </c>
      <c r="C50">
        <v>2.36</v>
      </c>
      <c r="D50">
        <v>2</v>
      </c>
      <c r="E50">
        <v>1.02</v>
      </c>
      <c r="F50">
        <v>1.2</v>
      </c>
      <c r="G50">
        <v>0.11</v>
      </c>
      <c r="H50">
        <v>1.5</v>
      </c>
      <c r="I50" s="70">
        <f>C50*CO2_YLL_charfact</f>
        <v>-3.5678869987849318E-7</v>
      </c>
      <c r="J50" s="19">
        <f>E50*NOx_YOLL_Oxidant_charfact/0.46</f>
        <v>5.8234017391304344E-5</v>
      </c>
      <c r="K50" s="19">
        <f>G50*PM2.5_YLL_charfact</f>
        <v>1.741430756986634E-4</v>
      </c>
      <c r="L50" s="1"/>
      <c r="M50" s="19">
        <f>CO2_severewasting_charfact*C50</f>
        <v>1.5757229647630619E-5</v>
      </c>
      <c r="N50" s="19">
        <f>CO2_workingcapacity_charfact*C50</f>
        <v>9.8595236938031593E-3</v>
      </c>
      <c r="O50" s="19">
        <f>CO2_diarrhea_charfact*C50</f>
        <v>3.3765492102065614E-7</v>
      </c>
      <c r="P50" s="19">
        <f>CO2_crop_charfact*C50</f>
        <v>4.4199967091940053E-2</v>
      </c>
      <c r="Q50" s="19">
        <f>charnoxcrop/0.62*E50</f>
        <v>1.6641135483870968</v>
      </c>
      <c r="R50" s="19">
        <f>CO2_wood_charfact*C50</f>
        <v>-6.7530984204131228E-2</v>
      </c>
      <c r="S50" s="19">
        <f>NOx_wood_oxidantcharfact/0.62*E50</f>
        <v>0.1781709677419355</v>
      </c>
      <c r="T50" s="19">
        <f>CO2_crop_charfact*C50</f>
        <v>4.4199967091940053E-2</v>
      </c>
      <c r="U50" s="19">
        <f>CO2_meat_charfact*C50</f>
        <v>1.8655434386391249E-3</v>
      </c>
      <c r="V50" s="19">
        <f>CO2_fish_charfact*C50</f>
        <v>1.1480267314702308E-4</v>
      </c>
      <c r="W50" s="19">
        <f>CO2_drinkingwater_charfact*C50</f>
        <v>0.35453766707168893</v>
      </c>
      <c r="X50" s="19">
        <f>CO2_NEX_charfact*C50</f>
        <v>3.0013770757391656E-16</v>
      </c>
      <c r="Y50" s="53">
        <f>(I50+J50+K50+L50)*YLLvalue+M50*severe_wasting_value+N50*working_capacity+O50*diarrhea_value+(P50+Q50)*cropvalue+(R50+S50)*woodvalue+T50*cropvalue+U50*meatvalue+V50*fishvalue+W50*drinkingwatervalue+X50*speciesvalue</f>
        <v>22.628306927776102</v>
      </c>
      <c r="AD50" s="3"/>
      <c r="AF50" s="3"/>
      <c r="AI50" s="1"/>
      <c r="AK50" s="1"/>
    </row>
    <row r="51" spans="1:37">
      <c r="A51" s="9" t="s">
        <v>1559</v>
      </c>
      <c r="B51" s="9" t="s">
        <v>11</v>
      </c>
      <c r="C51">
        <v>2.36</v>
      </c>
      <c r="D51">
        <v>2</v>
      </c>
      <c r="E51">
        <v>0.88</v>
      </c>
      <c r="F51">
        <v>1.2</v>
      </c>
      <c r="G51">
        <v>0.186</v>
      </c>
      <c r="H51">
        <v>1.5</v>
      </c>
      <c r="I51" s="70">
        <f>C51*CO2_YLL_charfact</f>
        <v>-3.5678869987849318E-7</v>
      </c>
      <c r="J51" s="19">
        <f>E51*NOx_YOLL_Oxidant_charfact/0.46</f>
        <v>5.0241113043478253E-5</v>
      </c>
      <c r="K51" s="19">
        <f>G51*PM2.5_YLL_charfact</f>
        <v>2.9446010981773994E-4</v>
      </c>
      <c r="L51" s="1"/>
      <c r="M51" s="19">
        <f>CO2_severewasting_charfact*C51</f>
        <v>1.5757229647630619E-5</v>
      </c>
      <c r="N51" s="19">
        <f>CO2_workingcapacity_charfact*C51</f>
        <v>9.8595236938031593E-3</v>
      </c>
      <c r="O51" s="19">
        <f>CO2_diarrhea_charfact*C51</f>
        <v>3.3765492102065614E-7</v>
      </c>
      <c r="P51" s="19">
        <f>CO2_crop_charfact*C51</f>
        <v>4.4199967091940053E-2</v>
      </c>
      <c r="Q51" s="19">
        <f>charnoxcrop/0.62*E51</f>
        <v>1.4357058064516128</v>
      </c>
      <c r="R51" s="19">
        <f>CO2_wood_charfact*C51</f>
        <v>-6.7530984204131228E-2</v>
      </c>
      <c r="S51" s="19">
        <f>NOx_wood_oxidantcharfact/0.62*E51</f>
        <v>0.15371612903225806</v>
      </c>
      <c r="T51" s="19">
        <f>CO2_crop_charfact*C51</f>
        <v>4.4199967091940053E-2</v>
      </c>
      <c r="U51" s="19">
        <f>CO2_meat_charfact*C51</f>
        <v>1.8655434386391249E-3</v>
      </c>
      <c r="V51" s="19">
        <f>CO2_fish_charfact*C51</f>
        <v>1.1480267314702308E-4</v>
      </c>
      <c r="W51" s="19">
        <f>CO2_drinkingwater_charfact*C51</f>
        <v>0.35453766707168893</v>
      </c>
      <c r="X51" s="19">
        <f>CO2_NEX_charfact*C51</f>
        <v>3.0013770757391656E-16</v>
      </c>
      <c r="Y51" s="53">
        <f>(I51+J51+K51+L51)*YLLvalue+M51*severe_wasting_value+N51*working_capacity+O51*diarrhea_value+(P51+Q51)*cropvalue+(R51+S51)*woodvalue+T51*cropvalue+U51*meatvalue+V51*fishvalue+W51*drinkingwatervalue+X51*speciesvalue</f>
        <v>32.791349262416787</v>
      </c>
      <c r="AD51" s="3"/>
      <c r="AF51" s="3"/>
      <c r="AI51" s="1"/>
      <c r="AK51" s="1"/>
    </row>
    <row r="52" spans="1:37">
      <c r="A52" s="8" t="s">
        <v>1560</v>
      </c>
      <c r="B52" s="9" t="s">
        <v>11</v>
      </c>
      <c r="I52" s="17"/>
      <c r="J52" s="18"/>
      <c r="K52" s="18"/>
      <c r="L52" s="1"/>
      <c r="M52" s="18"/>
      <c r="N52" s="18"/>
      <c r="O52" s="18"/>
      <c r="P52" s="18"/>
      <c r="Q52" s="18"/>
      <c r="R52" s="18"/>
      <c r="S52" s="18"/>
      <c r="T52" s="18"/>
      <c r="U52" s="18"/>
      <c r="V52" s="18"/>
      <c r="W52" s="18"/>
      <c r="X52" s="18"/>
      <c r="Y52" s="87"/>
      <c r="AD52" s="3"/>
      <c r="AF52" s="3"/>
      <c r="AI52" s="1"/>
      <c r="AK52" s="1"/>
    </row>
    <row r="53" spans="1:37">
      <c r="A53" t="s">
        <v>1561</v>
      </c>
      <c r="B53" s="9" t="s">
        <v>11</v>
      </c>
      <c r="C53">
        <v>2.36</v>
      </c>
      <c r="D53">
        <v>2</v>
      </c>
      <c r="E53">
        <v>0.42</v>
      </c>
      <c r="F53">
        <v>1.2</v>
      </c>
      <c r="G53">
        <v>0.11</v>
      </c>
      <c r="H53">
        <v>1.5</v>
      </c>
      <c r="I53" s="70">
        <f>C53*CO2_YLL_charfact</f>
        <v>-3.5678869987849318E-7</v>
      </c>
      <c r="J53" s="19">
        <f>E53*NOx_YOLL_Oxidant_charfact/0.46</f>
        <v>2.3978713043478256E-5</v>
      </c>
      <c r="K53" s="19">
        <f>G53*PM2.5_YLL_charfact</f>
        <v>1.741430756986634E-4</v>
      </c>
      <c r="L53" s="1"/>
      <c r="M53" s="19">
        <f>CO2_severewasting_charfact*C53</f>
        <v>1.5757229647630619E-5</v>
      </c>
      <c r="N53" s="19">
        <f>CO2_workingcapacity_charfact*C53</f>
        <v>9.8595236938031593E-3</v>
      </c>
      <c r="O53" s="19">
        <f>CO2_diarrhea_charfact*C53</f>
        <v>3.3765492102065614E-7</v>
      </c>
      <c r="P53" s="19">
        <f>CO2_crop_charfact*C53</f>
        <v>4.4199967091940053E-2</v>
      </c>
      <c r="Q53" s="19">
        <f>charnoxcrop/0.62*E53</f>
        <v>0.68522322580645156</v>
      </c>
      <c r="R53" s="19">
        <f>CO2_wood_charfact*C53</f>
        <v>-6.7530984204131228E-2</v>
      </c>
      <c r="S53" s="19">
        <f>NOx_wood_oxidantcharfact/0.62*E53</f>
        <v>7.3364516129032262E-2</v>
      </c>
      <c r="T53" s="19">
        <f>CO2_crop_charfact*C53</f>
        <v>4.4199967091940053E-2</v>
      </c>
      <c r="U53" s="19">
        <f>CO2_meat_charfact*C53</f>
        <v>1.8655434386391249E-3</v>
      </c>
      <c r="V53" s="19">
        <f>CO2_fish_charfact*C53</f>
        <v>1.1480267314702308E-4</v>
      </c>
      <c r="W53" s="19">
        <f>CO2_drinkingwater_charfact*C53</f>
        <v>0.35453766707168893</v>
      </c>
      <c r="X53" s="19">
        <f>CO2_NEX_charfact*C53</f>
        <v>3.0013770757391656E-16</v>
      </c>
      <c r="Y53" s="53">
        <f>(I53+J53+K53+L53)*YLLvalue+M53*severe_wasting_value+N53*working_capacity+O53*diarrhea_value+(P53+Q53)*cropvalue+(R53+S53)*woodvalue+T53*cropvalue+U53*meatvalue+V53*fishvalue+W53*drinkingwatervalue+X53*speciesvalue</f>
        <v>19.054301568449318</v>
      </c>
      <c r="AD53" s="3"/>
      <c r="AF53" s="3"/>
      <c r="AI53" s="1"/>
      <c r="AK53" s="1"/>
    </row>
    <row r="54" spans="1:37">
      <c r="A54" s="8" t="s">
        <v>1562</v>
      </c>
      <c r="B54" s="9" t="s">
        <v>11</v>
      </c>
      <c r="I54" s="17"/>
      <c r="J54" s="18"/>
      <c r="K54" s="18"/>
      <c r="L54" s="1"/>
      <c r="M54" s="18"/>
      <c r="N54" s="18"/>
      <c r="O54" s="18"/>
      <c r="P54" s="18"/>
      <c r="Q54" s="18"/>
      <c r="R54" s="18"/>
      <c r="S54" s="18"/>
      <c r="T54" s="18"/>
      <c r="U54" s="18"/>
      <c r="V54" s="18"/>
      <c r="W54" s="18"/>
      <c r="X54" s="18"/>
      <c r="Y54" s="87"/>
      <c r="AD54" s="3"/>
      <c r="AF54" s="3"/>
      <c r="AI54" s="1"/>
      <c r="AK54" s="1"/>
    </row>
    <row r="55" spans="1:37">
      <c r="A55" s="9" t="s">
        <v>1563</v>
      </c>
      <c r="B55" s="9" t="s">
        <v>11</v>
      </c>
      <c r="C55">
        <v>2.36</v>
      </c>
      <c r="D55">
        <v>2</v>
      </c>
      <c r="E55" s="9">
        <v>0.35</v>
      </c>
      <c r="F55">
        <v>1.2</v>
      </c>
      <c r="G55">
        <v>0.186</v>
      </c>
      <c r="H55">
        <v>1.5</v>
      </c>
      <c r="I55" s="70">
        <f t="shared" ref="I55:I70" si="32">C55*CO2_YLL_charfact</f>
        <v>-3.5678869987849318E-7</v>
      </c>
      <c r="J55" s="19">
        <f t="shared" ref="J55:J70" si="33">E55*NOx_YOLL_Oxidant_charfact/0.46</f>
        <v>1.9982260869565214E-5</v>
      </c>
      <c r="K55" s="19">
        <f t="shared" ref="K55:K70" si="34">G55*PM2.5_YLL_charfact</f>
        <v>2.9446010981773994E-4</v>
      </c>
      <c r="L55" s="1">
        <f xml:space="preserve"> 51800/(5600000000*28/12)</f>
        <v>3.9642857142857143E-6</v>
      </c>
      <c r="M55" s="19">
        <f t="shared" ref="M55:M70" si="35">CO2_severewasting_charfact*C55</f>
        <v>1.5757229647630619E-5</v>
      </c>
      <c r="N55" s="19">
        <f t="shared" ref="N55:N70" si="36">CO2_workingcapacity_charfact*C55</f>
        <v>9.8595236938031593E-3</v>
      </c>
      <c r="O55" s="19">
        <f t="shared" ref="O55:O70" si="37">CO2_diarrhea_charfact*C55</f>
        <v>3.3765492102065614E-7</v>
      </c>
      <c r="P55" s="19">
        <f t="shared" ref="P55:P70" si="38">CO2_crop_charfact*C55</f>
        <v>4.4199967091940053E-2</v>
      </c>
      <c r="Q55" s="19">
        <f t="shared" ref="Q55:Q70" si="39">charnoxcrop/0.62*E55</f>
        <v>0.57101935483870969</v>
      </c>
      <c r="R55" s="19">
        <f t="shared" ref="R55:R70" si="40">CO2_wood_charfact*C55</f>
        <v>-6.7530984204131228E-2</v>
      </c>
      <c r="S55" s="19">
        <f t="shared" ref="S55:S70" si="41">NOx_wood_oxidantcharfact/0.62*E55</f>
        <v>6.1137096774193544E-2</v>
      </c>
      <c r="T55" s="19">
        <f t="shared" ref="T55:T70" si="42">CO2_crop_charfact*C55</f>
        <v>4.4199967091940053E-2</v>
      </c>
      <c r="U55" s="19">
        <f t="shared" ref="U55:U70" si="43">CO2_meat_charfact*C55</f>
        <v>1.8655434386391249E-3</v>
      </c>
      <c r="V55" s="19">
        <f t="shared" ref="V55:V70" si="44">CO2_fish_charfact*C55</f>
        <v>1.1480267314702308E-4</v>
      </c>
      <c r="W55" s="19">
        <f t="shared" ref="W55:W70" si="45">CO2_drinkingwater_charfact*C55</f>
        <v>0.35453766707168893</v>
      </c>
      <c r="X55" s="19">
        <f t="shared" ref="X55:X70" si="46">CO2_NEX_charfact*C55</f>
        <v>3.0013770757391656E-16</v>
      </c>
      <c r="Y55" s="53">
        <f t="shared" ref="Y55:Y70" si="47">(I55+J55+K55+L55)*YLLvalue+M55*severe_wasting_value+N55*working_capacity+O55*diarrhea_value+(P55+Q55)*cropvalue+(R55+S55)*woodvalue+T55*cropvalue+U55*meatvalue+V55*fishvalue+W55*drinkingwatervalue+X55*speciesvalue</f>
        <v>29.996646909297169</v>
      </c>
      <c r="AD55" s="3"/>
      <c r="AF55" s="3"/>
      <c r="AI55" s="1"/>
      <c r="AK55" s="1"/>
    </row>
    <row r="56" spans="1:37">
      <c r="A56" t="s">
        <v>1564</v>
      </c>
      <c r="B56" s="9" t="s">
        <v>11</v>
      </c>
      <c r="C56">
        <v>2.36</v>
      </c>
      <c r="D56">
        <v>2</v>
      </c>
      <c r="E56">
        <v>0.48</v>
      </c>
      <c r="F56">
        <v>1.2</v>
      </c>
      <c r="G56">
        <v>0.186</v>
      </c>
      <c r="H56">
        <v>1.5</v>
      </c>
      <c r="I56" s="70">
        <f t="shared" si="32"/>
        <v>-3.5678869987849318E-7</v>
      </c>
      <c r="J56" s="19">
        <f t="shared" si="33"/>
        <v>2.7404243478260865E-5</v>
      </c>
      <c r="K56" s="19">
        <f t="shared" si="34"/>
        <v>2.9446010981773994E-4</v>
      </c>
      <c r="L56" s="1"/>
      <c r="M56" s="19">
        <f t="shared" si="35"/>
        <v>1.5757229647630619E-5</v>
      </c>
      <c r="N56" s="19">
        <f t="shared" si="36"/>
        <v>9.8595236938031593E-3</v>
      </c>
      <c r="O56" s="19">
        <f t="shared" si="37"/>
        <v>3.3765492102065614E-7</v>
      </c>
      <c r="P56" s="19">
        <f t="shared" si="38"/>
        <v>4.4199967091940053E-2</v>
      </c>
      <c r="Q56" s="19">
        <f t="shared" si="39"/>
        <v>0.78311225806451612</v>
      </c>
      <c r="R56" s="19">
        <f t="shared" si="40"/>
        <v>-6.7530984204131228E-2</v>
      </c>
      <c r="S56" s="19">
        <f t="shared" si="41"/>
        <v>8.3845161290322573E-2</v>
      </c>
      <c r="T56" s="19">
        <f t="shared" si="42"/>
        <v>4.4199967091940053E-2</v>
      </c>
      <c r="U56" s="19">
        <f t="shared" si="43"/>
        <v>1.8655434386391249E-3</v>
      </c>
      <c r="V56" s="19">
        <f t="shared" si="44"/>
        <v>1.1480267314702308E-4</v>
      </c>
      <c r="W56" s="19">
        <f t="shared" si="45"/>
        <v>0.35453766707168893</v>
      </c>
      <c r="X56" s="19">
        <f t="shared" si="46"/>
        <v>3.0013770757391656E-16</v>
      </c>
      <c r="Y56" s="53">
        <f t="shared" si="47"/>
        <v>30.408679022865595</v>
      </c>
      <c r="AD56" s="3"/>
      <c r="AF56" s="3"/>
      <c r="AI56" s="1"/>
      <c r="AK56" s="1"/>
    </row>
    <row r="57" spans="1:37">
      <c r="A57" t="s">
        <v>1565</v>
      </c>
      <c r="B57" s="9" t="s">
        <v>11</v>
      </c>
      <c r="C57">
        <v>2.36</v>
      </c>
      <c r="D57">
        <v>2</v>
      </c>
      <c r="E57">
        <v>0.75</v>
      </c>
      <c r="F57">
        <v>1.2</v>
      </c>
      <c r="G57">
        <v>0.186</v>
      </c>
      <c r="H57">
        <v>1.5</v>
      </c>
      <c r="I57" s="70">
        <f t="shared" si="32"/>
        <v>-3.5678869987849318E-7</v>
      </c>
      <c r="J57" s="19">
        <f t="shared" si="33"/>
        <v>4.2819130434782601E-5</v>
      </c>
      <c r="K57" s="19">
        <f t="shared" si="34"/>
        <v>2.9446010981773994E-4</v>
      </c>
      <c r="L57" s="1"/>
      <c r="M57" s="19">
        <f t="shared" si="35"/>
        <v>1.5757229647630619E-5</v>
      </c>
      <c r="N57" s="19">
        <f t="shared" si="36"/>
        <v>9.8595236938031593E-3</v>
      </c>
      <c r="O57" s="19">
        <f t="shared" si="37"/>
        <v>3.3765492102065614E-7</v>
      </c>
      <c r="P57" s="19">
        <f t="shared" si="38"/>
        <v>4.4199967091940053E-2</v>
      </c>
      <c r="Q57" s="19">
        <f t="shared" si="39"/>
        <v>1.2236129032258065</v>
      </c>
      <c r="R57" s="19">
        <f t="shared" si="40"/>
        <v>-6.7530984204131228E-2</v>
      </c>
      <c r="S57" s="19">
        <f t="shared" si="41"/>
        <v>0.13100806451612904</v>
      </c>
      <c r="T57" s="19">
        <f t="shared" si="42"/>
        <v>4.4199967091940053E-2</v>
      </c>
      <c r="U57" s="19">
        <f t="shared" si="43"/>
        <v>1.8655434386391249E-3</v>
      </c>
      <c r="V57" s="19">
        <f t="shared" si="44"/>
        <v>1.1480267314702308E-4</v>
      </c>
      <c r="W57" s="19">
        <f t="shared" si="45"/>
        <v>0.35453766707168893</v>
      </c>
      <c r="X57" s="19">
        <f t="shared" si="46"/>
        <v>3.0013770757391656E-16</v>
      </c>
      <c r="Y57" s="53">
        <f t="shared" si="47"/>
        <v>32.016981434562638</v>
      </c>
      <c r="AD57" s="3"/>
      <c r="AF57" s="3"/>
      <c r="AI57" s="1"/>
      <c r="AK57" s="1"/>
    </row>
    <row r="58" spans="1:37">
      <c r="A58" t="s">
        <v>1566</v>
      </c>
      <c r="B58" s="9" t="s">
        <v>11</v>
      </c>
      <c r="C58">
        <v>2.36</v>
      </c>
      <c r="D58">
        <v>2</v>
      </c>
      <c r="E58">
        <v>1.08</v>
      </c>
      <c r="F58">
        <v>1.2</v>
      </c>
      <c r="G58">
        <v>0.186</v>
      </c>
      <c r="H58">
        <v>1.5</v>
      </c>
      <c r="I58" s="70">
        <f t="shared" si="32"/>
        <v>-3.5678869987849318E-7</v>
      </c>
      <c r="J58" s="19">
        <f t="shared" si="33"/>
        <v>6.1659547826086944E-5</v>
      </c>
      <c r="K58" s="19">
        <f t="shared" si="34"/>
        <v>2.9446010981773994E-4</v>
      </c>
      <c r="L58" s="1"/>
      <c r="M58" s="19">
        <f t="shared" si="35"/>
        <v>1.5757229647630619E-5</v>
      </c>
      <c r="N58" s="19">
        <f t="shared" si="36"/>
        <v>9.8595236938031593E-3</v>
      </c>
      <c r="O58" s="19">
        <f t="shared" si="37"/>
        <v>3.3765492102065614E-7</v>
      </c>
      <c r="P58" s="19">
        <f t="shared" si="38"/>
        <v>4.4199967091940053E-2</v>
      </c>
      <c r="Q58" s="19">
        <f t="shared" si="39"/>
        <v>1.7620025806451614</v>
      </c>
      <c r="R58" s="19">
        <f t="shared" si="40"/>
        <v>-6.7530984204131228E-2</v>
      </c>
      <c r="S58" s="19">
        <f t="shared" si="41"/>
        <v>0.18865161290322582</v>
      </c>
      <c r="T58" s="19">
        <f t="shared" si="42"/>
        <v>4.4199967091940053E-2</v>
      </c>
      <c r="U58" s="19">
        <f t="shared" si="43"/>
        <v>1.8655434386391249E-3</v>
      </c>
      <c r="V58" s="19">
        <f t="shared" si="44"/>
        <v>1.1480267314702308E-4</v>
      </c>
      <c r="W58" s="19">
        <f t="shared" si="45"/>
        <v>0.35453766707168893</v>
      </c>
      <c r="X58" s="19">
        <f t="shared" si="46"/>
        <v>3.0013770757391656E-16</v>
      </c>
      <c r="Y58" s="53">
        <f t="shared" si="47"/>
        <v>33.982684382192389</v>
      </c>
      <c r="AD58" s="3"/>
      <c r="AF58" s="3"/>
      <c r="AI58" s="1"/>
      <c r="AK58" s="1"/>
    </row>
    <row r="59" spans="1:37">
      <c r="A59" t="s">
        <v>1567</v>
      </c>
      <c r="B59" s="9" t="s">
        <v>11</v>
      </c>
      <c r="C59">
        <v>2.36</v>
      </c>
      <c r="D59">
        <v>2</v>
      </c>
      <c r="E59">
        <v>1.03</v>
      </c>
      <c r="F59">
        <v>1.2</v>
      </c>
      <c r="G59">
        <v>0.186</v>
      </c>
      <c r="H59">
        <v>1.5</v>
      </c>
      <c r="I59" s="70">
        <f t="shared" si="32"/>
        <v>-3.5678869987849318E-7</v>
      </c>
      <c r="J59" s="19">
        <f t="shared" si="33"/>
        <v>5.8804939130434776E-5</v>
      </c>
      <c r="K59" s="19">
        <f t="shared" si="34"/>
        <v>2.9446010981773994E-4</v>
      </c>
      <c r="L59" s="1"/>
      <c r="M59" s="19">
        <f t="shared" si="35"/>
        <v>1.5757229647630619E-5</v>
      </c>
      <c r="N59" s="19">
        <f t="shared" si="36"/>
        <v>9.8595236938031593E-3</v>
      </c>
      <c r="O59" s="19">
        <f t="shared" si="37"/>
        <v>3.3765492102065614E-7</v>
      </c>
      <c r="P59" s="19">
        <f t="shared" si="38"/>
        <v>4.4199967091940053E-2</v>
      </c>
      <c r="Q59" s="19">
        <f t="shared" si="39"/>
        <v>1.6804283870967742</v>
      </c>
      <c r="R59" s="19">
        <f t="shared" si="40"/>
        <v>-6.7530984204131228E-2</v>
      </c>
      <c r="S59" s="19">
        <f t="shared" si="41"/>
        <v>0.17991774193548388</v>
      </c>
      <c r="T59" s="19">
        <f t="shared" si="42"/>
        <v>4.4199967091940053E-2</v>
      </c>
      <c r="U59" s="19">
        <f t="shared" si="43"/>
        <v>1.8655434386391249E-3</v>
      </c>
      <c r="V59" s="19">
        <f t="shared" si="44"/>
        <v>1.1480267314702308E-4</v>
      </c>
      <c r="W59" s="19">
        <f t="shared" si="45"/>
        <v>0.35453766707168893</v>
      </c>
      <c r="X59" s="19">
        <f t="shared" si="46"/>
        <v>3.0013770757391656E-16</v>
      </c>
      <c r="Y59" s="53">
        <f t="shared" si="47"/>
        <v>33.684850602248481</v>
      </c>
      <c r="AD59" s="3"/>
      <c r="AF59" s="3"/>
      <c r="AI59" s="1"/>
      <c r="AK59" s="1"/>
    </row>
    <row r="60" spans="1:37">
      <c r="A60" t="s">
        <v>1568</v>
      </c>
      <c r="B60" s="9" t="s">
        <v>11</v>
      </c>
      <c r="C60">
        <v>2.36</v>
      </c>
      <c r="D60">
        <v>2</v>
      </c>
      <c r="E60">
        <v>0.82</v>
      </c>
      <c r="F60">
        <v>1.2</v>
      </c>
      <c r="G60">
        <v>0.186</v>
      </c>
      <c r="H60">
        <v>1.5</v>
      </c>
      <c r="I60" s="70">
        <f t="shared" si="32"/>
        <v>-3.5678869987849318E-7</v>
      </c>
      <c r="J60" s="19">
        <f t="shared" si="33"/>
        <v>4.681558260869564E-5</v>
      </c>
      <c r="K60" s="19">
        <f t="shared" si="34"/>
        <v>2.9446010981773994E-4</v>
      </c>
      <c r="L60" s="1"/>
      <c r="M60" s="19">
        <f t="shared" si="35"/>
        <v>1.5757229647630619E-5</v>
      </c>
      <c r="N60" s="19">
        <f t="shared" si="36"/>
        <v>9.8595236938031593E-3</v>
      </c>
      <c r="O60" s="19">
        <f t="shared" si="37"/>
        <v>3.3765492102065614E-7</v>
      </c>
      <c r="P60" s="19">
        <f t="shared" si="38"/>
        <v>4.4199967091940053E-2</v>
      </c>
      <c r="Q60" s="19">
        <f t="shared" si="39"/>
        <v>1.3378167741935483</v>
      </c>
      <c r="R60" s="19">
        <f t="shared" si="40"/>
        <v>-6.7530984204131228E-2</v>
      </c>
      <c r="S60" s="19">
        <f t="shared" si="41"/>
        <v>0.14323548387096774</v>
      </c>
      <c r="T60" s="19">
        <f t="shared" si="42"/>
        <v>4.4199967091940053E-2</v>
      </c>
      <c r="U60" s="19">
        <f t="shared" si="43"/>
        <v>1.8655434386391249E-3</v>
      </c>
      <c r="V60" s="19">
        <f t="shared" si="44"/>
        <v>1.1480267314702308E-4</v>
      </c>
      <c r="W60" s="19">
        <f t="shared" si="45"/>
        <v>0.35453766707168893</v>
      </c>
      <c r="X60" s="19">
        <f t="shared" si="46"/>
        <v>3.0013770757391656E-16</v>
      </c>
      <c r="Y60" s="53">
        <f t="shared" si="47"/>
        <v>32.433948726484104</v>
      </c>
      <c r="AD60" s="3"/>
      <c r="AF60" s="3"/>
      <c r="AI60" s="1"/>
      <c r="AK60" s="1"/>
    </row>
    <row r="61" spans="1:37">
      <c r="A61" t="s">
        <v>1569</v>
      </c>
      <c r="B61" s="9" t="s">
        <v>11</v>
      </c>
      <c r="C61">
        <v>2.36</v>
      </c>
      <c r="D61">
        <v>2</v>
      </c>
      <c r="E61">
        <v>0.62</v>
      </c>
      <c r="F61">
        <v>1.2</v>
      </c>
      <c r="G61">
        <v>0.186</v>
      </c>
      <c r="H61">
        <v>1.5</v>
      </c>
      <c r="I61" s="70">
        <f t="shared" si="32"/>
        <v>-3.5678869987849318E-7</v>
      </c>
      <c r="J61" s="19">
        <f t="shared" si="33"/>
        <v>3.5397147826086956E-5</v>
      </c>
      <c r="K61" s="19">
        <f t="shared" si="34"/>
        <v>2.9446010981773994E-4</v>
      </c>
      <c r="L61" s="1"/>
      <c r="M61" s="19">
        <f t="shared" si="35"/>
        <v>1.5757229647630619E-5</v>
      </c>
      <c r="N61" s="19">
        <f t="shared" si="36"/>
        <v>9.8595236938031593E-3</v>
      </c>
      <c r="O61" s="19">
        <f t="shared" si="37"/>
        <v>3.3765492102065614E-7</v>
      </c>
      <c r="P61" s="19">
        <f t="shared" si="38"/>
        <v>4.4199967091940053E-2</v>
      </c>
      <c r="Q61" s="19">
        <f t="shared" si="39"/>
        <v>1.01152</v>
      </c>
      <c r="R61" s="19">
        <f t="shared" si="40"/>
        <v>-6.7530984204131228E-2</v>
      </c>
      <c r="S61" s="19">
        <f t="shared" si="41"/>
        <v>0.10830000000000001</v>
      </c>
      <c r="T61" s="19">
        <f t="shared" si="42"/>
        <v>4.4199967091940053E-2</v>
      </c>
      <c r="U61" s="19">
        <f t="shared" si="43"/>
        <v>1.8655434386391249E-3</v>
      </c>
      <c r="V61" s="19">
        <f t="shared" si="44"/>
        <v>1.1480267314702308E-4</v>
      </c>
      <c r="W61" s="19">
        <f t="shared" si="45"/>
        <v>0.35453766707168893</v>
      </c>
      <c r="X61" s="19">
        <f t="shared" si="46"/>
        <v>3.0013770757391656E-16</v>
      </c>
      <c r="Y61" s="53">
        <f t="shared" si="47"/>
        <v>31.242613606708506</v>
      </c>
    </row>
    <row r="62" spans="1:37">
      <c r="A62" t="s">
        <v>1570</v>
      </c>
      <c r="B62" s="9" t="s">
        <v>11</v>
      </c>
      <c r="C62">
        <v>2.36</v>
      </c>
      <c r="D62">
        <v>2</v>
      </c>
      <c r="E62">
        <v>0.81</v>
      </c>
      <c r="F62">
        <v>1.2</v>
      </c>
      <c r="G62">
        <v>0.186</v>
      </c>
      <c r="H62">
        <v>1.5</v>
      </c>
      <c r="I62" s="70">
        <f t="shared" si="32"/>
        <v>-3.5678869987849318E-7</v>
      </c>
      <c r="J62" s="19">
        <f t="shared" si="33"/>
        <v>4.6244660869565215E-5</v>
      </c>
      <c r="K62" s="19">
        <f t="shared" si="34"/>
        <v>2.9446010981773994E-4</v>
      </c>
      <c r="L62" s="1"/>
      <c r="M62" s="19">
        <f t="shared" si="35"/>
        <v>1.5757229647630619E-5</v>
      </c>
      <c r="N62" s="19">
        <f t="shared" si="36"/>
        <v>9.8595236938031593E-3</v>
      </c>
      <c r="O62" s="19">
        <f t="shared" si="37"/>
        <v>3.3765492102065614E-7</v>
      </c>
      <c r="P62" s="19">
        <f t="shared" si="38"/>
        <v>4.4199967091940053E-2</v>
      </c>
      <c r="Q62" s="19">
        <f t="shared" si="39"/>
        <v>1.3215019354838711</v>
      </c>
      <c r="R62" s="19">
        <f t="shared" si="40"/>
        <v>-6.7530984204131228E-2</v>
      </c>
      <c r="S62" s="19">
        <f t="shared" si="41"/>
        <v>0.14148870967741936</v>
      </c>
      <c r="T62" s="19">
        <f t="shared" si="42"/>
        <v>4.4199967091940053E-2</v>
      </c>
      <c r="U62" s="19">
        <f t="shared" si="43"/>
        <v>1.8655434386391249E-3</v>
      </c>
      <c r="V62" s="19">
        <f t="shared" si="44"/>
        <v>1.1480267314702308E-4</v>
      </c>
      <c r="W62" s="19">
        <f t="shared" si="45"/>
        <v>0.35453766707168893</v>
      </c>
      <c r="X62" s="19">
        <f t="shared" si="46"/>
        <v>3.0013770757391656E-16</v>
      </c>
      <c r="Y62" s="53">
        <f t="shared" si="47"/>
        <v>32.374381970495321</v>
      </c>
    </row>
    <row r="63" spans="1:37">
      <c r="A63" t="s">
        <v>1571</v>
      </c>
      <c r="B63" s="9" t="s">
        <v>11</v>
      </c>
      <c r="C63">
        <v>2.36</v>
      </c>
      <c r="D63">
        <v>2</v>
      </c>
      <c r="E63">
        <v>0.63</v>
      </c>
      <c r="F63">
        <v>1.2</v>
      </c>
      <c r="G63">
        <v>0.186</v>
      </c>
      <c r="H63">
        <v>1.5</v>
      </c>
      <c r="I63" s="70">
        <f t="shared" si="32"/>
        <v>-3.5678869987849318E-7</v>
      </c>
      <c r="J63" s="19">
        <f t="shared" si="33"/>
        <v>3.5968069565217388E-5</v>
      </c>
      <c r="K63" s="19">
        <f t="shared" si="34"/>
        <v>2.9446010981773994E-4</v>
      </c>
      <c r="L63" s="1"/>
      <c r="M63" s="19">
        <f t="shared" si="35"/>
        <v>1.5757229647630619E-5</v>
      </c>
      <c r="N63" s="19">
        <f t="shared" si="36"/>
        <v>9.8595236938031593E-3</v>
      </c>
      <c r="O63" s="19">
        <f t="shared" si="37"/>
        <v>3.3765492102065614E-7</v>
      </c>
      <c r="P63" s="19">
        <f t="shared" si="38"/>
        <v>4.4199967091940053E-2</v>
      </c>
      <c r="Q63" s="19">
        <f t="shared" si="39"/>
        <v>1.0278348387096774</v>
      </c>
      <c r="R63" s="19">
        <f t="shared" si="40"/>
        <v>-6.7530984204131228E-2</v>
      </c>
      <c r="S63" s="19">
        <f t="shared" si="41"/>
        <v>0.11004677419354839</v>
      </c>
      <c r="T63" s="19">
        <f t="shared" si="42"/>
        <v>4.4199967091940053E-2</v>
      </c>
      <c r="U63" s="19">
        <f t="shared" si="43"/>
        <v>1.8655434386391249E-3</v>
      </c>
      <c r="V63" s="19">
        <f t="shared" si="44"/>
        <v>1.1480267314702308E-4</v>
      </c>
      <c r="W63" s="19">
        <f t="shared" si="45"/>
        <v>0.35453766707168893</v>
      </c>
      <c r="X63" s="19">
        <f t="shared" si="46"/>
        <v>3.0013770757391656E-16</v>
      </c>
      <c r="Y63" s="53">
        <f t="shared" si="47"/>
        <v>31.302180362697289</v>
      </c>
    </row>
    <row r="64" spans="1:37">
      <c r="A64" s="9" t="s">
        <v>1572</v>
      </c>
      <c r="B64" s="9" t="s">
        <v>11</v>
      </c>
      <c r="C64">
        <v>2.36</v>
      </c>
      <c r="D64">
        <v>2</v>
      </c>
      <c r="E64">
        <v>1.01</v>
      </c>
      <c r="F64">
        <v>1.2</v>
      </c>
      <c r="G64">
        <v>0.186</v>
      </c>
      <c r="H64">
        <v>1.5</v>
      </c>
      <c r="I64" s="70">
        <f t="shared" si="32"/>
        <v>-3.5678869987849318E-7</v>
      </c>
      <c r="J64" s="19">
        <f t="shared" si="33"/>
        <v>5.7663095652173905E-5</v>
      </c>
      <c r="K64" s="19">
        <f t="shared" si="34"/>
        <v>2.9446010981773994E-4</v>
      </c>
      <c r="L64" s="1"/>
      <c r="M64" s="19">
        <f t="shared" si="35"/>
        <v>1.5757229647630619E-5</v>
      </c>
      <c r="N64" s="19">
        <f t="shared" si="36"/>
        <v>9.8595236938031593E-3</v>
      </c>
      <c r="O64" s="19">
        <f t="shared" si="37"/>
        <v>3.3765492102065614E-7</v>
      </c>
      <c r="P64" s="19">
        <f t="shared" si="38"/>
        <v>4.4199967091940053E-2</v>
      </c>
      <c r="Q64" s="19">
        <f t="shared" si="39"/>
        <v>1.6477987096774194</v>
      </c>
      <c r="R64" s="19">
        <f t="shared" si="40"/>
        <v>-6.7530984204131228E-2</v>
      </c>
      <c r="S64" s="19">
        <f t="shared" si="41"/>
        <v>0.17642419354838709</v>
      </c>
      <c r="T64" s="19">
        <f t="shared" si="42"/>
        <v>4.4199967091940053E-2</v>
      </c>
      <c r="U64" s="19">
        <f t="shared" si="43"/>
        <v>1.8655434386391249E-3</v>
      </c>
      <c r="V64" s="19">
        <f t="shared" si="44"/>
        <v>1.1480267314702308E-4</v>
      </c>
      <c r="W64" s="19">
        <f t="shared" si="45"/>
        <v>0.35453766707168893</v>
      </c>
      <c r="X64" s="19">
        <f t="shared" si="46"/>
        <v>3.0013770757391656E-16</v>
      </c>
      <c r="Y64" s="53">
        <f t="shared" si="47"/>
        <v>33.565717090270923</v>
      </c>
    </row>
    <row r="65" spans="1:25">
      <c r="A65" s="9" t="s">
        <v>1573</v>
      </c>
      <c r="B65" s="9" t="s">
        <v>11</v>
      </c>
      <c r="C65">
        <v>2.36</v>
      </c>
      <c r="D65">
        <v>2</v>
      </c>
      <c r="E65">
        <v>0.62</v>
      </c>
      <c r="F65">
        <v>1.2</v>
      </c>
      <c r="G65">
        <v>0.186</v>
      </c>
      <c r="H65">
        <v>1.5</v>
      </c>
      <c r="I65" s="70">
        <f t="shared" si="32"/>
        <v>-3.5678869987849318E-7</v>
      </c>
      <c r="J65" s="19">
        <f t="shared" si="33"/>
        <v>3.5397147826086956E-5</v>
      </c>
      <c r="K65" s="19">
        <f t="shared" si="34"/>
        <v>2.9446010981773994E-4</v>
      </c>
      <c r="L65" s="1"/>
      <c r="M65" s="19">
        <f t="shared" si="35"/>
        <v>1.5757229647630619E-5</v>
      </c>
      <c r="N65" s="19">
        <f t="shared" si="36"/>
        <v>9.8595236938031593E-3</v>
      </c>
      <c r="O65" s="19">
        <f t="shared" si="37"/>
        <v>3.3765492102065614E-7</v>
      </c>
      <c r="P65" s="19">
        <f t="shared" si="38"/>
        <v>4.4199967091940053E-2</v>
      </c>
      <c r="Q65" s="19">
        <f t="shared" si="39"/>
        <v>1.01152</v>
      </c>
      <c r="R65" s="19">
        <f t="shared" si="40"/>
        <v>-6.7530984204131228E-2</v>
      </c>
      <c r="S65" s="19">
        <f t="shared" si="41"/>
        <v>0.10830000000000001</v>
      </c>
      <c r="T65" s="19">
        <f t="shared" si="42"/>
        <v>4.4199967091940053E-2</v>
      </c>
      <c r="U65" s="19">
        <f t="shared" si="43"/>
        <v>1.8655434386391249E-3</v>
      </c>
      <c r="V65" s="19">
        <f t="shared" si="44"/>
        <v>1.1480267314702308E-4</v>
      </c>
      <c r="W65" s="19">
        <f t="shared" si="45"/>
        <v>0.35453766707168893</v>
      </c>
      <c r="X65" s="19">
        <f t="shared" si="46"/>
        <v>3.0013770757391656E-16</v>
      </c>
      <c r="Y65" s="53">
        <f t="shared" si="47"/>
        <v>31.242613606708506</v>
      </c>
    </row>
    <row r="66" spans="1:25">
      <c r="A66" t="s">
        <v>1574</v>
      </c>
      <c r="B66" s="9" t="s">
        <v>11</v>
      </c>
      <c r="C66">
        <v>2.36</v>
      </c>
      <c r="D66">
        <v>2</v>
      </c>
      <c r="E66">
        <v>0.95</v>
      </c>
      <c r="F66">
        <v>1.2</v>
      </c>
      <c r="G66">
        <v>0.186</v>
      </c>
      <c r="H66">
        <v>1.5</v>
      </c>
      <c r="I66" s="70">
        <f t="shared" si="32"/>
        <v>-3.5678869987849318E-7</v>
      </c>
      <c r="J66" s="19">
        <f t="shared" si="33"/>
        <v>5.4237565217391299E-5</v>
      </c>
      <c r="K66" s="19">
        <f t="shared" si="34"/>
        <v>2.9446010981773994E-4</v>
      </c>
      <c r="L66" s="1"/>
      <c r="M66" s="19">
        <f t="shared" si="35"/>
        <v>1.5757229647630619E-5</v>
      </c>
      <c r="N66" s="19">
        <f t="shared" si="36"/>
        <v>9.8595236938031593E-3</v>
      </c>
      <c r="O66" s="19">
        <f t="shared" si="37"/>
        <v>3.3765492102065614E-7</v>
      </c>
      <c r="P66" s="19">
        <f t="shared" si="38"/>
        <v>4.4199967091940053E-2</v>
      </c>
      <c r="Q66" s="19">
        <f t="shared" si="39"/>
        <v>1.5499096774193548</v>
      </c>
      <c r="R66" s="19">
        <f t="shared" si="40"/>
        <v>-6.7530984204131228E-2</v>
      </c>
      <c r="S66" s="19">
        <f t="shared" si="41"/>
        <v>0.16594354838709677</v>
      </c>
      <c r="T66" s="19">
        <f t="shared" si="42"/>
        <v>4.4199967091940053E-2</v>
      </c>
      <c r="U66" s="19">
        <f t="shared" si="43"/>
        <v>1.8655434386391249E-3</v>
      </c>
      <c r="V66" s="19">
        <f t="shared" si="44"/>
        <v>1.1480267314702308E-4</v>
      </c>
      <c r="W66" s="19">
        <f t="shared" si="45"/>
        <v>0.35453766707168893</v>
      </c>
      <c r="X66" s="19">
        <f t="shared" si="46"/>
        <v>3.0013770757391656E-16</v>
      </c>
      <c r="Y66" s="53">
        <f t="shared" si="47"/>
        <v>33.208316554338239</v>
      </c>
    </row>
    <row r="67" spans="1:25">
      <c r="A67" t="s">
        <v>1575</v>
      </c>
      <c r="B67" s="9" t="s">
        <v>11</v>
      </c>
      <c r="C67">
        <v>2.36</v>
      </c>
      <c r="D67">
        <v>2</v>
      </c>
      <c r="E67">
        <v>0.79</v>
      </c>
      <c r="F67">
        <v>1.2</v>
      </c>
      <c r="G67">
        <v>0.186</v>
      </c>
      <c r="H67">
        <v>1.5</v>
      </c>
      <c r="I67" s="70">
        <f t="shared" si="32"/>
        <v>-3.5678869987849318E-7</v>
      </c>
      <c r="J67" s="19">
        <f t="shared" si="33"/>
        <v>4.5102817391304344E-5</v>
      </c>
      <c r="K67" s="19">
        <f t="shared" si="34"/>
        <v>2.9446010981773994E-4</v>
      </c>
      <c r="L67" s="1"/>
      <c r="M67" s="19">
        <f t="shared" si="35"/>
        <v>1.5757229647630619E-5</v>
      </c>
      <c r="N67" s="19">
        <f t="shared" si="36"/>
        <v>9.8595236938031593E-3</v>
      </c>
      <c r="O67" s="19">
        <f t="shared" si="37"/>
        <v>3.3765492102065614E-7</v>
      </c>
      <c r="P67" s="19">
        <f t="shared" si="38"/>
        <v>4.4199967091940053E-2</v>
      </c>
      <c r="Q67" s="19">
        <f t="shared" si="39"/>
        <v>1.2888722580645162</v>
      </c>
      <c r="R67" s="19">
        <f t="shared" si="40"/>
        <v>-6.7530984204131228E-2</v>
      </c>
      <c r="S67" s="19">
        <f t="shared" si="41"/>
        <v>0.1379951612903226</v>
      </c>
      <c r="T67" s="19">
        <f t="shared" si="42"/>
        <v>4.4199967091940053E-2</v>
      </c>
      <c r="U67" s="19">
        <f t="shared" si="43"/>
        <v>1.8655434386391249E-3</v>
      </c>
      <c r="V67" s="19">
        <f t="shared" si="44"/>
        <v>1.1480267314702308E-4</v>
      </c>
      <c r="W67" s="19">
        <f t="shared" si="45"/>
        <v>0.35453766707168893</v>
      </c>
      <c r="X67" s="19">
        <f t="shared" si="46"/>
        <v>3.0013770757391656E-16</v>
      </c>
      <c r="Y67" s="53">
        <f t="shared" si="47"/>
        <v>32.255248458517762</v>
      </c>
    </row>
    <row r="68" spans="1:25">
      <c r="A68" t="s">
        <v>1576</v>
      </c>
      <c r="B68" s="9" t="s">
        <v>11</v>
      </c>
      <c r="C68">
        <v>2.36</v>
      </c>
      <c r="D68">
        <v>2</v>
      </c>
      <c r="E68">
        <v>0.63</v>
      </c>
      <c r="F68">
        <v>1.2</v>
      </c>
      <c r="G68">
        <v>0.186</v>
      </c>
      <c r="H68">
        <v>1.5</v>
      </c>
      <c r="I68" s="70">
        <f t="shared" si="32"/>
        <v>-3.5678869987849318E-7</v>
      </c>
      <c r="J68" s="19">
        <f t="shared" si="33"/>
        <v>3.5968069565217388E-5</v>
      </c>
      <c r="K68" s="19">
        <f t="shared" si="34"/>
        <v>2.9446010981773994E-4</v>
      </c>
      <c r="L68" s="1"/>
      <c r="M68" s="19">
        <f t="shared" si="35"/>
        <v>1.5757229647630619E-5</v>
      </c>
      <c r="N68" s="19">
        <f t="shared" si="36"/>
        <v>9.8595236938031593E-3</v>
      </c>
      <c r="O68" s="19">
        <f t="shared" si="37"/>
        <v>3.3765492102065614E-7</v>
      </c>
      <c r="P68" s="19">
        <f t="shared" si="38"/>
        <v>4.4199967091940053E-2</v>
      </c>
      <c r="Q68" s="19">
        <f t="shared" si="39"/>
        <v>1.0278348387096774</v>
      </c>
      <c r="R68" s="19">
        <f t="shared" si="40"/>
        <v>-6.7530984204131228E-2</v>
      </c>
      <c r="S68" s="19">
        <f t="shared" si="41"/>
        <v>0.11004677419354839</v>
      </c>
      <c r="T68" s="19">
        <f t="shared" si="42"/>
        <v>4.4199967091940053E-2</v>
      </c>
      <c r="U68" s="19">
        <f t="shared" si="43"/>
        <v>1.8655434386391249E-3</v>
      </c>
      <c r="V68" s="19">
        <f t="shared" si="44"/>
        <v>1.1480267314702308E-4</v>
      </c>
      <c r="W68" s="19">
        <f t="shared" si="45"/>
        <v>0.35453766707168893</v>
      </c>
      <c r="X68" s="19">
        <f t="shared" si="46"/>
        <v>3.0013770757391656E-16</v>
      </c>
      <c r="Y68" s="53">
        <f t="shared" si="47"/>
        <v>31.302180362697289</v>
      </c>
    </row>
    <row r="69" spans="1:25">
      <c r="A69" t="s">
        <v>1577</v>
      </c>
      <c r="B69" s="9" t="s">
        <v>11</v>
      </c>
      <c r="C69">
        <v>2.36</v>
      </c>
      <c r="D69">
        <v>2</v>
      </c>
      <c r="E69">
        <v>1.32</v>
      </c>
      <c r="F69">
        <v>1.4</v>
      </c>
      <c r="G69">
        <v>0.186</v>
      </c>
      <c r="H69">
        <v>1.5</v>
      </c>
      <c r="I69" s="70">
        <f t="shared" si="32"/>
        <v>-3.5678869987849318E-7</v>
      </c>
      <c r="J69" s="19">
        <f t="shared" si="33"/>
        <v>7.5361669565217383E-5</v>
      </c>
      <c r="K69" s="19">
        <f t="shared" si="34"/>
        <v>2.9446010981773994E-4</v>
      </c>
      <c r="L69" s="1"/>
      <c r="M69" s="19">
        <f t="shared" si="35"/>
        <v>1.5757229647630619E-5</v>
      </c>
      <c r="N69" s="19">
        <f t="shared" si="36"/>
        <v>9.8595236938031593E-3</v>
      </c>
      <c r="O69" s="19">
        <f t="shared" si="37"/>
        <v>3.3765492102065614E-7</v>
      </c>
      <c r="P69" s="19">
        <f t="shared" si="38"/>
        <v>4.4199967091940053E-2</v>
      </c>
      <c r="Q69" s="19">
        <f t="shared" si="39"/>
        <v>2.1535587096774194</v>
      </c>
      <c r="R69" s="19">
        <f t="shared" si="40"/>
        <v>-6.7530984204131228E-2</v>
      </c>
      <c r="S69" s="19">
        <f t="shared" si="41"/>
        <v>0.23057419354838712</v>
      </c>
      <c r="T69" s="19">
        <f t="shared" si="42"/>
        <v>4.4199967091940053E-2</v>
      </c>
      <c r="U69" s="19">
        <f t="shared" si="43"/>
        <v>1.8655434386391249E-3</v>
      </c>
      <c r="V69" s="19">
        <f t="shared" si="44"/>
        <v>1.1480267314702308E-4</v>
      </c>
      <c r="W69" s="19">
        <f t="shared" si="45"/>
        <v>0.35453766707168893</v>
      </c>
      <c r="X69" s="19">
        <f t="shared" si="46"/>
        <v>3.0013770757391656E-16</v>
      </c>
      <c r="Y69" s="53">
        <f t="shared" si="47"/>
        <v>35.412286525923101</v>
      </c>
    </row>
    <row r="70" spans="1:25">
      <c r="A70" t="s">
        <v>1578</v>
      </c>
      <c r="B70" s="9" t="s">
        <v>11</v>
      </c>
      <c r="C70">
        <v>2.36</v>
      </c>
      <c r="D70">
        <v>2</v>
      </c>
      <c r="E70">
        <v>1.2949999999999999</v>
      </c>
      <c r="F70">
        <v>1.4</v>
      </c>
      <c r="G70">
        <v>0.186</v>
      </c>
      <c r="H70">
        <v>1.5</v>
      </c>
      <c r="I70" s="70">
        <f t="shared" si="32"/>
        <v>-3.5678869987849318E-7</v>
      </c>
      <c r="J70" s="19">
        <f t="shared" si="33"/>
        <v>7.3934365217391296E-5</v>
      </c>
      <c r="K70" s="19">
        <f t="shared" si="34"/>
        <v>2.9446010981773994E-4</v>
      </c>
      <c r="L70" s="1"/>
      <c r="M70" s="19">
        <f t="shared" si="35"/>
        <v>1.5757229647630619E-5</v>
      </c>
      <c r="N70" s="19">
        <f t="shared" si="36"/>
        <v>9.8595236938031593E-3</v>
      </c>
      <c r="O70" s="19">
        <f t="shared" si="37"/>
        <v>3.3765492102065614E-7</v>
      </c>
      <c r="P70" s="19">
        <f t="shared" si="38"/>
        <v>4.4199967091940053E-2</v>
      </c>
      <c r="Q70" s="19">
        <f t="shared" si="39"/>
        <v>2.1127716129032259</v>
      </c>
      <c r="R70" s="19">
        <f t="shared" si="40"/>
        <v>-6.7530984204131228E-2</v>
      </c>
      <c r="S70" s="19">
        <f t="shared" si="41"/>
        <v>0.22620725806451611</v>
      </c>
      <c r="T70" s="19">
        <f t="shared" si="42"/>
        <v>4.4199967091940053E-2</v>
      </c>
      <c r="U70" s="19">
        <f t="shared" si="43"/>
        <v>1.8655434386391249E-3</v>
      </c>
      <c r="V70" s="19">
        <f t="shared" si="44"/>
        <v>1.1480267314702308E-4</v>
      </c>
      <c r="W70" s="19">
        <f t="shared" si="45"/>
        <v>0.35453766707168893</v>
      </c>
      <c r="X70" s="19">
        <f t="shared" si="46"/>
        <v>3.0013770757391656E-16</v>
      </c>
      <c r="Y70" s="53">
        <f t="shared" si="47"/>
        <v>35.263369635951143</v>
      </c>
    </row>
    <row r="71" spans="1:25">
      <c r="A71" s="8" t="s">
        <v>1579</v>
      </c>
      <c r="B71" s="9" t="s">
        <v>11</v>
      </c>
      <c r="I71" s="17"/>
      <c r="J71" s="18"/>
      <c r="K71" s="18"/>
      <c r="L71" s="1"/>
      <c r="M71" s="18"/>
      <c r="N71" s="18"/>
      <c r="O71" s="18"/>
      <c r="P71" s="18"/>
      <c r="Q71" s="18"/>
      <c r="R71" s="18"/>
      <c r="S71" s="18"/>
      <c r="T71" s="18"/>
      <c r="U71" s="18"/>
      <c r="V71" s="18"/>
      <c r="W71" s="18"/>
      <c r="X71" s="18"/>
      <c r="Y71" s="87"/>
    </row>
    <row r="72" spans="1:25">
      <c r="A72" t="s">
        <v>1580</v>
      </c>
      <c r="B72" s="9" t="s">
        <v>11</v>
      </c>
      <c r="C72">
        <v>2.36</v>
      </c>
      <c r="D72">
        <v>2</v>
      </c>
      <c r="E72">
        <v>0.17</v>
      </c>
      <c r="F72">
        <v>1.2</v>
      </c>
      <c r="G72">
        <v>4.2000000000000003E-2</v>
      </c>
      <c r="H72">
        <v>1.5</v>
      </c>
      <c r="I72" s="70">
        <f t="shared" ref="I72:I85" si="48">C72*CO2_YLL_charfact</f>
        <v>-3.5678869987849318E-7</v>
      </c>
      <c r="J72" s="19">
        <f t="shared" ref="J72:J87" si="49">E72*NOx_YOLL_Oxidant_charfact/0.46</f>
        <v>9.7056695652173907E-6</v>
      </c>
      <c r="K72" s="19">
        <f t="shared" ref="K72:K85" si="50">G72*PM2.5_YLL_charfact</f>
        <v>6.6490992539489666E-5</v>
      </c>
      <c r="L72" s="1"/>
      <c r="M72" s="19">
        <f t="shared" ref="M72:M85" si="51">CO2_severewasting_charfact*C72</f>
        <v>1.5757229647630619E-5</v>
      </c>
      <c r="N72" s="19">
        <f t="shared" ref="N72:N85" si="52">CO2_workingcapacity_charfact*C72</f>
        <v>9.8595236938031593E-3</v>
      </c>
      <c r="O72" s="19">
        <f t="shared" ref="O72:O85" si="53">CO2_diarrhea_charfact*C72</f>
        <v>3.3765492102065614E-7</v>
      </c>
      <c r="P72" s="19">
        <f t="shared" ref="P72:P87" si="54">CO2_crop_charfact*C72</f>
        <v>4.4199967091940053E-2</v>
      </c>
      <c r="Q72" s="19">
        <f t="shared" ref="Q72:Q87" si="55">charnoxcrop/0.62*E72</f>
        <v>0.27735225806451613</v>
      </c>
      <c r="R72" s="19">
        <f t="shared" ref="R72:R87" si="56">CO2_wood_charfact*C72</f>
        <v>-6.7530984204131228E-2</v>
      </c>
      <c r="S72" s="19">
        <f t="shared" ref="S72:S87" si="57">NOx_wood_oxidantcharfact/0.62*E72</f>
        <v>2.9695161290322583E-2</v>
      </c>
      <c r="T72" s="19">
        <f t="shared" ref="T72:T87" si="58">CO2_crop_charfact*C72</f>
        <v>4.4199967091940053E-2</v>
      </c>
      <c r="U72" s="19">
        <f t="shared" ref="U72:U87" si="59">CO2_meat_charfact*C72</f>
        <v>1.8655434386391249E-3</v>
      </c>
      <c r="V72" s="19">
        <f t="shared" ref="V72:V87" si="60">CO2_fish_charfact*C72</f>
        <v>1.1480267314702308E-4</v>
      </c>
      <c r="W72" s="19">
        <f t="shared" ref="W72:W87" si="61">CO2_drinkingwater_charfact*C72</f>
        <v>0.35453766707168893</v>
      </c>
      <c r="X72" s="19">
        <f t="shared" ref="X72:X87" si="62">CO2_NEX_charfact*C72</f>
        <v>3.0013770757391656E-16</v>
      </c>
      <c r="Y72" s="53">
        <f t="shared" ref="Y72:Y87" si="63">(I72+J72+K72+L72)*YLLvalue+M72*severe_wasting_value+N72*working_capacity+O72*diarrhea_value+(P72+Q72)*cropvalue+(R72+S72)*woodvalue+T72*cropvalue+U72*meatvalue+V72*fishvalue+W72*drinkingwatervalue+X72*speciesvalue</f>
        <v>7.7257322679813392</v>
      </c>
    </row>
    <row r="73" spans="1:25">
      <c r="A73" t="s">
        <v>1581</v>
      </c>
      <c r="B73" s="9" t="s">
        <v>11</v>
      </c>
      <c r="C73">
        <v>2.36</v>
      </c>
      <c r="D73">
        <v>2</v>
      </c>
      <c r="E73">
        <v>0.53</v>
      </c>
      <c r="F73">
        <v>1.2</v>
      </c>
      <c r="G73">
        <v>4.2000000000000003E-2</v>
      </c>
      <c r="H73">
        <v>1.5</v>
      </c>
      <c r="I73" s="70">
        <f t="shared" si="48"/>
        <v>-3.5678869987849318E-7</v>
      </c>
      <c r="J73" s="19">
        <f t="shared" si="49"/>
        <v>3.0258852173913043E-5</v>
      </c>
      <c r="K73" s="19">
        <f t="shared" si="50"/>
        <v>6.6490992539489666E-5</v>
      </c>
      <c r="L73" s="1"/>
      <c r="M73" s="19">
        <f>CO2_severewasting_charfact*C73</f>
        <v>1.5757229647630619E-5</v>
      </c>
      <c r="N73" s="19">
        <f t="shared" si="52"/>
        <v>9.8595236938031593E-3</v>
      </c>
      <c r="O73" s="19">
        <f t="shared" si="53"/>
        <v>3.3765492102065614E-7</v>
      </c>
      <c r="P73" s="19">
        <f t="shared" si="54"/>
        <v>4.4199967091940053E-2</v>
      </c>
      <c r="Q73" s="19">
        <f t="shared" si="55"/>
        <v>0.86468645161290325</v>
      </c>
      <c r="R73" s="19">
        <f t="shared" si="56"/>
        <v>-6.7530984204131228E-2</v>
      </c>
      <c r="S73" s="19">
        <f t="shared" si="57"/>
        <v>9.257903225806452E-2</v>
      </c>
      <c r="T73" s="19">
        <f t="shared" si="58"/>
        <v>4.4199967091940053E-2</v>
      </c>
      <c r="U73" s="19">
        <f t="shared" si="59"/>
        <v>1.8655434386391249E-3</v>
      </c>
      <c r="V73" s="19">
        <f t="shared" si="60"/>
        <v>1.1480267314702308E-4</v>
      </c>
      <c r="W73" s="19">
        <f t="shared" si="61"/>
        <v>0.35453766707168893</v>
      </c>
      <c r="X73" s="19">
        <f t="shared" si="62"/>
        <v>3.0013770757391656E-16</v>
      </c>
      <c r="Y73" s="53">
        <f t="shared" si="63"/>
        <v>9.8701354835774122</v>
      </c>
    </row>
    <row r="74" spans="1:25">
      <c r="A74" s="9" t="s">
        <v>1582</v>
      </c>
      <c r="B74" s="9" t="s">
        <v>11</v>
      </c>
      <c r="C74">
        <v>2.36</v>
      </c>
      <c r="D74">
        <v>2</v>
      </c>
      <c r="E74">
        <v>0.54300000000000004</v>
      </c>
      <c r="F74">
        <v>1.4</v>
      </c>
      <c r="G74">
        <v>4.2000000000000003E-2</v>
      </c>
      <c r="H74">
        <v>1.5</v>
      </c>
      <c r="I74" s="70">
        <f t="shared" si="48"/>
        <v>-3.5678869987849318E-7</v>
      </c>
      <c r="J74" s="19">
        <f t="shared" si="49"/>
        <v>3.1001050434782608E-5</v>
      </c>
      <c r="K74" s="19">
        <f t="shared" si="50"/>
        <v>6.6490992539489666E-5</v>
      </c>
      <c r="L74" s="1"/>
      <c r="M74" s="19">
        <f t="shared" si="51"/>
        <v>1.5757229647630619E-5</v>
      </c>
      <c r="N74" s="19">
        <f t="shared" si="52"/>
        <v>9.8595236938031593E-3</v>
      </c>
      <c r="O74" s="19">
        <f t="shared" si="53"/>
        <v>3.3765492102065614E-7</v>
      </c>
      <c r="P74" s="19">
        <f t="shared" si="54"/>
        <v>4.4199967091940053E-2</v>
      </c>
      <c r="Q74" s="19">
        <f t="shared" si="55"/>
        <v>0.88589574193548393</v>
      </c>
      <c r="R74" s="19">
        <f t="shared" si="56"/>
        <v>-6.7530984204131228E-2</v>
      </c>
      <c r="S74" s="19">
        <f t="shared" si="57"/>
        <v>9.4849838709677434E-2</v>
      </c>
      <c r="T74" s="19">
        <f t="shared" si="58"/>
        <v>4.4199967091940053E-2</v>
      </c>
      <c r="U74" s="19">
        <f t="shared" si="59"/>
        <v>1.8655434386391249E-3</v>
      </c>
      <c r="V74" s="19">
        <f t="shared" si="60"/>
        <v>1.1480267314702308E-4</v>
      </c>
      <c r="W74" s="19">
        <f t="shared" si="61"/>
        <v>0.35453766707168893</v>
      </c>
      <c r="X74" s="19">
        <f t="shared" si="62"/>
        <v>3.0013770757391656E-16</v>
      </c>
      <c r="Y74" s="53">
        <f t="shared" si="63"/>
        <v>9.9475722663628261</v>
      </c>
    </row>
    <row r="75" spans="1:25">
      <c r="A75" t="s">
        <v>1583</v>
      </c>
      <c r="B75" s="9" t="s">
        <v>11</v>
      </c>
      <c r="C75">
        <v>2.36</v>
      </c>
      <c r="D75">
        <v>2</v>
      </c>
      <c r="E75">
        <v>0.4</v>
      </c>
      <c r="F75">
        <v>1.2</v>
      </c>
      <c r="G75">
        <v>4.2000000000000003E-2</v>
      </c>
      <c r="H75">
        <v>1.5</v>
      </c>
      <c r="I75" s="70">
        <f t="shared" si="48"/>
        <v>-3.5678869987849318E-7</v>
      </c>
      <c r="J75" s="19">
        <f t="shared" si="49"/>
        <v>2.2836869565217388E-5</v>
      </c>
      <c r="K75" s="19">
        <f t="shared" si="50"/>
        <v>6.6490992539489666E-5</v>
      </c>
      <c r="L75" s="1"/>
      <c r="M75" s="19">
        <f t="shared" si="51"/>
        <v>1.5757229647630619E-5</v>
      </c>
      <c r="N75" s="19">
        <f t="shared" si="52"/>
        <v>9.8595236938031593E-3</v>
      </c>
      <c r="O75" s="19">
        <f t="shared" si="53"/>
        <v>3.3765492102065614E-7</v>
      </c>
      <c r="P75" s="19">
        <f t="shared" si="54"/>
        <v>4.4199967091940053E-2</v>
      </c>
      <c r="Q75" s="19">
        <f t="shared" si="55"/>
        <v>0.65259354838709682</v>
      </c>
      <c r="R75" s="19">
        <f t="shared" si="56"/>
        <v>-6.7530984204131228E-2</v>
      </c>
      <c r="S75" s="19">
        <f t="shared" si="57"/>
        <v>6.9870967741935491E-2</v>
      </c>
      <c r="T75" s="19">
        <f t="shared" si="58"/>
        <v>4.4199967091940053E-2</v>
      </c>
      <c r="U75" s="19">
        <f t="shared" si="59"/>
        <v>1.8655434386391249E-3</v>
      </c>
      <c r="V75" s="19">
        <f t="shared" si="60"/>
        <v>1.1480267314702308E-4</v>
      </c>
      <c r="W75" s="19">
        <f t="shared" si="61"/>
        <v>0.35453766707168893</v>
      </c>
      <c r="X75" s="19">
        <f t="shared" si="62"/>
        <v>3.0013770757391656E-16</v>
      </c>
      <c r="Y75" s="53">
        <f t="shared" si="63"/>
        <v>9.0957676557232752</v>
      </c>
    </row>
    <row r="76" spans="1:25">
      <c r="A76" t="s">
        <v>1584</v>
      </c>
      <c r="B76" s="9" t="s">
        <v>11</v>
      </c>
      <c r="C76">
        <v>2.36</v>
      </c>
      <c r="D76">
        <v>2</v>
      </c>
      <c r="E76">
        <v>0.79</v>
      </c>
      <c r="F76">
        <v>1.2</v>
      </c>
      <c r="G76">
        <v>4.2000000000000003E-2</v>
      </c>
      <c r="H76">
        <v>1.5</v>
      </c>
      <c r="I76" s="70">
        <f t="shared" si="48"/>
        <v>-3.5678869987849318E-7</v>
      </c>
      <c r="J76" s="19">
        <f t="shared" si="49"/>
        <v>4.5102817391304344E-5</v>
      </c>
      <c r="K76" s="19">
        <f t="shared" si="50"/>
        <v>6.6490992539489666E-5</v>
      </c>
      <c r="L76" s="1"/>
      <c r="M76" s="19">
        <f t="shared" si="51"/>
        <v>1.5757229647630619E-5</v>
      </c>
      <c r="N76" s="19">
        <f t="shared" si="52"/>
        <v>9.8595236938031593E-3</v>
      </c>
      <c r="O76" s="19">
        <f t="shared" si="53"/>
        <v>3.3765492102065614E-7</v>
      </c>
      <c r="P76" s="19">
        <f t="shared" si="54"/>
        <v>4.4199967091940053E-2</v>
      </c>
      <c r="Q76" s="19">
        <f t="shared" si="55"/>
        <v>1.2888722580645162</v>
      </c>
      <c r="R76" s="19">
        <f t="shared" si="56"/>
        <v>-6.7530984204131228E-2</v>
      </c>
      <c r="S76" s="19">
        <f t="shared" si="57"/>
        <v>0.1379951612903226</v>
      </c>
      <c r="T76" s="19">
        <f t="shared" si="58"/>
        <v>4.4199967091940053E-2</v>
      </c>
      <c r="U76" s="19">
        <f t="shared" si="59"/>
        <v>1.8655434386391249E-3</v>
      </c>
      <c r="V76" s="19">
        <f t="shared" si="60"/>
        <v>1.1480267314702308E-4</v>
      </c>
      <c r="W76" s="19">
        <f t="shared" si="61"/>
        <v>0.35453766707168893</v>
      </c>
      <c r="X76" s="19">
        <f t="shared" si="62"/>
        <v>3.0013770757391656E-16</v>
      </c>
      <c r="Y76" s="53">
        <f t="shared" si="63"/>
        <v>11.418871139285688</v>
      </c>
    </row>
    <row r="77" spans="1:25">
      <c r="A77" t="s">
        <v>1585</v>
      </c>
      <c r="B77" s="9" t="s">
        <v>11</v>
      </c>
      <c r="C77">
        <v>2.36</v>
      </c>
      <c r="D77">
        <v>2</v>
      </c>
      <c r="E77">
        <v>0.375</v>
      </c>
      <c r="F77">
        <v>1.4</v>
      </c>
      <c r="G77">
        <v>4.2000000000000003E-2</v>
      </c>
      <c r="H77">
        <v>1.5</v>
      </c>
      <c r="I77" s="70">
        <f t="shared" si="48"/>
        <v>-3.5678869987849318E-7</v>
      </c>
      <c r="J77" s="19">
        <f t="shared" si="49"/>
        <v>2.1409565217391301E-5</v>
      </c>
      <c r="K77" s="19">
        <f t="shared" si="50"/>
        <v>6.6490992539489666E-5</v>
      </c>
      <c r="L77" s="1"/>
      <c r="M77" s="19">
        <f t="shared" si="51"/>
        <v>1.5757229647630619E-5</v>
      </c>
      <c r="N77" s="19">
        <f t="shared" si="52"/>
        <v>9.8595236938031593E-3</v>
      </c>
      <c r="O77" s="19">
        <f t="shared" si="53"/>
        <v>3.3765492102065614E-7</v>
      </c>
      <c r="P77" s="19">
        <f t="shared" si="54"/>
        <v>4.4199967091940053E-2</v>
      </c>
      <c r="Q77" s="19">
        <f t="shared" si="55"/>
        <v>0.61180645161290326</v>
      </c>
      <c r="R77" s="19">
        <f t="shared" si="56"/>
        <v>-6.7530984204131228E-2</v>
      </c>
      <c r="S77" s="19">
        <f t="shared" si="57"/>
        <v>6.5504032258064518E-2</v>
      </c>
      <c r="T77" s="19">
        <f t="shared" si="58"/>
        <v>4.4199967091940053E-2</v>
      </c>
      <c r="U77" s="19">
        <f t="shared" si="59"/>
        <v>1.8655434386391249E-3</v>
      </c>
      <c r="V77" s="19">
        <f t="shared" si="60"/>
        <v>1.1480267314702308E-4</v>
      </c>
      <c r="W77" s="19">
        <f t="shared" si="61"/>
        <v>0.35453766707168893</v>
      </c>
      <c r="X77" s="19">
        <f t="shared" si="62"/>
        <v>3.0013770757391656E-16</v>
      </c>
      <c r="Y77" s="53">
        <f t="shared" si="63"/>
        <v>8.946850765751325</v>
      </c>
    </row>
    <row r="78" spans="1:25">
      <c r="A78" s="9" t="s">
        <v>1586</v>
      </c>
      <c r="B78" s="9" t="s">
        <v>11</v>
      </c>
      <c r="C78">
        <v>2.36</v>
      </c>
      <c r="D78">
        <v>2</v>
      </c>
      <c r="E78">
        <v>0.4</v>
      </c>
      <c r="F78">
        <v>1.4</v>
      </c>
      <c r="G78">
        <v>4.2000000000000003E-2</v>
      </c>
      <c r="H78">
        <v>1.5</v>
      </c>
      <c r="I78" s="70">
        <f t="shared" si="48"/>
        <v>-3.5678869987849318E-7</v>
      </c>
      <c r="J78" s="19">
        <f t="shared" si="49"/>
        <v>2.2836869565217388E-5</v>
      </c>
      <c r="K78" s="19">
        <f t="shared" si="50"/>
        <v>6.6490992539489666E-5</v>
      </c>
      <c r="L78" s="1"/>
      <c r="M78" s="19">
        <f t="shared" si="51"/>
        <v>1.5757229647630619E-5</v>
      </c>
      <c r="N78" s="19">
        <f t="shared" si="52"/>
        <v>9.8595236938031593E-3</v>
      </c>
      <c r="O78" s="19">
        <f t="shared" si="53"/>
        <v>3.3765492102065614E-7</v>
      </c>
      <c r="P78" s="19">
        <f t="shared" si="54"/>
        <v>4.4199967091940053E-2</v>
      </c>
      <c r="Q78" s="19">
        <f t="shared" si="55"/>
        <v>0.65259354838709682</v>
      </c>
      <c r="R78" s="19">
        <f t="shared" si="56"/>
        <v>-6.7530984204131228E-2</v>
      </c>
      <c r="S78" s="19">
        <f t="shared" si="57"/>
        <v>6.9870967741935491E-2</v>
      </c>
      <c r="T78" s="19">
        <f t="shared" si="58"/>
        <v>4.4199967091940053E-2</v>
      </c>
      <c r="U78" s="19">
        <f t="shared" si="59"/>
        <v>1.8655434386391249E-3</v>
      </c>
      <c r="V78" s="19">
        <f t="shared" si="60"/>
        <v>1.1480267314702308E-4</v>
      </c>
      <c r="W78" s="19">
        <f t="shared" si="61"/>
        <v>0.35453766707168893</v>
      </c>
      <c r="X78" s="19">
        <f t="shared" si="62"/>
        <v>3.0013770757391656E-16</v>
      </c>
      <c r="Y78" s="53">
        <f t="shared" si="63"/>
        <v>9.0957676557232752</v>
      </c>
    </row>
    <row r="79" spans="1:25">
      <c r="A79" s="9" t="s">
        <v>1587</v>
      </c>
      <c r="B79" s="9" t="s">
        <v>11</v>
      </c>
      <c r="C79">
        <v>2.36</v>
      </c>
      <c r="D79">
        <v>2</v>
      </c>
      <c r="E79">
        <v>0.123</v>
      </c>
      <c r="F79">
        <v>1.4</v>
      </c>
      <c r="G79">
        <v>4.2000000000000003E-2</v>
      </c>
      <c r="H79">
        <v>1.5</v>
      </c>
      <c r="I79" s="70">
        <f t="shared" si="48"/>
        <v>-3.5678869987849318E-7</v>
      </c>
      <c r="J79" s="19">
        <f t="shared" si="49"/>
        <v>7.0223373913043469E-6</v>
      </c>
      <c r="K79" s="19">
        <f t="shared" si="50"/>
        <v>6.6490992539489666E-5</v>
      </c>
      <c r="L79" s="1"/>
      <c r="M79" s="19">
        <f t="shared" si="51"/>
        <v>1.5757229647630619E-5</v>
      </c>
      <c r="N79" s="19">
        <f t="shared" si="52"/>
        <v>9.8595236938031593E-3</v>
      </c>
      <c r="O79" s="19">
        <f t="shared" si="53"/>
        <v>3.3765492102065614E-7</v>
      </c>
      <c r="P79" s="19">
        <f t="shared" si="54"/>
        <v>4.4199967091940053E-2</v>
      </c>
      <c r="Q79" s="19">
        <f t="shared" si="55"/>
        <v>0.20067251612903225</v>
      </c>
      <c r="R79" s="19">
        <f t="shared" si="56"/>
        <v>-6.7530984204131228E-2</v>
      </c>
      <c r="S79" s="19">
        <f t="shared" si="57"/>
        <v>2.1485322580645162E-2</v>
      </c>
      <c r="T79" s="19">
        <f t="shared" si="58"/>
        <v>4.4199967091940053E-2</v>
      </c>
      <c r="U79" s="19">
        <f t="shared" si="59"/>
        <v>1.8655434386391249E-3</v>
      </c>
      <c r="V79" s="19">
        <f t="shared" si="60"/>
        <v>1.1480267314702308E-4</v>
      </c>
      <c r="W79" s="19">
        <f t="shared" si="61"/>
        <v>0.35453766707168893</v>
      </c>
      <c r="X79" s="19">
        <f t="shared" si="62"/>
        <v>3.0013770757391656E-16</v>
      </c>
      <c r="Y79" s="53">
        <f t="shared" si="63"/>
        <v>7.4457685148340733</v>
      </c>
    </row>
    <row r="80" spans="1:25">
      <c r="A80" s="9" t="s">
        <v>1588</v>
      </c>
      <c r="B80" s="9" t="s">
        <v>11</v>
      </c>
      <c r="C80">
        <v>2.36</v>
      </c>
      <c r="D80">
        <v>2</v>
      </c>
      <c r="E80">
        <v>0.42199999999999999</v>
      </c>
      <c r="F80">
        <v>1.4</v>
      </c>
      <c r="G80">
        <v>4.2000000000000003E-2</v>
      </c>
      <c r="H80">
        <v>1.5</v>
      </c>
      <c r="I80" s="70">
        <f t="shared" si="48"/>
        <v>-3.5678869987849318E-7</v>
      </c>
      <c r="J80" s="19">
        <f t="shared" si="49"/>
        <v>2.4092897391304342E-5</v>
      </c>
      <c r="K80" s="19">
        <f t="shared" si="50"/>
        <v>6.6490992539489666E-5</v>
      </c>
      <c r="L80" s="1"/>
      <c r="M80" s="19">
        <f t="shared" si="51"/>
        <v>1.5757229647630619E-5</v>
      </c>
      <c r="N80" s="19">
        <f t="shared" si="52"/>
        <v>9.8595236938031593E-3</v>
      </c>
      <c r="O80" s="19">
        <f t="shared" si="53"/>
        <v>3.3765492102065614E-7</v>
      </c>
      <c r="P80" s="19">
        <f t="shared" si="54"/>
        <v>4.4199967091940053E-2</v>
      </c>
      <c r="Q80" s="19">
        <f t="shared" si="55"/>
        <v>0.68848619354838703</v>
      </c>
      <c r="R80" s="19">
        <f t="shared" si="56"/>
        <v>-6.7530984204131228E-2</v>
      </c>
      <c r="S80" s="19">
        <f t="shared" si="57"/>
        <v>7.3713870967741929E-2</v>
      </c>
      <c r="T80" s="19">
        <f t="shared" si="58"/>
        <v>4.4199967091940053E-2</v>
      </c>
      <c r="U80" s="19">
        <f t="shared" si="59"/>
        <v>1.8655434386391249E-3</v>
      </c>
      <c r="V80" s="19">
        <f t="shared" si="60"/>
        <v>1.1480267314702308E-4</v>
      </c>
      <c r="W80" s="19">
        <f t="shared" si="61"/>
        <v>0.35453766707168893</v>
      </c>
      <c r="X80" s="19">
        <f t="shared" si="62"/>
        <v>3.0013770757391656E-16</v>
      </c>
      <c r="Y80" s="53">
        <f t="shared" si="63"/>
        <v>9.2268145188985891</v>
      </c>
    </row>
    <row r="81" spans="1:25">
      <c r="A81" s="9" t="s">
        <v>1549</v>
      </c>
      <c r="B81" s="9" t="s">
        <v>11</v>
      </c>
      <c r="C81">
        <v>2.36</v>
      </c>
      <c r="D81">
        <v>2</v>
      </c>
      <c r="E81">
        <v>0.40699999999999997</v>
      </c>
      <c r="F81">
        <v>1.4</v>
      </c>
      <c r="G81">
        <v>4.2000000000000003E-2</v>
      </c>
      <c r="H81">
        <v>1.5</v>
      </c>
      <c r="I81" s="70">
        <f t="shared" si="48"/>
        <v>-3.5678869987849318E-7</v>
      </c>
      <c r="J81" s="19">
        <f t="shared" si="49"/>
        <v>2.323651478260869E-5</v>
      </c>
      <c r="K81" s="19">
        <f t="shared" si="50"/>
        <v>6.6490992539489666E-5</v>
      </c>
      <c r="L81" s="1"/>
      <c r="M81" s="19">
        <f t="shared" si="51"/>
        <v>1.5757229647630619E-5</v>
      </c>
      <c r="N81" s="19">
        <f t="shared" si="52"/>
        <v>9.8595236938031593E-3</v>
      </c>
      <c r="O81" s="19">
        <f t="shared" si="53"/>
        <v>3.3765492102065614E-7</v>
      </c>
      <c r="P81" s="19">
        <f t="shared" si="54"/>
        <v>4.4199967091940053E-2</v>
      </c>
      <c r="Q81" s="19">
        <f t="shared" si="55"/>
        <v>0.66401393548387089</v>
      </c>
      <c r="R81" s="19">
        <f t="shared" si="56"/>
        <v>-6.7530984204131228E-2</v>
      </c>
      <c r="S81" s="19">
        <f t="shared" si="57"/>
        <v>7.1093709677419348E-2</v>
      </c>
      <c r="T81" s="19">
        <f t="shared" si="58"/>
        <v>4.4199967091940053E-2</v>
      </c>
      <c r="U81" s="19">
        <f t="shared" si="59"/>
        <v>1.8655434386391249E-3</v>
      </c>
      <c r="V81" s="19">
        <f t="shared" si="60"/>
        <v>1.1480267314702308E-4</v>
      </c>
      <c r="W81" s="19">
        <f t="shared" si="61"/>
        <v>0.35453766707168893</v>
      </c>
      <c r="X81" s="19">
        <f t="shared" si="62"/>
        <v>3.0013770757391656E-16</v>
      </c>
      <c r="Y81" s="53">
        <f t="shared" si="63"/>
        <v>9.1374643849154182</v>
      </c>
    </row>
    <row r="82" spans="1:25">
      <c r="A82" s="9" t="s">
        <v>1589</v>
      </c>
      <c r="B82" s="9" t="s">
        <v>11</v>
      </c>
      <c r="C82">
        <v>2.36</v>
      </c>
      <c r="D82">
        <v>2</v>
      </c>
      <c r="E82">
        <v>0.41199999999999998</v>
      </c>
      <c r="F82">
        <v>1.4</v>
      </c>
      <c r="G82">
        <v>4.2000000000000003E-2</v>
      </c>
      <c r="H82">
        <v>1.5</v>
      </c>
      <c r="I82" s="70">
        <f t="shared" si="48"/>
        <v>-3.5678869987849318E-7</v>
      </c>
      <c r="J82" s="19">
        <f t="shared" si="49"/>
        <v>2.3521975652173906E-5</v>
      </c>
      <c r="K82" s="19">
        <f t="shared" si="50"/>
        <v>6.6490992539489666E-5</v>
      </c>
      <c r="L82" s="1"/>
      <c r="M82" s="19">
        <f t="shared" si="51"/>
        <v>1.5757229647630619E-5</v>
      </c>
      <c r="N82" s="19">
        <f t="shared" si="52"/>
        <v>9.8595236938031593E-3</v>
      </c>
      <c r="O82" s="19">
        <f t="shared" si="53"/>
        <v>3.3765492102065614E-7</v>
      </c>
      <c r="P82" s="19">
        <f t="shared" si="54"/>
        <v>4.4199967091940053E-2</v>
      </c>
      <c r="Q82" s="19">
        <f t="shared" si="55"/>
        <v>0.6721713548387096</v>
      </c>
      <c r="R82" s="19">
        <f t="shared" si="56"/>
        <v>-6.7530984204131228E-2</v>
      </c>
      <c r="S82" s="19">
        <f t="shared" si="57"/>
        <v>7.1967096774193551E-2</v>
      </c>
      <c r="T82" s="19">
        <f t="shared" si="58"/>
        <v>4.4199967091940053E-2</v>
      </c>
      <c r="U82" s="19">
        <f t="shared" si="59"/>
        <v>1.8655434386391249E-3</v>
      </c>
      <c r="V82" s="19">
        <f t="shared" si="60"/>
        <v>1.1480267314702308E-4</v>
      </c>
      <c r="W82" s="19">
        <f t="shared" si="61"/>
        <v>0.35453766707168893</v>
      </c>
      <c r="X82" s="19">
        <f t="shared" si="62"/>
        <v>3.0013770757391656E-16</v>
      </c>
      <c r="Y82" s="53">
        <f t="shared" si="63"/>
        <v>9.1672477629098079</v>
      </c>
    </row>
    <row r="83" spans="1:25">
      <c r="A83" s="9" t="s">
        <v>1590</v>
      </c>
      <c r="B83" s="9" t="s">
        <v>11</v>
      </c>
      <c r="C83">
        <v>2.36</v>
      </c>
      <c r="D83">
        <v>2</v>
      </c>
      <c r="E83">
        <v>0.36599999999999999</v>
      </c>
      <c r="F83">
        <v>1.4</v>
      </c>
      <c r="G83">
        <v>4.2000000000000003E-2</v>
      </c>
      <c r="H83">
        <v>1.5</v>
      </c>
      <c r="I83" s="70">
        <f t="shared" si="48"/>
        <v>-3.5678869987849318E-7</v>
      </c>
      <c r="J83" s="19">
        <f t="shared" si="49"/>
        <v>2.0895735652173912E-5</v>
      </c>
      <c r="K83" s="19">
        <f t="shared" si="50"/>
        <v>6.6490992539489666E-5</v>
      </c>
      <c r="L83" s="1"/>
      <c r="M83" s="19">
        <f t="shared" si="51"/>
        <v>1.5757229647630619E-5</v>
      </c>
      <c r="N83" s="19">
        <f t="shared" si="52"/>
        <v>9.8595236938031593E-3</v>
      </c>
      <c r="O83" s="19">
        <f t="shared" si="53"/>
        <v>3.3765492102065614E-7</v>
      </c>
      <c r="P83" s="19">
        <f t="shared" si="54"/>
        <v>4.4199967091940053E-2</v>
      </c>
      <c r="Q83" s="19">
        <f t="shared" si="55"/>
        <v>0.59712309677419351</v>
      </c>
      <c r="R83" s="19">
        <f t="shared" si="56"/>
        <v>-6.7530984204131228E-2</v>
      </c>
      <c r="S83" s="19">
        <f t="shared" si="57"/>
        <v>6.3931935483870966E-2</v>
      </c>
      <c r="T83" s="19">
        <f t="shared" si="58"/>
        <v>4.4199967091940053E-2</v>
      </c>
      <c r="U83" s="19">
        <f t="shared" si="59"/>
        <v>1.8655434386391249E-3</v>
      </c>
      <c r="V83" s="19">
        <f t="shared" si="60"/>
        <v>1.1480267314702308E-4</v>
      </c>
      <c r="W83" s="19">
        <f t="shared" si="61"/>
        <v>0.35453766707168893</v>
      </c>
      <c r="X83" s="19">
        <f t="shared" si="62"/>
        <v>3.0013770757391656E-16</v>
      </c>
      <c r="Y83" s="53">
        <f t="shared" si="63"/>
        <v>8.893240685361425</v>
      </c>
    </row>
    <row r="84" spans="1:25">
      <c r="A84" s="9" t="s">
        <v>1591</v>
      </c>
      <c r="B84" s="9" t="s">
        <v>11</v>
      </c>
      <c r="C84">
        <v>2.36</v>
      </c>
      <c r="D84">
        <v>2</v>
      </c>
      <c r="E84">
        <v>0.14199999999999999</v>
      </c>
      <c r="F84">
        <v>1.4</v>
      </c>
      <c r="G84">
        <v>4.2000000000000003E-2</v>
      </c>
      <c r="H84">
        <v>1.5</v>
      </c>
      <c r="I84" s="70">
        <f t="shared" si="48"/>
        <v>-3.5678869987849318E-7</v>
      </c>
      <c r="J84" s="19">
        <f t="shared" si="49"/>
        <v>8.1070886956521722E-6</v>
      </c>
      <c r="K84" s="19">
        <f t="shared" si="50"/>
        <v>6.6490992539489666E-5</v>
      </c>
      <c r="L84" s="1"/>
      <c r="M84" s="19">
        <f t="shared" si="51"/>
        <v>1.5757229647630619E-5</v>
      </c>
      <c r="N84" s="19">
        <f t="shared" si="52"/>
        <v>9.8595236938031593E-3</v>
      </c>
      <c r="O84" s="19">
        <f t="shared" si="53"/>
        <v>3.3765492102065614E-7</v>
      </c>
      <c r="P84" s="19">
        <f t="shared" si="54"/>
        <v>4.4199967091940053E-2</v>
      </c>
      <c r="Q84" s="19">
        <f t="shared" si="55"/>
        <v>0.23167070967741935</v>
      </c>
      <c r="R84" s="19">
        <f t="shared" si="56"/>
        <v>-6.7530984204131228E-2</v>
      </c>
      <c r="S84" s="19">
        <f t="shared" si="57"/>
        <v>2.4804193548387095E-2</v>
      </c>
      <c r="T84" s="19">
        <f t="shared" si="58"/>
        <v>4.4199967091940053E-2</v>
      </c>
      <c r="U84" s="19">
        <f t="shared" si="59"/>
        <v>1.8655434386391249E-3</v>
      </c>
      <c r="V84" s="19">
        <f t="shared" si="60"/>
        <v>1.1480267314702308E-4</v>
      </c>
      <c r="W84" s="19">
        <f t="shared" si="61"/>
        <v>0.35453766707168893</v>
      </c>
      <c r="X84" s="19">
        <f t="shared" si="62"/>
        <v>3.0013770757391656E-16</v>
      </c>
      <c r="Y84" s="53">
        <f t="shared" si="63"/>
        <v>7.5589453512127553</v>
      </c>
    </row>
    <row r="85" spans="1:25">
      <c r="A85" s="9" t="s">
        <v>1592</v>
      </c>
      <c r="B85" s="9" t="s">
        <v>11</v>
      </c>
      <c r="C85">
        <v>2.36</v>
      </c>
      <c r="D85">
        <v>2</v>
      </c>
      <c r="E85">
        <v>0.26200000000000001</v>
      </c>
      <c r="F85">
        <v>1.4</v>
      </c>
      <c r="G85">
        <v>4.2000000000000003E-2</v>
      </c>
      <c r="H85">
        <v>1.5</v>
      </c>
      <c r="I85" s="70">
        <f t="shared" si="48"/>
        <v>-3.5678869987849318E-7</v>
      </c>
      <c r="J85" s="19">
        <f t="shared" si="49"/>
        <v>1.495814956521739E-5</v>
      </c>
      <c r="K85" s="19">
        <f t="shared" si="50"/>
        <v>6.6490992539489666E-5</v>
      </c>
      <c r="L85" s="1"/>
      <c r="M85" s="19">
        <f t="shared" si="51"/>
        <v>1.5757229647630619E-5</v>
      </c>
      <c r="N85" s="19">
        <f t="shared" si="52"/>
        <v>9.8595236938031593E-3</v>
      </c>
      <c r="O85" s="19">
        <f t="shared" si="53"/>
        <v>3.3765492102065614E-7</v>
      </c>
      <c r="P85" s="19">
        <f t="shared" si="54"/>
        <v>4.4199967091940053E-2</v>
      </c>
      <c r="Q85" s="19">
        <f t="shared" si="55"/>
        <v>0.42744877419354843</v>
      </c>
      <c r="R85" s="19">
        <f t="shared" si="56"/>
        <v>-6.7530984204131228E-2</v>
      </c>
      <c r="S85" s="19">
        <f t="shared" si="57"/>
        <v>4.5765483870967745E-2</v>
      </c>
      <c r="T85" s="19">
        <f t="shared" si="58"/>
        <v>4.4199967091940053E-2</v>
      </c>
      <c r="U85" s="19">
        <f t="shared" si="59"/>
        <v>1.8655434386391249E-3</v>
      </c>
      <c r="V85" s="19">
        <f t="shared" si="60"/>
        <v>1.1480267314702308E-4</v>
      </c>
      <c r="W85" s="19">
        <f t="shared" si="61"/>
        <v>0.35453766707168893</v>
      </c>
      <c r="X85" s="19">
        <f t="shared" si="62"/>
        <v>3.0013770757391656E-16</v>
      </c>
      <c r="Y85" s="53">
        <f t="shared" si="63"/>
        <v>8.2737464230781139</v>
      </c>
    </row>
    <row r="86" spans="1:25">
      <c r="A86" t="s">
        <v>1593</v>
      </c>
      <c r="B86" s="9" t="s">
        <v>11</v>
      </c>
      <c r="C86">
        <v>2.36</v>
      </c>
      <c r="D86">
        <v>2</v>
      </c>
      <c r="E86">
        <v>0.57999999999999996</v>
      </c>
      <c r="F86">
        <v>1.3</v>
      </c>
      <c r="G86">
        <v>4.2000000000000003E-2</v>
      </c>
      <c r="H86">
        <v>1.5</v>
      </c>
      <c r="I86" s="70">
        <f>C86*CO2_YLL_charfact</f>
        <v>-3.5678869987849318E-7</v>
      </c>
      <c r="J86" s="19">
        <f t="shared" si="49"/>
        <v>3.3113460869565214E-5</v>
      </c>
      <c r="K86" s="19">
        <f>G86*PM2.5_YLL_charfact</f>
        <v>6.6490992539489666E-5</v>
      </c>
      <c r="L86" s="1"/>
      <c r="M86" s="19">
        <f>CO2_severewasting_charfact*C86</f>
        <v>1.5757229647630619E-5</v>
      </c>
      <c r="N86" s="19">
        <f>CO2_workingcapacity_charfact*C86</f>
        <v>9.8595236938031593E-3</v>
      </c>
      <c r="O86" s="19">
        <f>CO2_diarrhea_charfact*C86</f>
        <v>3.3765492102065614E-7</v>
      </c>
      <c r="P86" s="19">
        <f t="shared" si="54"/>
        <v>4.4199967091940053E-2</v>
      </c>
      <c r="Q86" s="19">
        <f t="shared" si="55"/>
        <v>0.94626064516129027</v>
      </c>
      <c r="R86" s="19">
        <f t="shared" si="56"/>
        <v>-6.7530984204131228E-2</v>
      </c>
      <c r="S86" s="19">
        <f t="shared" si="57"/>
        <v>0.10131290322580645</v>
      </c>
      <c r="T86" s="19">
        <f t="shared" si="58"/>
        <v>4.4199967091940053E-2</v>
      </c>
      <c r="U86" s="19">
        <f t="shared" si="59"/>
        <v>1.8655434386391249E-3</v>
      </c>
      <c r="V86" s="19">
        <f t="shared" si="60"/>
        <v>1.1480267314702308E-4</v>
      </c>
      <c r="W86" s="19">
        <f t="shared" si="61"/>
        <v>0.35453766707168893</v>
      </c>
      <c r="X86" s="19">
        <f t="shared" si="62"/>
        <v>3.0013770757391656E-16</v>
      </c>
      <c r="Y86" s="53">
        <f t="shared" si="63"/>
        <v>10.167969263521311</v>
      </c>
    </row>
    <row r="87" spans="1:25">
      <c r="A87" t="s">
        <v>1594</v>
      </c>
      <c r="B87" s="9" t="s">
        <v>11</v>
      </c>
      <c r="C87">
        <v>2.36</v>
      </c>
      <c r="D87">
        <v>2</v>
      </c>
      <c r="E87">
        <v>0.57999999999999996</v>
      </c>
      <c r="F87">
        <v>1.3</v>
      </c>
      <c r="G87">
        <v>4.2000000000000003E-2</v>
      </c>
      <c r="H87">
        <v>1.5</v>
      </c>
      <c r="I87" s="70">
        <f>C87*CO2_YLL_charfact</f>
        <v>-3.5678869987849318E-7</v>
      </c>
      <c r="J87" s="19">
        <f t="shared" si="49"/>
        <v>3.3113460869565214E-5</v>
      </c>
      <c r="K87" s="19">
        <f>G87*PM2.5_YLL_charfact</f>
        <v>6.6490992539489666E-5</v>
      </c>
      <c r="L87" s="1"/>
      <c r="M87" s="19">
        <f>CO2_severewasting_charfact*C87</f>
        <v>1.5757229647630619E-5</v>
      </c>
      <c r="N87" s="19">
        <f>CO2_workingcapacity_charfact*C87</f>
        <v>9.8595236938031593E-3</v>
      </c>
      <c r="O87" s="19">
        <f>CO2_diarrhea_charfact*C87</f>
        <v>3.3765492102065614E-7</v>
      </c>
      <c r="P87" s="19">
        <f t="shared" si="54"/>
        <v>4.4199967091940053E-2</v>
      </c>
      <c r="Q87" s="19">
        <f t="shared" si="55"/>
        <v>0.94626064516129027</v>
      </c>
      <c r="R87" s="19">
        <f t="shared" si="56"/>
        <v>-6.7530984204131228E-2</v>
      </c>
      <c r="S87" s="19">
        <f t="shared" si="57"/>
        <v>0.10131290322580645</v>
      </c>
      <c r="T87" s="19">
        <f t="shared" si="58"/>
        <v>4.4199967091940053E-2</v>
      </c>
      <c r="U87" s="19">
        <f t="shared" si="59"/>
        <v>1.8655434386391249E-3</v>
      </c>
      <c r="V87" s="19">
        <f t="shared" si="60"/>
        <v>1.1480267314702308E-4</v>
      </c>
      <c r="W87" s="19">
        <f t="shared" si="61"/>
        <v>0.35453766707168893</v>
      </c>
      <c r="X87" s="19">
        <f t="shared" si="62"/>
        <v>3.0013770757391656E-16</v>
      </c>
      <c r="Y87" s="53">
        <f t="shared" si="63"/>
        <v>10.167969263521311</v>
      </c>
    </row>
    <row r="88" spans="1:25">
      <c r="A88" s="8" t="s">
        <v>1595</v>
      </c>
      <c r="B88" s="9" t="s">
        <v>11</v>
      </c>
      <c r="I88" s="17"/>
      <c r="J88" s="18"/>
      <c r="K88" s="18"/>
      <c r="L88" s="1"/>
      <c r="M88" s="18"/>
      <c r="N88" s="18"/>
      <c r="O88" s="18"/>
      <c r="P88" s="18"/>
      <c r="Q88" s="18"/>
      <c r="R88" s="18"/>
      <c r="S88" s="18"/>
      <c r="T88" s="18"/>
      <c r="U88" s="18"/>
      <c r="V88" s="18"/>
      <c r="W88" s="18"/>
      <c r="X88" s="18"/>
      <c r="Y88" s="87"/>
    </row>
    <row r="89" spans="1:25">
      <c r="A89" s="9" t="s">
        <v>1596</v>
      </c>
      <c r="B89" s="9" t="s">
        <v>11</v>
      </c>
      <c r="C89">
        <v>2.36</v>
      </c>
      <c r="D89">
        <v>2</v>
      </c>
      <c r="E89">
        <v>0.38200000000000001</v>
      </c>
      <c r="F89">
        <v>1.4</v>
      </c>
      <c r="G89">
        <v>0.11</v>
      </c>
      <c r="H89">
        <v>2</v>
      </c>
      <c r="I89" s="70">
        <f>C89*CO2_YLL_charfact</f>
        <v>-3.5678869987849318E-7</v>
      </c>
      <c r="J89" s="19">
        <f>E89*NOx_YOLL_Oxidant_charfact/0.46</f>
        <v>2.1809210434782607E-5</v>
      </c>
      <c r="K89" s="19">
        <f>G89*PM2.5_YLL_charfact</f>
        <v>1.741430756986634E-4</v>
      </c>
      <c r="L89" s="1"/>
      <c r="M89" s="19">
        <f>CO2_severewasting_charfact*C89</f>
        <v>1.5757229647630619E-5</v>
      </c>
      <c r="N89" s="19">
        <f>CO2_workingcapacity_charfact*C89</f>
        <v>9.8595236938031593E-3</v>
      </c>
      <c r="O89" s="19">
        <f>CO2_diarrhea_charfact*C89</f>
        <v>3.3765492102065614E-7</v>
      </c>
      <c r="P89" s="19">
        <f>CO2_crop_charfact*C89</f>
        <v>4.4199967091940053E-2</v>
      </c>
      <c r="Q89" s="19">
        <f>charnoxcrop/0.62*E89</f>
        <v>0.62322683870967743</v>
      </c>
      <c r="R89" s="19">
        <f>CO2_wood_charfact*C89</f>
        <v>-6.7530984204131228E-2</v>
      </c>
      <c r="S89" s="19">
        <f>NOx_wood_oxidantcharfact/0.62*E89</f>
        <v>6.6726774193548388E-2</v>
      </c>
      <c r="T89" s="19">
        <f>CO2_crop_charfact*C89</f>
        <v>4.4199967091940053E-2</v>
      </c>
      <c r="U89" s="19">
        <f>CO2_meat_charfact*C89</f>
        <v>1.8655434386391249E-3</v>
      </c>
      <c r="V89" s="19">
        <f>CO2_fish_charfact*C89</f>
        <v>1.1480267314702308E-4</v>
      </c>
      <c r="W89" s="19">
        <f>CO2_drinkingwater_charfact*C89</f>
        <v>0.35453766707168893</v>
      </c>
      <c r="X89" s="19">
        <f>CO2_NEX_charfact*C89</f>
        <v>3.0013770757391656E-16</v>
      </c>
      <c r="Y89" s="53">
        <f>(I89+J89+K89+L89)*YLLvalue+M89*severe_wasting_value+N89*working_capacity+O89*diarrhea_value+(P89+Q89)*cropvalue+(R89+S89)*woodvalue+T89*cropvalue+U89*meatvalue+V89*fishvalue+W89*drinkingwatervalue+X89*speciesvalue</f>
        <v>18.827947895691953</v>
      </c>
    </row>
    <row r="90" spans="1:25">
      <c r="A90" s="9" t="s">
        <v>1597</v>
      </c>
      <c r="B90" s="9" t="s">
        <v>11</v>
      </c>
      <c r="C90">
        <v>2.36</v>
      </c>
      <c r="D90">
        <v>2</v>
      </c>
      <c r="E90">
        <v>0.45700000000000002</v>
      </c>
      <c r="F90">
        <v>1.4</v>
      </c>
      <c r="G90">
        <v>0.11</v>
      </c>
      <c r="H90">
        <v>2</v>
      </c>
      <c r="I90" s="70">
        <f>C90*CO2_YLL_charfact</f>
        <v>-3.5678869987849318E-7</v>
      </c>
      <c r="J90" s="19">
        <f>E90*NOx_YOLL_Oxidant_charfact/0.46</f>
        <v>2.6091123478260868E-5</v>
      </c>
      <c r="K90" s="19">
        <f>G90*PM2.5_YLL_charfact</f>
        <v>1.741430756986634E-4</v>
      </c>
      <c r="L90" s="1"/>
      <c r="M90" s="19">
        <f>CO2_severewasting_charfact*C90</f>
        <v>1.5757229647630619E-5</v>
      </c>
      <c r="N90" s="19">
        <f>CO2_workingcapacity_charfact*C90</f>
        <v>9.8595236938031593E-3</v>
      </c>
      <c r="O90" s="19">
        <f>CO2_diarrhea_charfact*C90</f>
        <v>3.3765492102065614E-7</v>
      </c>
      <c r="P90" s="19">
        <f>CO2_crop_charfact*C90</f>
        <v>4.4199967091940053E-2</v>
      </c>
      <c r="Q90" s="19">
        <f>charnoxcrop/0.62*E90</f>
        <v>0.74558812903225813</v>
      </c>
      <c r="R90" s="19">
        <f>CO2_wood_charfact*C90</f>
        <v>-6.7530984204131228E-2</v>
      </c>
      <c r="S90" s="19">
        <f>NOx_wood_oxidantcharfact/0.62*E90</f>
        <v>7.9827580645161295E-2</v>
      </c>
      <c r="T90" s="19">
        <f>CO2_crop_charfact*C90</f>
        <v>4.4199967091940053E-2</v>
      </c>
      <c r="U90" s="19">
        <f>CO2_meat_charfact*C90</f>
        <v>1.8655434386391249E-3</v>
      </c>
      <c r="V90" s="19">
        <f>CO2_fish_charfact*C90</f>
        <v>1.1480267314702308E-4</v>
      </c>
      <c r="W90" s="19">
        <f>CO2_drinkingwater_charfact*C90</f>
        <v>0.35453766707168893</v>
      </c>
      <c r="X90" s="19">
        <f>CO2_NEX_charfact*C90</f>
        <v>3.0013770757391656E-16</v>
      </c>
      <c r="Y90" s="53">
        <f>(I90+J90+K90+L90)*YLLvalue+M90*severe_wasting_value+N90*working_capacity+O90*diarrhea_value+(P90+Q90)*cropvalue+(R90+S90)*woodvalue+T90*cropvalue+U90*meatvalue+V90*fishvalue+W90*drinkingwatervalue+X90*speciesvalue</f>
        <v>19.274698565607803</v>
      </c>
    </row>
    <row r="91" spans="1:25">
      <c r="A91" s="8" t="s">
        <v>1598</v>
      </c>
      <c r="B91" s="9" t="s">
        <v>11</v>
      </c>
      <c r="I91" s="17"/>
      <c r="J91" s="18"/>
      <c r="K91" s="18"/>
      <c r="L91" s="1"/>
      <c r="M91" s="18"/>
      <c r="N91" s="18"/>
      <c r="O91" s="18"/>
      <c r="P91" s="18"/>
      <c r="Q91" s="18"/>
      <c r="R91" s="18"/>
      <c r="S91" s="18"/>
      <c r="T91" s="18"/>
      <c r="U91" s="18"/>
      <c r="V91" s="18"/>
      <c r="W91" s="18"/>
      <c r="X91" s="18"/>
      <c r="Y91" s="87"/>
    </row>
    <row r="92" spans="1:25">
      <c r="A92" t="s">
        <v>1599</v>
      </c>
      <c r="B92" s="9" t="s">
        <v>11</v>
      </c>
      <c r="C92">
        <v>2.36</v>
      </c>
      <c r="D92">
        <v>2</v>
      </c>
      <c r="E92">
        <v>0.44</v>
      </c>
      <c r="F92">
        <v>2</v>
      </c>
      <c r="G92">
        <v>0</v>
      </c>
      <c r="H92" s="10">
        <v>0.01</v>
      </c>
      <c r="I92" s="70">
        <f t="shared" ref="I92:I100" si="64">C92*CO2_YLL_charfact</f>
        <v>-3.5678869987849318E-7</v>
      </c>
      <c r="J92" s="19">
        <f t="shared" ref="J92:J100" si="65">E92*NOx_YOLL_Oxidant_charfact/0.46</f>
        <v>2.5120556521739127E-5</v>
      </c>
      <c r="K92" s="19">
        <f t="shared" ref="K92:K100" si="66">G92*PM2.5_YLL_charfact</f>
        <v>0</v>
      </c>
      <c r="L92" s="1"/>
      <c r="M92" s="19">
        <f t="shared" ref="M92:M100" si="67">CO2_severewasting_charfact*C92</f>
        <v>1.5757229647630619E-5</v>
      </c>
      <c r="N92" s="19">
        <f t="shared" ref="N92:N100" si="68">CO2_workingcapacity_charfact*C92</f>
        <v>9.8595236938031593E-3</v>
      </c>
      <c r="O92" s="19">
        <f t="shared" ref="O92:O100" si="69">CO2_diarrhea_charfact*C92</f>
        <v>3.3765492102065614E-7</v>
      </c>
      <c r="P92" s="19">
        <f t="shared" ref="P92:P100" si="70">CO2_crop_charfact*C92</f>
        <v>4.4199967091940053E-2</v>
      </c>
      <c r="Q92" s="19">
        <f t="shared" ref="Q92:Q100" si="71">charnoxcrop/0.62*E92</f>
        <v>0.71785290322580642</v>
      </c>
      <c r="R92" s="19">
        <f t="shared" ref="R92:R100" si="72">CO2_wood_charfact*C92</f>
        <v>-6.7530984204131228E-2</v>
      </c>
      <c r="S92" s="19">
        <f t="shared" ref="S92:S100" si="73">NOx_wood_oxidantcharfact/0.62*E92</f>
        <v>7.6858064516129032E-2</v>
      </c>
      <c r="T92" s="19">
        <f t="shared" ref="T92:T100" si="74">CO2_crop_charfact*C92</f>
        <v>4.4199967091940053E-2</v>
      </c>
      <c r="U92" s="19">
        <f t="shared" ref="U92:U100" si="75">CO2_meat_charfact*C92</f>
        <v>1.8655434386391249E-3</v>
      </c>
      <c r="V92" s="19">
        <f t="shared" ref="V92:V100" si="76">CO2_fish_charfact*C92</f>
        <v>1.1480267314702308E-4</v>
      </c>
      <c r="W92" s="19">
        <f t="shared" ref="W92:W100" si="77">CO2_drinkingwater_charfact*C92</f>
        <v>0.35453766707168893</v>
      </c>
      <c r="X92" s="19">
        <f t="shared" ref="X92:X100" si="78">CO2_NEX_charfact*C92</f>
        <v>3.0013770757391656E-16</v>
      </c>
      <c r="Y92" s="53">
        <f t="shared" ref="Y92:Y100" si="79">(I92+J92+K92+L92)*YLLvalue+M92*severe_wasting_value+N92*working_capacity+O92*diarrhea_value+(P92+Q92)*cropvalue+(R92+S92)*woodvalue+T92*cropvalue+U92*meatvalue+V92*fishvalue+W92*drinkingwatervalue+X92*speciesvalue</f>
        <v>3.2567579615690394</v>
      </c>
    </row>
    <row r="93" spans="1:25">
      <c r="A93" t="s">
        <v>1600</v>
      </c>
      <c r="B93" s="9" t="s">
        <v>11</v>
      </c>
      <c r="C93">
        <v>2.36</v>
      </c>
      <c r="D93">
        <v>2</v>
      </c>
      <c r="E93">
        <v>0.59</v>
      </c>
      <c r="F93">
        <v>1.2</v>
      </c>
      <c r="G93">
        <v>0.11</v>
      </c>
      <c r="H93">
        <v>2</v>
      </c>
      <c r="I93" s="70">
        <f t="shared" si="64"/>
        <v>-3.5678869987849318E-7</v>
      </c>
      <c r="J93" s="19">
        <f t="shared" si="65"/>
        <v>3.3684382608695646E-5</v>
      </c>
      <c r="K93" s="19">
        <f t="shared" si="66"/>
        <v>1.741430756986634E-4</v>
      </c>
      <c r="L93" s="1"/>
      <c r="M93" s="19">
        <f t="shared" si="67"/>
        <v>1.5757229647630619E-5</v>
      </c>
      <c r="N93" s="19">
        <f t="shared" si="68"/>
        <v>9.8595236938031593E-3</v>
      </c>
      <c r="O93" s="19">
        <f t="shared" si="69"/>
        <v>3.3765492102065614E-7</v>
      </c>
      <c r="P93" s="19">
        <f t="shared" si="70"/>
        <v>4.4199967091940053E-2</v>
      </c>
      <c r="Q93" s="19">
        <f t="shared" si="71"/>
        <v>0.9625754838709677</v>
      </c>
      <c r="R93" s="19">
        <f t="shared" si="72"/>
        <v>-6.7530984204131228E-2</v>
      </c>
      <c r="S93" s="19">
        <f t="shared" si="73"/>
        <v>0.10305967741935483</v>
      </c>
      <c r="T93" s="19">
        <f t="shared" si="74"/>
        <v>4.4199967091940053E-2</v>
      </c>
      <c r="U93" s="19">
        <f t="shared" si="75"/>
        <v>1.8655434386391249E-3</v>
      </c>
      <c r="V93" s="19">
        <f t="shared" si="76"/>
        <v>1.1480267314702308E-4</v>
      </c>
      <c r="W93" s="19">
        <f t="shared" si="77"/>
        <v>0.35453766707168893</v>
      </c>
      <c r="X93" s="19">
        <f t="shared" si="78"/>
        <v>3.0013770757391656E-16</v>
      </c>
      <c r="Y93" s="53">
        <f t="shared" si="79"/>
        <v>20.066936420258575</v>
      </c>
    </row>
    <row r="94" spans="1:25">
      <c r="A94" t="s">
        <v>1601</v>
      </c>
      <c r="B94" s="9" t="s">
        <v>11</v>
      </c>
      <c r="C94">
        <v>2.36</v>
      </c>
      <c r="D94">
        <v>2</v>
      </c>
      <c r="E94">
        <v>0.77</v>
      </c>
      <c r="F94">
        <v>1.2</v>
      </c>
      <c r="G94">
        <v>0.11</v>
      </c>
      <c r="H94">
        <v>2</v>
      </c>
      <c r="I94" s="70">
        <f t="shared" si="64"/>
        <v>-3.5678869987849318E-7</v>
      </c>
      <c r="J94" s="19">
        <f t="shared" si="65"/>
        <v>4.3960973913043473E-5</v>
      </c>
      <c r="K94" s="19">
        <f t="shared" si="66"/>
        <v>1.741430756986634E-4</v>
      </c>
      <c r="L94" s="1"/>
      <c r="M94" s="19">
        <f t="shared" si="67"/>
        <v>1.5757229647630619E-5</v>
      </c>
      <c r="N94" s="19">
        <f t="shared" si="68"/>
        <v>9.8595236938031593E-3</v>
      </c>
      <c r="O94" s="19">
        <f t="shared" si="69"/>
        <v>3.3765492102065614E-7</v>
      </c>
      <c r="P94" s="19">
        <f t="shared" si="70"/>
        <v>4.4199967091940053E-2</v>
      </c>
      <c r="Q94" s="19">
        <f t="shared" si="71"/>
        <v>1.2562425806451614</v>
      </c>
      <c r="R94" s="19">
        <f t="shared" si="72"/>
        <v>-6.7530984204131228E-2</v>
      </c>
      <c r="S94" s="19">
        <f t="shared" si="73"/>
        <v>0.13450161290322582</v>
      </c>
      <c r="T94" s="19">
        <f t="shared" si="74"/>
        <v>4.4199967091940053E-2</v>
      </c>
      <c r="U94" s="19">
        <f t="shared" si="75"/>
        <v>1.8655434386391249E-3</v>
      </c>
      <c r="V94" s="19">
        <f t="shared" si="76"/>
        <v>1.1480267314702308E-4</v>
      </c>
      <c r="W94" s="19">
        <f t="shared" si="77"/>
        <v>0.35453766707168893</v>
      </c>
      <c r="X94" s="19">
        <f t="shared" si="78"/>
        <v>3.0013770757391656E-16</v>
      </c>
      <c r="Y94" s="53">
        <f t="shared" si="79"/>
        <v>21.13913802805661</v>
      </c>
    </row>
    <row r="95" spans="1:25">
      <c r="A95" t="s">
        <v>1602</v>
      </c>
      <c r="B95" s="9" t="s">
        <v>11</v>
      </c>
      <c r="C95">
        <v>2.36</v>
      </c>
      <c r="D95">
        <v>2</v>
      </c>
      <c r="E95">
        <v>0.54800000000000004</v>
      </c>
      <c r="F95">
        <v>1.4</v>
      </c>
      <c r="G95">
        <v>0.11</v>
      </c>
      <c r="H95">
        <v>2</v>
      </c>
      <c r="I95" s="70">
        <f t="shared" si="64"/>
        <v>-3.5678869987849318E-7</v>
      </c>
      <c r="J95" s="19">
        <f t="shared" si="65"/>
        <v>3.1286511304347824E-5</v>
      </c>
      <c r="K95" s="19">
        <f t="shared" si="66"/>
        <v>1.741430756986634E-4</v>
      </c>
      <c r="L95" s="1"/>
      <c r="M95" s="19">
        <f t="shared" si="67"/>
        <v>1.5757229647630619E-5</v>
      </c>
      <c r="N95" s="19">
        <f t="shared" si="68"/>
        <v>9.8595236938031593E-3</v>
      </c>
      <c r="O95" s="19">
        <f t="shared" si="69"/>
        <v>3.3765492102065614E-7</v>
      </c>
      <c r="P95" s="19">
        <f t="shared" si="70"/>
        <v>4.4199967091940053E-2</v>
      </c>
      <c r="Q95" s="19">
        <f t="shared" si="71"/>
        <v>0.89405316129032264</v>
      </c>
      <c r="R95" s="19">
        <f t="shared" si="72"/>
        <v>-6.7530984204131228E-2</v>
      </c>
      <c r="S95" s="19">
        <f t="shared" si="73"/>
        <v>9.5723225806451623E-2</v>
      </c>
      <c r="T95" s="19">
        <f t="shared" si="74"/>
        <v>4.4199967091940053E-2</v>
      </c>
      <c r="U95" s="19">
        <f t="shared" si="75"/>
        <v>1.8655434386391249E-3</v>
      </c>
      <c r="V95" s="19">
        <f t="shared" si="76"/>
        <v>1.1480267314702308E-4</v>
      </c>
      <c r="W95" s="19">
        <f t="shared" si="77"/>
        <v>0.35453766707168893</v>
      </c>
      <c r="X95" s="19">
        <f t="shared" si="78"/>
        <v>3.0013770757391656E-16</v>
      </c>
      <c r="Y95" s="53">
        <f t="shared" si="79"/>
        <v>19.816756045105699</v>
      </c>
    </row>
    <row r="96" spans="1:25">
      <c r="A96" t="s">
        <v>1603</v>
      </c>
      <c r="B96" s="9" t="s">
        <v>11</v>
      </c>
      <c r="C96">
        <v>2.36</v>
      </c>
      <c r="D96">
        <v>2</v>
      </c>
      <c r="E96">
        <v>0.41399999999999998</v>
      </c>
      <c r="F96">
        <v>1.4</v>
      </c>
      <c r="G96">
        <v>0.11</v>
      </c>
      <c r="H96">
        <v>2</v>
      </c>
      <c r="I96" s="70">
        <f t="shared" si="64"/>
        <v>-3.5678869987849318E-7</v>
      </c>
      <c r="J96" s="19">
        <f t="shared" si="65"/>
        <v>2.3636159999999996E-5</v>
      </c>
      <c r="K96" s="19">
        <f t="shared" si="66"/>
        <v>1.741430756986634E-4</v>
      </c>
      <c r="L96" s="1"/>
      <c r="M96" s="19">
        <f t="shared" si="67"/>
        <v>1.5757229647630619E-5</v>
      </c>
      <c r="N96" s="19">
        <f t="shared" si="68"/>
        <v>9.8595236938031593E-3</v>
      </c>
      <c r="O96" s="19">
        <f t="shared" si="69"/>
        <v>3.3765492102065614E-7</v>
      </c>
      <c r="P96" s="19">
        <f t="shared" si="70"/>
        <v>4.4199967091940053E-2</v>
      </c>
      <c r="Q96" s="19">
        <f t="shared" si="71"/>
        <v>0.67543432258064517</v>
      </c>
      <c r="R96" s="19">
        <f t="shared" si="72"/>
        <v>-6.7530984204131228E-2</v>
      </c>
      <c r="S96" s="19">
        <f t="shared" si="73"/>
        <v>7.2316451612903218E-2</v>
      </c>
      <c r="T96" s="19">
        <f t="shared" si="74"/>
        <v>4.4199967091940053E-2</v>
      </c>
      <c r="U96" s="19">
        <f t="shared" si="75"/>
        <v>1.8655434386391249E-3</v>
      </c>
      <c r="V96" s="19">
        <f t="shared" si="76"/>
        <v>1.1480267314702308E-4</v>
      </c>
      <c r="W96" s="19">
        <f t="shared" si="77"/>
        <v>0.35453766707168893</v>
      </c>
      <c r="X96" s="19">
        <f t="shared" si="78"/>
        <v>3.0013770757391656E-16</v>
      </c>
      <c r="Y96" s="53">
        <f t="shared" si="79"/>
        <v>19.018561514856049</v>
      </c>
    </row>
    <row r="97" spans="1:26">
      <c r="A97" t="s">
        <v>1604</v>
      </c>
      <c r="B97" s="9" t="s">
        <v>11</v>
      </c>
      <c r="C97">
        <v>2.36</v>
      </c>
      <c r="D97">
        <v>2</v>
      </c>
      <c r="E97">
        <v>0.36399999999999999</v>
      </c>
      <c r="F97">
        <v>1.4</v>
      </c>
      <c r="G97">
        <v>0.11</v>
      </c>
      <c r="H97">
        <v>2</v>
      </c>
      <c r="I97" s="70">
        <f t="shared" si="64"/>
        <v>-3.5678869987849318E-7</v>
      </c>
      <c r="J97" s="19">
        <f t="shared" si="65"/>
        <v>2.0781551304347822E-5</v>
      </c>
      <c r="K97" s="19">
        <f t="shared" si="66"/>
        <v>1.741430756986634E-4</v>
      </c>
      <c r="L97" s="1"/>
      <c r="M97" s="19">
        <f t="shared" si="67"/>
        <v>1.5757229647630619E-5</v>
      </c>
      <c r="N97" s="19">
        <f t="shared" si="68"/>
        <v>9.8595236938031593E-3</v>
      </c>
      <c r="O97" s="19">
        <f t="shared" si="69"/>
        <v>3.3765492102065614E-7</v>
      </c>
      <c r="P97" s="19">
        <f t="shared" si="70"/>
        <v>4.4199967091940053E-2</v>
      </c>
      <c r="Q97" s="19">
        <f t="shared" si="71"/>
        <v>0.59386012903225804</v>
      </c>
      <c r="R97" s="19">
        <f t="shared" si="72"/>
        <v>-6.7530984204131228E-2</v>
      </c>
      <c r="S97" s="19">
        <f t="shared" si="73"/>
        <v>6.3582580645161285E-2</v>
      </c>
      <c r="T97" s="19">
        <f t="shared" si="74"/>
        <v>4.4199967091940053E-2</v>
      </c>
      <c r="U97" s="19">
        <f t="shared" si="75"/>
        <v>1.8655434386391249E-3</v>
      </c>
      <c r="V97" s="19">
        <f t="shared" si="76"/>
        <v>1.1480267314702308E-4</v>
      </c>
      <c r="W97" s="19">
        <f t="shared" si="77"/>
        <v>0.35453766707168893</v>
      </c>
      <c r="X97" s="19">
        <f t="shared" si="78"/>
        <v>3.0013770757391656E-16</v>
      </c>
      <c r="Y97" s="53">
        <f t="shared" si="79"/>
        <v>18.720727734912153</v>
      </c>
    </row>
    <row r="98" spans="1:26">
      <c r="A98" t="s">
        <v>1605</v>
      </c>
      <c r="B98" s="9" t="s">
        <v>11</v>
      </c>
      <c r="C98">
        <v>2.36</v>
      </c>
      <c r="D98">
        <v>2</v>
      </c>
      <c r="E98">
        <v>0.57199999999999995</v>
      </c>
      <c r="F98">
        <v>1.4</v>
      </c>
      <c r="G98">
        <v>0.11</v>
      </c>
      <c r="H98">
        <v>2</v>
      </c>
      <c r="I98" s="70">
        <f t="shared" si="64"/>
        <v>-3.5678869987849318E-7</v>
      </c>
      <c r="J98" s="19">
        <f t="shared" si="65"/>
        <v>3.2656723478260862E-5</v>
      </c>
      <c r="K98" s="19">
        <f t="shared" si="66"/>
        <v>1.741430756986634E-4</v>
      </c>
      <c r="L98" s="1"/>
      <c r="M98" s="19">
        <f t="shared" si="67"/>
        <v>1.5757229647630619E-5</v>
      </c>
      <c r="N98" s="19">
        <f t="shared" si="68"/>
        <v>9.8595236938031593E-3</v>
      </c>
      <c r="O98" s="19">
        <f t="shared" si="69"/>
        <v>3.3765492102065614E-7</v>
      </c>
      <c r="P98" s="19">
        <f t="shared" si="70"/>
        <v>4.4199967091940053E-2</v>
      </c>
      <c r="Q98" s="19">
        <f t="shared" si="71"/>
        <v>0.93320877419354831</v>
      </c>
      <c r="R98" s="19">
        <f t="shared" si="72"/>
        <v>-6.7530984204131228E-2</v>
      </c>
      <c r="S98" s="19">
        <f t="shared" si="73"/>
        <v>9.9915483870967742E-2</v>
      </c>
      <c r="T98" s="19">
        <f t="shared" si="74"/>
        <v>4.4199967091940053E-2</v>
      </c>
      <c r="U98" s="19">
        <f t="shared" si="75"/>
        <v>1.8655434386391249E-3</v>
      </c>
      <c r="V98" s="19">
        <f t="shared" si="76"/>
        <v>1.1480267314702308E-4</v>
      </c>
      <c r="W98" s="19">
        <f t="shared" si="77"/>
        <v>0.35453766707168893</v>
      </c>
      <c r="X98" s="19">
        <f t="shared" si="78"/>
        <v>3.0013770757391656E-16</v>
      </c>
      <c r="Y98" s="53">
        <f t="shared" si="79"/>
        <v>19.959716259478768</v>
      </c>
    </row>
    <row r="99" spans="1:26">
      <c r="A99" t="s">
        <v>1606</v>
      </c>
      <c r="B99" s="9" t="s">
        <v>11</v>
      </c>
      <c r="C99">
        <v>2.36</v>
      </c>
      <c r="D99">
        <v>2</v>
      </c>
      <c r="E99">
        <v>0.59899999999999998</v>
      </c>
      <c r="F99">
        <v>1.4</v>
      </c>
      <c r="G99">
        <v>0.11</v>
      </c>
      <c r="H99">
        <v>2</v>
      </c>
      <c r="I99" s="70">
        <f t="shared" si="64"/>
        <v>-3.5678869987849318E-7</v>
      </c>
      <c r="J99" s="19">
        <f t="shared" si="65"/>
        <v>3.4198212173913042E-5</v>
      </c>
      <c r="K99" s="19">
        <f t="shared" si="66"/>
        <v>1.741430756986634E-4</v>
      </c>
      <c r="L99" s="1"/>
      <c r="M99" s="19">
        <f t="shared" si="67"/>
        <v>1.5757229647630619E-5</v>
      </c>
      <c r="N99" s="19">
        <f t="shared" si="68"/>
        <v>9.8595236938031593E-3</v>
      </c>
      <c r="O99" s="19">
        <f t="shared" si="69"/>
        <v>3.3765492102065614E-7</v>
      </c>
      <c r="P99" s="19">
        <f t="shared" si="70"/>
        <v>4.4199967091940053E-2</v>
      </c>
      <c r="Q99" s="19">
        <f t="shared" si="71"/>
        <v>0.97725883870967734</v>
      </c>
      <c r="R99" s="19">
        <f t="shared" si="72"/>
        <v>-6.7530984204131228E-2</v>
      </c>
      <c r="S99" s="19">
        <f t="shared" si="73"/>
        <v>0.10463177419354838</v>
      </c>
      <c r="T99" s="19">
        <f t="shared" si="74"/>
        <v>4.4199967091940053E-2</v>
      </c>
      <c r="U99" s="19">
        <f t="shared" si="75"/>
        <v>1.8655434386391249E-3</v>
      </c>
      <c r="V99" s="19">
        <f t="shared" si="76"/>
        <v>1.1480267314702308E-4</v>
      </c>
      <c r="W99" s="19">
        <f t="shared" si="77"/>
        <v>0.35453766707168893</v>
      </c>
      <c r="X99" s="19">
        <f t="shared" si="78"/>
        <v>3.0013770757391656E-16</v>
      </c>
      <c r="Y99" s="53">
        <f t="shared" si="79"/>
        <v>20.120546500648473</v>
      </c>
    </row>
    <row r="100" spans="1:26">
      <c r="A100" t="s">
        <v>1607</v>
      </c>
      <c r="B100" s="9" t="s">
        <v>11</v>
      </c>
      <c r="C100">
        <v>2.36</v>
      </c>
      <c r="D100">
        <v>2</v>
      </c>
      <c r="E100">
        <v>0.32300000000000001</v>
      </c>
      <c r="F100">
        <v>1.4</v>
      </c>
      <c r="G100">
        <v>0.11</v>
      </c>
      <c r="H100">
        <v>2</v>
      </c>
      <c r="I100" s="70">
        <f t="shared" si="64"/>
        <v>-3.5678869987849318E-7</v>
      </c>
      <c r="J100" s="19">
        <f t="shared" si="65"/>
        <v>1.8440772173913043E-5</v>
      </c>
      <c r="K100" s="19">
        <f t="shared" si="66"/>
        <v>1.741430756986634E-4</v>
      </c>
      <c r="L100" s="1"/>
      <c r="M100" s="19">
        <f t="shared" si="67"/>
        <v>1.5757229647630619E-5</v>
      </c>
      <c r="N100" s="19">
        <f t="shared" si="68"/>
        <v>9.8595236938031593E-3</v>
      </c>
      <c r="O100" s="19">
        <f t="shared" si="69"/>
        <v>3.3765492102065614E-7</v>
      </c>
      <c r="P100" s="19">
        <f t="shared" si="70"/>
        <v>4.4199967091940053E-2</v>
      </c>
      <c r="Q100" s="19">
        <f t="shared" si="71"/>
        <v>0.52696929032258066</v>
      </c>
      <c r="R100" s="19">
        <f t="shared" si="72"/>
        <v>-6.7530984204131228E-2</v>
      </c>
      <c r="S100" s="19">
        <f t="shared" si="73"/>
        <v>5.6420806451612904E-2</v>
      </c>
      <c r="T100" s="19">
        <f t="shared" si="74"/>
        <v>4.4199967091940053E-2</v>
      </c>
      <c r="U100" s="19">
        <f t="shared" si="75"/>
        <v>1.8655434386391249E-3</v>
      </c>
      <c r="V100" s="19">
        <f t="shared" si="76"/>
        <v>1.1480267314702308E-4</v>
      </c>
      <c r="W100" s="19">
        <f t="shared" si="77"/>
        <v>0.35453766707168893</v>
      </c>
      <c r="X100" s="19">
        <f t="shared" si="78"/>
        <v>3.0013770757391656E-16</v>
      </c>
      <c r="Y100" s="53">
        <f t="shared" si="79"/>
        <v>18.476504035358154</v>
      </c>
    </row>
    <row r="101" spans="1:26">
      <c r="A101" s="8" t="s">
        <v>1608</v>
      </c>
      <c r="B101" s="9" t="s">
        <v>11</v>
      </c>
      <c r="I101" s="17"/>
      <c r="J101" s="18"/>
      <c r="K101" s="18"/>
      <c r="L101" s="1"/>
      <c r="M101" s="18"/>
      <c r="N101" s="18"/>
      <c r="O101" s="18"/>
      <c r="P101" s="18"/>
      <c r="Q101" s="18"/>
      <c r="R101" s="18"/>
      <c r="S101" s="18"/>
      <c r="T101" s="18"/>
      <c r="U101" s="18"/>
      <c r="V101" s="18"/>
      <c r="W101" s="18"/>
      <c r="X101" s="18"/>
      <c r="Y101" s="87"/>
    </row>
    <row r="102" spans="1:26">
      <c r="A102" s="9" t="s">
        <v>1609</v>
      </c>
      <c r="B102" s="9" t="s">
        <v>11</v>
      </c>
      <c r="C102">
        <v>2.36</v>
      </c>
      <c r="D102">
        <v>2</v>
      </c>
      <c r="E102">
        <v>0.36</v>
      </c>
      <c r="F102">
        <v>1.4</v>
      </c>
      <c r="G102">
        <v>0.11</v>
      </c>
      <c r="H102">
        <v>2</v>
      </c>
      <c r="I102" s="70">
        <f t="shared" ref="I102:I112" si="80">C102*CO2_YLL_charfact</f>
        <v>-3.5678869987849318E-7</v>
      </c>
      <c r="J102" s="19">
        <f t="shared" ref="J102:J113" si="81">E102*NOx_YOLL_Oxidant_charfact/0.46</f>
        <v>2.0553182608695649E-5</v>
      </c>
      <c r="K102" s="19">
        <f t="shared" ref="K102:K112" si="82">G102*PM2.5_YLL_charfact</f>
        <v>1.741430756986634E-4</v>
      </c>
      <c r="L102" s="1"/>
      <c r="M102" s="19">
        <f t="shared" ref="M102:M113" si="83">CO2_severewasting_charfact*C102</f>
        <v>1.5757229647630619E-5</v>
      </c>
      <c r="N102" s="19">
        <f t="shared" ref="N102:N113" si="84">CO2_workingcapacity_charfact*C102</f>
        <v>9.8595236938031593E-3</v>
      </c>
      <c r="O102" s="19">
        <f t="shared" ref="O102:O113" si="85">CO2_diarrhea_charfact*C102</f>
        <v>3.3765492102065614E-7</v>
      </c>
      <c r="P102" s="19">
        <f t="shared" ref="P102:P113" si="86">CO2_crop_charfact*C102</f>
        <v>4.4199967091940053E-2</v>
      </c>
      <c r="Q102" s="19">
        <f t="shared" ref="Q102:Q113" si="87">charnoxcrop/0.62*E102</f>
        <v>0.58733419354838712</v>
      </c>
      <c r="R102" s="19">
        <f t="shared" ref="R102:R113" si="88">CO2_wood_charfact*C102</f>
        <v>-6.7530984204131228E-2</v>
      </c>
      <c r="S102" s="19">
        <f t="shared" ref="S102:S113" si="89">NOx_wood_oxidantcharfact/0.62*E102</f>
        <v>6.2883870967741937E-2</v>
      </c>
      <c r="T102" s="19">
        <f t="shared" ref="T102:T113" si="90">CO2_crop_charfact*C102</f>
        <v>4.4199967091940053E-2</v>
      </c>
      <c r="U102" s="19">
        <f t="shared" ref="U102:U113" si="91">CO2_meat_charfact*C102</f>
        <v>1.8655434386391249E-3</v>
      </c>
      <c r="V102" s="19">
        <f t="shared" ref="V102:V113" si="92">CO2_fish_charfact*C102</f>
        <v>1.1480267314702308E-4</v>
      </c>
      <c r="W102" s="19">
        <f t="shared" ref="W102:W113" si="93">CO2_drinkingwater_charfact*C102</f>
        <v>0.35453766707168893</v>
      </c>
      <c r="X102" s="19">
        <f t="shared" ref="X102:X113" si="94">CO2_NEX_charfact*C102</f>
        <v>3.0013770757391656E-16</v>
      </c>
      <c r="Y102" s="53">
        <f t="shared" ref="Y102:Y113" si="95">(I102+J102+K102+L102)*YLLvalue+M102*severe_wasting_value+N102*working_capacity+O102*diarrhea_value+(P102+Q102)*cropvalue+(R102+S102)*woodvalue+T102*cropvalue+U102*meatvalue+V102*fishvalue+W102*drinkingwatervalue+X102*speciesvalue</f>
        <v>18.696901032516639</v>
      </c>
    </row>
    <row r="103" spans="1:26">
      <c r="A103" t="s">
        <v>1610</v>
      </c>
      <c r="B103" s="9" t="s">
        <v>11</v>
      </c>
      <c r="C103">
        <v>2.36</v>
      </c>
      <c r="D103">
        <v>2</v>
      </c>
      <c r="E103">
        <v>0.74</v>
      </c>
      <c r="F103">
        <v>1.2</v>
      </c>
      <c r="G103">
        <v>0.11</v>
      </c>
      <c r="H103">
        <v>2</v>
      </c>
      <c r="I103" s="70">
        <f t="shared" si="80"/>
        <v>-3.5678869987849318E-7</v>
      </c>
      <c r="J103" s="19">
        <f t="shared" si="81"/>
        <v>4.2248208695652169E-5</v>
      </c>
      <c r="K103" s="19">
        <f t="shared" si="82"/>
        <v>1.741430756986634E-4</v>
      </c>
      <c r="L103" s="1"/>
      <c r="M103" s="19">
        <f t="shared" si="83"/>
        <v>1.5757229647630619E-5</v>
      </c>
      <c r="N103" s="19">
        <f t="shared" si="84"/>
        <v>9.8595236938031593E-3</v>
      </c>
      <c r="O103" s="19">
        <f t="shared" si="85"/>
        <v>3.3765492102065614E-7</v>
      </c>
      <c r="P103" s="19">
        <f t="shared" si="86"/>
        <v>4.4199967091940053E-2</v>
      </c>
      <c r="Q103" s="19">
        <f t="shared" si="87"/>
        <v>1.2072980645161291</v>
      </c>
      <c r="R103" s="19">
        <f t="shared" si="88"/>
        <v>-6.7530984204131228E-2</v>
      </c>
      <c r="S103" s="19">
        <f t="shared" si="89"/>
        <v>0.12926129032258066</v>
      </c>
      <c r="T103" s="19">
        <f t="shared" si="90"/>
        <v>4.4199967091940053E-2</v>
      </c>
      <c r="U103" s="19">
        <f t="shared" si="91"/>
        <v>1.8655434386391249E-3</v>
      </c>
      <c r="V103" s="19">
        <f t="shared" si="92"/>
        <v>1.1480267314702308E-4</v>
      </c>
      <c r="W103" s="19">
        <f t="shared" si="93"/>
        <v>0.35453766707168893</v>
      </c>
      <c r="X103" s="19">
        <f t="shared" si="94"/>
        <v>3.0013770757391656E-16</v>
      </c>
      <c r="Y103" s="53">
        <f t="shared" si="95"/>
        <v>20.960437760090269</v>
      </c>
    </row>
    <row r="104" spans="1:26">
      <c r="A104" t="s">
        <v>1611</v>
      </c>
      <c r="B104" s="9" t="s">
        <v>11</v>
      </c>
      <c r="C104">
        <v>2.36</v>
      </c>
      <c r="D104">
        <v>2</v>
      </c>
      <c r="E104">
        <v>0.86</v>
      </c>
      <c r="F104">
        <v>1.2</v>
      </c>
      <c r="G104">
        <v>0.11</v>
      </c>
      <c r="H104">
        <v>2</v>
      </c>
      <c r="I104" s="70">
        <f t="shared" si="80"/>
        <v>-3.5678869987849318E-7</v>
      </c>
      <c r="J104" s="19">
        <f t="shared" si="81"/>
        <v>4.9099269565217382E-5</v>
      </c>
      <c r="K104" s="19">
        <f t="shared" si="82"/>
        <v>1.741430756986634E-4</v>
      </c>
      <c r="L104" s="1"/>
      <c r="M104" s="19">
        <f t="shared" si="83"/>
        <v>1.5757229647630619E-5</v>
      </c>
      <c r="N104" s="19">
        <f t="shared" si="84"/>
        <v>9.8595236938031593E-3</v>
      </c>
      <c r="O104" s="19">
        <f t="shared" si="85"/>
        <v>3.3765492102065614E-7</v>
      </c>
      <c r="P104" s="19">
        <f t="shared" si="86"/>
        <v>4.4199967091940053E-2</v>
      </c>
      <c r="Q104" s="19">
        <f t="shared" si="87"/>
        <v>1.403076129032258</v>
      </c>
      <c r="R104" s="19">
        <f t="shared" si="88"/>
        <v>-6.7530984204131228E-2</v>
      </c>
      <c r="S104" s="19">
        <f t="shared" si="89"/>
        <v>0.15022258064516128</v>
      </c>
      <c r="T104" s="19">
        <f t="shared" si="90"/>
        <v>4.4199967091940053E-2</v>
      </c>
      <c r="U104" s="19">
        <f t="shared" si="91"/>
        <v>1.8655434386391249E-3</v>
      </c>
      <c r="V104" s="19">
        <f t="shared" si="92"/>
        <v>1.1480267314702308E-4</v>
      </c>
      <c r="W104" s="19">
        <f t="shared" si="93"/>
        <v>0.35453766707168893</v>
      </c>
      <c r="X104" s="19">
        <f t="shared" si="94"/>
        <v>3.0013770757391656E-16</v>
      </c>
      <c r="Y104" s="53">
        <f t="shared" si="95"/>
        <v>21.675238831955628</v>
      </c>
    </row>
    <row r="105" spans="1:26">
      <c r="A105" t="s">
        <v>1612</v>
      </c>
      <c r="B105" s="9" t="s">
        <v>11</v>
      </c>
      <c r="C105">
        <v>2.36</v>
      </c>
      <c r="D105">
        <v>2</v>
      </c>
      <c r="E105">
        <v>0.9</v>
      </c>
      <c r="F105">
        <v>1.2</v>
      </c>
      <c r="G105">
        <v>0.11</v>
      </c>
      <c r="H105">
        <v>2</v>
      </c>
      <c r="I105" s="70">
        <f t="shared" si="80"/>
        <v>-3.5678869987849318E-7</v>
      </c>
      <c r="J105" s="19">
        <f t="shared" si="81"/>
        <v>5.1382956521739124E-5</v>
      </c>
      <c r="K105" s="19">
        <f t="shared" si="82"/>
        <v>1.741430756986634E-4</v>
      </c>
      <c r="L105" s="1"/>
      <c r="M105" s="19">
        <f t="shared" si="83"/>
        <v>1.5757229647630619E-5</v>
      </c>
      <c r="N105" s="19">
        <f t="shared" si="84"/>
        <v>9.8595236938031593E-3</v>
      </c>
      <c r="O105" s="19">
        <f t="shared" si="85"/>
        <v>3.3765492102065614E-7</v>
      </c>
      <c r="P105" s="19">
        <f t="shared" si="86"/>
        <v>4.4199967091940053E-2</v>
      </c>
      <c r="Q105" s="19">
        <f t="shared" si="87"/>
        <v>1.4683354838709677</v>
      </c>
      <c r="R105" s="19">
        <f t="shared" si="88"/>
        <v>-6.7530984204131228E-2</v>
      </c>
      <c r="S105" s="19">
        <f t="shared" si="89"/>
        <v>0.15720967741935485</v>
      </c>
      <c r="T105" s="19">
        <f t="shared" si="90"/>
        <v>4.4199967091940053E-2</v>
      </c>
      <c r="U105" s="19">
        <f t="shared" si="91"/>
        <v>1.8655434386391249E-3</v>
      </c>
      <c r="V105" s="19">
        <f t="shared" si="92"/>
        <v>1.1480267314702308E-4</v>
      </c>
      <c r="W105" s="19">
        <f t="shared" si="93"/>
        <v>0.35453766707168893</v>
      </c>
      <c r="X105" s="19">
        <f t="shared" si="94"/>
        <v>3.0013770757391656E-16</v>
      </c>
      <c r="Y105" s="53">
        <f t="shared" si="95"/>
        <v>21.913505855910749</v>
      </c>
    </row>
    <row r="106" spans="1:26">
      <c r="A106" t="s">
        <v>1613</v>
      </c>
      <c r="B106" s="9" t="s">
        <v>11</v>
      </c>
      <c r="C106">
        <v>2.36</v>
      </c>
      <c r="D106">
        <v>2</v>
      </c>
      <c r="E106">
        <v>0.59</v>
      </c>
      <c r="F106">
        <v>1.2</v>
      </c>
      <c r="G106">
        <v>0.11</v>
      </c>
      <c r="H106">
        <v>2</v>
      </c>
      <c r="I106" s="70">
        <f t="shared" si="80"/>
        <v>-3.5678869987849318E-7</v>
      </c>
      <c r="J106" s="19">
        <f t="shared" si="81"/>
        <v>3.3684382608695646E-5</v>
      </c>
      <c r="K106" s="19">
        <f t="shared" si="82"/>
        <v>1.741430756986634E-4</v>
      </c>
      <c r="L106" s="1"/>
      <c r="M106" s="19">
        <f t="shared" si="83"/>
        <v>1.5757229647630619E-5</v>
      </c>
      <c r="N106" s="19">
        <f t="shared" si="84"/>
        <v>9.8595236938031593E-3</v>
      </c>
      <c r="O106" s="19">
        <f t="shared" si="85"/>
        <v>3.3765492102065614E-7</v>
      </c>
      <c r="P106" s="19">
        <f t="shared" si="86"/>
        <v>4.4199967091940053E-2</v>
      </c>
      <c r="Q106" s="19">
        <f t="shared" si="87"/>
        <v>0.9625754838709677</v>
      </c>
      <c r="R106" s="19">
        <f t="shared" si="88"/>
        <v>-6.7530984204131228E-2</v>
      </c>
      <c r="S106" s="19">
        <f t="shared" si="89"/>
        <v>0.10305967741935483</v>
      </c>
      <c r="T106" s="19">
        <f t="shared" si="90"/>
        <v>4.4199967091940053E-2</v>
      </c>
      <c r="U106" s="19">
        <f t="shared" si="91"/>
        <v>1.8655434386391249E-3</v>
      </c>
      <c r="V106" s="19">
        <f t="shared" si="92"/>
        <v>1.1480267314702308E-4</v>
      </c>
      <c r="W106" s="19">
        <f t="shared" si="93"/>
        <v>0.35453766707168893</v>
      </c>
      <c r="X106" s="19">
        <f t="shared" si="94"/>
        <v>3.0013770757391656E-16</v>
      </c>
      <c r="Y106" s="53">
        <f t="shared" si="95"/>
        <v>20.066936420258575</v>
      </c>
    </row>
    <row r="107" spans="1:26">
      <c r="A107" s="9" t="s">
        <v>1614</v>
      </c>
      <c r="B107" s="9" t="s">
        <v>11</v>
      </c>
      <c r="C107">
        <v>2.36</v>
      </c>
      <c r="D107">
        <v>2</v>
      </c>
      <c r="E107">
        <v>0.9</v>
      </c>
      <c r="F107">
        <v>1.2</v>
      </c>
      <c r="G107">
        <v>0.11</v>
      </c>
      <c r="H107">
        <v>2</v>
      </c>
      <c r="I107" s="70">
        <f t="shared" si="80"/>
        <v>-3.5678869987849318E-7</v>
      </c>
      <c r="J107" s="19">
        <f t="shared" si="81"/>
        <v>5.1382956521739124E-5</v>
      </c>
      <c r="K107" s="19">
        <f t="shared" si="82"/>
        <v>1.741430756986634E-4</v>
      </c>
      <c r="L107" s="1"/>
      <c r="M107" s="19">
        <f t="shared" si="83"/>
        <v>1.5757229647630619E-5</v>
      </c>
      <c r="N107" s="19">
        <f t="shared" si="84"/>
        <v>9.8595236938031593E-3</v>
      </c>
      <c r="O107" s="19">
        <f t="shared" si="85"/>
        <v>3.3765492102065614E-7</v>
      </c>
      <c r="P107" s="19">
        <f t="shared" si="86"/>
        <v>4.4199967091940053E-2</v>
      </c>
      <c r="Q107" s="19">
        <f t="shared" si="87"/>
        <v>1.4683354838709677</v>
      </c>
      <c r="R107" s="19">
        <f t="shared" si="88"/>
        <v>-6.7530984204131228E-2</v>
      </c>
      <c r="S107" s="19">
        <f t="shared" si="89"/>
        <v>0.15720967741935485</v>
      </c>
      <c r="T107" s="19">
        <f t="shared" si="90"/>
        <v>4.4199967091940053E-2</v>
      </c>
      <c r="U107" s="19">
        <f t="shared" si="91"/>
        <v>1.8655434386391249E-3</v>
      </c>
      <c r="V107" s="19">
        <f t="shared" si="92"/>
        <v>1.1480267314702308E-4</v>
      </c>
      <c r="W107" s="19">
        <f t="shared" si="93"/>
        <v>0.35453766707168893</v>
      </c>
      <c r="X107" s="19">
        <f t="shared" si="94"/>
        <v>3.0013770757391656E-16</v>
      </c>
      <c r="Y107" s="53">
        <f t="shared" si="95"/>
        <v>21.913505855910749</v>
      </c>
      <c r="Z107" s="1"/>
    </row>
    <row r="108" spans="1:26">
      <c r="A108" t="s">
        <v>1615</v>
      </c>
      <c r="B108" s="9" t="s">
        <v>11</v>
      </c>
      <c r="C108">
        <v>2.36</v>
      </c>
      <c r="D108">
        <v>2</v>
      </c>
      <c r="E108">
        <v>0.19</v>
      </c>
      <c r="F108">
        <v>1.2</v>
      </c>
      <c r="G108">
        <v>0.11</v>
      </c>
      <c r="H108">
        <v>2</v>
      </c>
      <c r="I108" s="70">
        <f t="shared" si="80"/>
        <v>-3.5678869987849318E-7</v>
      </c>
      <c r="J108" s="19">
        <f t="shared" si="81"/>
        <v>1.084751304347826E-5</v>
      </c>
      <c r="K108" s="19">
        <f t="shared" si="82"/>
        <v>1.741430756986634E-4</v>
      </c>
      <c r="L108" s="1"/>
      <c r="M108" s="19">
        <f t="shared" si="83"/>
        <v>1.5757229647630619E-5</v>
      </c>
      <c r="N108" s="19">
        <f t="shared" si="84"/>
        <v>9.8595236938031593E-3</v>
      </c>
      <c r="O108" s="19">
        <f t="shared" si="85"/>
        <v>3.3765492102065614E-7</v>
      </c>
      <c r="P108" s="19">
        <f t="shared" si="86"/>
        <v>4.4199967091940053E-2</v>
      </c>
      <c r="Q108" s="19">
        <f t="shared" si="87"/>
        <v>0.30998193548387099</v>
      </c>
      <c r="R108" s="19">
        <f t="shared" si="88"/>
        <v>-6.7530984204131228E-2</v>
      </c>
      <c r="S108" s="19">
        <f t="shared" si="89"/>
        <v>3.3188709677419354E-2</v>
      </c>
      <c r="T108" s="19">
        <f t="shared" si="90"/>
        <v>4.4199967091940053E-2</v>
      </c>
      <c r="U108" s="19">
        <f t="shared" si="91"/>
        <v>1.8655434386391249E-3</v>
      </c>
      <c r="V108" s="19">
        <f t="shared" si="92"/>
        <v>1.1480267314702308E-4</v>
      </c>
      <c r="W108" s="19">
        <f t="shared" si="93"/>
        <v>0.35453766707168893</v>
      </c>
      <c r="X108" s="19">
        <f t="shared" si="94"/>
        <v>3.0013770757391656E-16</v>
      </c>
      <c r="Y108" s="53">
        <f t="shared" si="95"/>
        <v>17.684266180707382</v>
      </c>
      <c r="Z108" s="1"/>
    </row>
    <row r="109" spans="1:26">
      <c r="A109" t="s">
        <v>1616</v>
      </c>
      <c r="B109" s="9" t="s">
        <v>11</v>
      </c>
      <c r="C109">
        <v>2.36</v>
      </c>
      <c r="D109">
        <v>2</v>
      </c>
      <c r="E109">
        <v>0.71</v>
      </c>
      <c r="F109">
        <v>1.2</v>
      </c>
      <c r="G109">
        <v>0.11</v>
      </c>
      <c r="H109">
        <v>2</v>
      </c>
      <c r="I109" s="70">
        <f t="shared" si="80"/>
        <v>-3.5678869987849318E-7</v>
      </c>
      <c r="J109" s="19">
        <f t="shared" si="81"/>
        <v>4.0535443478260866E-5</v>
      </c>
      <c r="K109" s="19">
        <f t="shared" si="82"/>
        <v>1.741430756986634E-4</v>
      </c>
      <c r="L109" s="1"/>
      <c r="M109" s="19">
        <f t="shared" si="83"/>
        <v>1.5757229647630619E-5</v>
      </c>
      <c r="N109" s="19">
        <f t="shared" si="84"/>
        <v>9.8595236938031593E-3</v>
      </c>
      <c r="O109" s="19">
        <f t="shared" si="85"/>
        <v>3.3765492102065614E-7</v>
      </c>
      <c r="P109" s="19">
        <f t="shared" si="86"/>
        <v>4.4199967091940053E-2</v>
      </c>
      <c r="Q109" s="19">
        <f t="shared" si="87"/>
        <v>1.1583535483870968</v>
      </c>
      <c r="R109" s="19">
        <f t="shared" si="88"/>
        <v>-6.7530984204131228E-2</v>
      </c>
      <c r="S109" s="19">
        <f t="shared" si="89"/>
        <v>0.12402096774193548</v>
      </c>
      <c r="T109" s="19">
        <f t="shared" si="90"/>
        <v>4.4199967091940053E-2</v>
      </c>
      <c r="U109" s="19">
        <f t="shared" si="91"/>
        <v>1.8655434386391249E-3</v>
      </c>
      <c r="V109" s="19">
        <f t="shared" si="92"/>
        <v>1.1480267314702308E-4</v>
      </c>
      <c r="W109" s="19">
        <f t="shared" si="93"/>
        <v>0.35453766707168893</v>
      </c>
      <c r="X109" s="19">
        <f t="shared" si="94"/>
        <v>3.0013770757391656E-16</v>
      </c>
      <c r="Y109" s="53">
        <f t="shared" si="95"/>
        <v>20.781737492123931</v>
      </c>
      <c r="Z109" s="1"/>
    </row>
    <row r="110" spans="1:26">
      <c r="A110" t="s">
        <v>1617</v>
      </c>
      <c r="B110" s="9" t="s">
        <v>11</v>
      </c>
      <c r="C110">
        <v>2.36</v>
      </c>
      <c r="D110">
        <v>2</v>
      </c>
      <c r="E110">
        <v>0.99</v>
      </c>
      <c r="F110">
        <v>1.2</v>
      </c>
      <c r="G110">
        <v>0.11</v>
      </c>
      <c r="H110">
        <v>2</v>
      </c>
      <c r="I110" s="70">
        <f t="shared" si="80"/>
        <v>-3.5678869987849318E-7</v>
      </c>
      <c r="J110" s="19">
        <f t="shared" si="81"/>
        <v>5.6521252173913041E-5</v>
      </c>
      <c r="K110" s="19">
        <f t="shared" si="82"/>
        <v>1.741430756986634E-4</v>
      </c>
      <c r="L110" s="1"/>
      <c r="M110" s="19">
        <f t="shared" si="83"/>
        <v>1.5757229647630619E-5</v>
      </c>
      <c r="N110" s="19">
        <f t="shared" si="84"/>
        <v>9.8595236938031593E-3</v>
      </c>
      <c r="O110" s="19">
        <f t="shared" si="85"/>
        <v>3.3765492102065614E-7</v>
      </c>
      <c r="P110" s="19">
        <f t="shared" si="86"/>
        <v>4.4199967091940053E-2</v>
      </c>
      <c r="Q110" s="19">
        <f t="shared" si="87"/>
        <v>1.6151690322580645</v>
      </c>
      <c r="R110" s="19">
        <f t="shared" si="88"/>
        <v>-6.7530984204131228E-2</v>
      </c>
      <c r="S110" s="19">
        <f t="shared" si="89"/>
        <v>0.17293064516129034</v>
      </c>
      <c r="T110" s="19">
        <f t="shared" si="90"/>
        <v>4.4199967091940053E-2</v>
      </c>
      <c r="U110" s="19">
        <f t="shared" si="91"/>
        <v>1.8655434386391249E-3</v>
      </c>
      <c r="V110" s="19">
        <f t="shared" si="92"/>
        <v>1.1480267314702308E-4</v>
      </c>
      <c r="W110" s="19">
        <f t="shared" si="93"/>
        <v>0.35453766707168893</v>
      </c>
      <c r="X110" s="19">
        <f t="shared" si="94"/>
        <v>3.0013770757391656E-16</v>
      </c>
      <c r="Y110" s="53">
        <f t="shared" si="95"/>
        <v>22.449606659809767</v>
      </c>
    </row>
    <row r="111" spans="1:26">
      <c r="A111" t="s">
        <v>1618</v>
      </c>
      <c r="B111" s="9" t="s">
        <v>11</v>
      </c>
      <c r="C111">
        <v>2.36</v>
      </c>
      <c r="D111">
        <v>2</v>
      </c>
      <c r="E111">
        <v>1.02</v>
      </c>
      <c r="F111">
        <v>1.2</v>
      </c>
      <c r="G111">
        <v>0.11</v>
      </c>
      <c r="H111">
        <v>2</v>
      </c>
      <c r="I111" s="70">
        <f t="shared" si="80"/>
        <v>-3.5678869987849318E-7</v>
      </c>
      <c r="J111" s="19">
        <f t="shared" si="81"/>
        <v>5.8234017391304344E-5</v>
      </c>
      <c r="K111" s="19">
        <f t="shared" si="82"/>
        <v>1.741430756986634E-4</v>
      </c>
      <c r="L111" s="1"/>
      <c r="M111" s="19">
        <f t="shared" si="83"/>
        <v>1.5757229647630619E-5</v>
      </c>
      <c r="N111" s="19">
        <f t="shared" si="84"/>
        <v>9.8595236938031593E-3</v>
      </c>
      <c r="O111" s="19">
        <f t="shared" si="85"/>
        <v>3.3765492102065614E-7</v>
      </c>
      <c r="P111" s="19">
        <f t="shared" si="86"/>
        <v>4.4199967091940053E-2</v>
      </c>
      <c r="Q111" s="19">
        <f t="shared" si="87"/>
        <v>1.6641135483870968</v>
      </c>
      <c r="R111" s="19">
        <f t="shared" si="88"/>
        <v>-6.7530984204131228E-2</v>
      </c>
      <c r="S111" s="19">
        <f t="shared" si="89"/>
        <v>0.1781709677419355</v>
      </c>
      <c r="T111" s="19">
        <f t="shared" si="90"/>
        <v>4.4199967091940053E-2</v>
      </c>
      <c r="U111" s="19">
        <f t="shared" si="91"/>
        <v>1.8655434386391249E-3</v>
      </c>
      <c r="V111" s="19">
        <f t="shared" si="92"/>
        <v>1.1480267314702308E-4</v>
      </c>
      <c r="W111" s="19">
        <f t="shared" si="93"/>
        <v>0.35453766707168893</v>
      </c>
      <c r="X111" s="19">
        <f t="shared" si="94"/>
        <v>3.0013770757391656E-16</v>
      </c>
      <c r="Y111" s="53">
        <f t="shared" si="95"/>
        <v>22.628306927776102</v>
      </c>
    </row>
    <row r="112" spans="1:26">
      <c r="A112" t="s">
        <v>1619</v>
      </c>
      <c r="B112" s="9" t="s">
        <v>11</v>
      </c>
      <c r="C112">
        <v>2.36</v>
      </c>
      <c r="D112">
        <v>2</v>
      </c>
      <c r="E112">
        <v>0</v>
      </c>
      <c r="F112">
        <v>1.2</v>
      </c>
      <c r="G112">
        <v>0.186</v>
      </c>
      <c r="H112">
        <v>1.5</v>
      </c>
      <c r="I112" s="70">
        <f t="shared" si="80"/>
        <v>-3.5678869987849318E-7</v>
      </c>
      <c r="J112" s="19">
        <f t="shared" si="81"/>
        <v>0</v>
      </c>
      <c r="K112" s="19">
        <f t="shared" si="82"/>
        <v>2.9446010981773994E-4</v>
      </c>
      <c r="L112" s="1"/>
      <c r="M112" s="19">
        <f t="shared" si="83"/>
        <v>1.5757229647630619E-5</v>
      </c>
      <c r="N112" s="19">
        <f t="shared" si="84"/>
        <v>9.8595236938031593E-3</v>
      </c>
      <c r="O112" s="19">
        <f t="shared" si="85"/>
        <v>3.3765492102065614E-7</v>
      </c>
      <c r="P112" s="19">
        <f t="shared" si="86"/>
        <v>4.4199967091940053E-2</v>
      </c>
      <c r="Q112" s="19">
        <f t="shared" si="87"/>
        <v>0</v>
      </c>
      <c r="R112" s="19">
        <f t="shared" si="88"/>
        <v>-6.7530984204131228E-2</v>
      </c>
      <c r="S112" s="19">
        <f t="shared" si="89"/>
        <v>0</v>
      </c>
      <c r="T112" s="19">
        <f t="shared" si="90"/>
        <v>4.4199967091940053E-2</v>
      </c>
      <c r="U112" s="19">
        <f t="shared" si="91"/>
        <v>1.8655434386391249E-3</v>
      </c>
      <c r="V112" s="19">
        <f t="shared" si="92"/>
        <v>1.1480267314702308E-4</v>
      </c>
      <c r="W112" s="19">
        <f t="shared" si="93"/>
        <v>0.35453766707168893</v>
      </c>
      <c r="X112" s="19">
        <f t="shared" si="94"/>
        <v>3.0013770757391656E-16</v>
      </c>
      <c r="Y112" s="53">
        <f t="shared" si="95"/>
        <v>27.549474735404164</v>
      </c>
    </row>
    <row r="113" spans="1:25">
      <c r="A113" t="s">
        <v>1620</v>
      </c>
      <c r="B113" s="9" t="s">
        <v>11</v>
      </c>
      <c r="C113">
        <v>2.36</v>
      </c>
      <c r="D113">
        <v>2</v>
      </c>
      <c r="E113">
        <v>0.57999999999999996</v>
      </c>
      <c r="F113">
        <v>1.3</v>
      </c>
      <c r="G113">
        <v>0.11</v>
      </c>
      <c r="H113">
        <v>2</v>
      </c>
      <c r="I113" s="70">
        <f>C113*CO2_YLL_charfact</f>
        <v>-3.5678869987849318E-7</v>
      </c>
      <c r="J113" s="19">
        <f t="shared" si="81"/>
        <v>3.3113460869565214E-5</v>
      </c>
      <c r="K113" s="19">
        <f>G113*PM2.5_YLL_charfact</f>
        <v>1.741430756986634E-4</v>
      </c>
      <c r="L113" s="1"/>
      <c r="M113" s="19">
        <f t="shared" si="83"/>
        <v>1.5757229647630619E-5</v>
      </c>
      <c r="N113" s="19">
        <f t="shared" si="84"/>
        <v>9.8595236938031593E-3</v>
      </c>
      <c r="O113" s="19">
        <f t="shared" si="85"/>
        <v>3.3765492102065614E-7</v>
      </c>
      <c r="P113" s="19">
        <f t="shared" si="86"/>
        <v>4.4199967091940053E-2</v>
      </c>
      <c r="Q113" s="19">
        <f t="shared" si="87"/>
        <v>0.94626064516129027</v>
      </c>
      <c r="R113" s="19">
        <f t="shared" si="88"/>
        <v>-6.7530984204131228E-2</v>
      </c>
      <c r="S113" s="19">
        <f t="shared" si="89"/>
        <v>0.10131290322580645</v>
      </c>
      <c r="T113" s="19">
        <f t="shared" si="90"/>
        <v>4.4199967091940053E-2</v>
      </c>
      <c r="U113" s="19">
        <f t="shared" si="91"/>
        <v>1.8655434386391249E-3</v>
      </c>
      <c r="V113" s="19">
        <f t="shared" si="92"/>
        <v>1.1480267314702308E-4</v>
      </c>
      <c r="W113" s="19">
        <f t="shared" si="93"/>
        <v>0.35453766707168893</v>
      </c>
      <c r="X113" s="19">
        <f t="shared" si="94"/>
        <v>3.0013770757391656E-16</v>
      </c>
      <c r="Y113" s="53">
        <f t="shared" si="95"/>
        <v>20.007369664269792</v>
      </c>
    </row>
    <row r="114" spans="1:25">
      <c r="A114" s="8" t="s">
        <v>1621</v>
      </c>
      <c r="B114" s="9" t="s">
        <v>11</v>
      </c>
      <c r="I114" s="17"/>
      <c r="J114" s="18"/>
      <c r="K114" s="18"/>
      <c r="L114" s="1"/>
      <c r="M114" s="18"/>
      <c r="N114" s="18"/>
      <c r="O114" s="18"/>
      <c r="P114" s="18"/>
      <c r="Q114" s="18"/>
      <c r="R114" s="18"/>
      <c r="S114" s="18"/>
      <c r="T114" s="18"/>
      <c r="U114" s="18"/>
      <c r="V114" s="18"/>
      <c r="W114" s="18"/>
      <c r="X114" s="18"/>
      <c r="Y114" s="87"/>
    </row>
    <row r="115" spans="1:25">
      <c r="A115" s="9" t="s">
        <v>1622</v>
      </c>
      <c r="B115" s="9" t="s">
        <v>11</v>
      </c>
      <c r="C115">
        <v>2.36</v>
      </c>
      <c r="D115">
        <v>2</v>
      </c>
      <c r="E115" s="9">
        <v>3.3000000000000002E-2</v>
      </c>
      <c r="F115">
        <v>1.4</v>
      </c>
      <c r="G115">
        <v>0.11</v>
      </c>
      <c r="H115">
        <v>2</v>
      </c>
      <c r="I115" s="70">
        <f t="shared" ref="I115:I121" si="96">C115*CO2_YLL_charfact</f>
        <v>-3.5678869987849318E-7</v>
      </c>
      <c r="J115" s="19">
        <f t="shared" ref="J115:J121" si="97">E115*NOx_YOLL_Oxidant_charfact/0.46</f>
        <v>1.8840417391304348E-6</v>
      </c>
      <c r="K115" s="19">
        <f t="shared" ref="K115:K121" si="98">G115*PM2.5_YLL_charfact</f>
        <v>1.741430756986634E-4</v>
      </c>
      <c r="L115" s="1"/>
      <c r="M115" s="19">
        <f t="shared" ref="M115:M121" si="99">CO2_severewasting_charfact*C115</f>
        <v>1.5757229647630619E-5</v>
      </c>
      <c r="N115" s="19">
        <f t="shared" ref="N115:N121" si="100">CO2_workingcapacity_charfact*C115</f>
        <v>9.8595236938031593E-3</v>
      </c>
      <c r="O115" s="19">
        <f t="shared" ref="O115:O121" si="101">CO2_diarrhea_charfact*C115</f>
        <v>3.3765492102065614E-7</v>
      </c>
      <c r="P115" s="19">
        <f t="shared" ref="P115:P121" si="102">CO2_crop_charfact*C115</f>
        <v>4.4199967091940053E-2</v>
      </c>
      <c r="Q115" s="19">
        <f t="shared" ref="Q115:Q121" si="103">charnoxcrop/0.62*E115</f>
        <v>5.3838967741935487E-2</v>
      </c>
      <c r="R115" s="19">
        <f t="shared" ref="R115:R121" si="104">CO2_wood_charfact*C115</f>
        <v>-6.7530984204131228E-2</v>
      </c>
      <c r="S115" s="19">
        <f t="shared" ref="S115:S121" si="105">NOx_wood_oxidantcharfact/0.62*E115</f>
        <v>5.7643548387096783E-3</v>
      </c>
      <c r="T115" s="19">
        <f t="shared" ref="T115:T121" si="106">CO2_crop_charfact*C115</f>
        <v>4.4199967091940053E-2</v>
      </c>
      <c r="U115" s="19">
        <f t="shared" ref="U115:U121" si="107">CO2_meat_charfact*C115</f>
        <v>1.8655434386391249E-3</v>
      </c>
      <c r="V115" s="19">
        <f t="shared" ref="V115:V121" si="108">CO2_fish_charfact*C115</f>
        <v>1.1480267314702308E-4</v>
      </c>
      <c r="W115" s="19">
        <f t="shared" ref="W115:W121" si="109">CO2_drinkingwater_charfact*C115</f>
        <v>0.35453766707168893</v>
      </c>
      <c r="X115" s="19">
        <f t="shared" ref="X115:X121" si="110">CO2_NEX_charfact*C115</f>
        <v>3.0013770757391656E-16</v>
      </c>
      <c r="Y115" s="53">
        <f t="shared" ref="Y115:Y121" si="111">(I115+J115+K115+L115)*YLLvalue+M115*severe_wasting_value+N115*working_capacity+O115*diarrhea_value+(P115+Q115)*cropvalue+(R115+S115)*woodvalue+T115*cropvalue+U115*meatvalue+V115*fishvalue+W115*drinkingwatervalue+X115*speciesvalue</f>
        <v>16.749068111683538</v>
      </c>
    </row>
    <row r="116" spans="1:25">
      <c r="A116" t="s">
        <v>1623</v>
      </c>
      <c r="B116" s="9" t="s">
        <v>11</v>
      </c>
      <c r="C116">
        <v>2.36</v>
      </c>
      <c r="D116">
        <v>2</v>
      </c>
      <c r="E116" s="9">
        <v>6.8000000000000005E-2</v>
      </c>
      <c r="F116">
        <v>1.2</v>
      </c>
      <c r="G116">
        <v>0.11</v>
      </c>
      <c r="H116">
        <v>2</v>
      </c>
      <c r="I116" s="70">
        <f t="shared" si="96"/>
        <v>-3.5678869987849318E-7</v>
      </c>
      <c r="J116" s="19">
        <f t="shared" si="97"/>
        <v>3.8822678260869565E-6</v>
      </c>
      <c r="K116" s="19">
        <f t="shared" si="98"/>
        <v>1.741430756986634E-4</v>
      </c>
      <c r="L116" s="1"/>
      <c r="M116" s="19">
        <f t="shared" si="99"/>
        <v>1.5757229647630619E-5</v>
      </c>
      <c r="N116" s="19">
        <f t="shared" si="100"/>
        <v>9.8595236938031593E-3</v>
      </c>
      <c r="O116" s="19">
        <f t="shared" si="101"/>
        <v>3.3765492102065614E-7</v>
      </c>
      <c r="P116" s="19">
        <f t="shared" si="102"/>
        <v>4.4199967091940053E-2</v>
      </c>
      <c r="Q116" s="19">
        <f t="shared" si="103"/>
        <v>0.11094090322580646</v>
      </c>
      <c r="R116" s="19">
        <f t="shared" si="104"/>
        <v>-6.7530984204131228E-2</v>
      </c>
      <c r="S116" s="19">
        <f t="shared" si="105"/>
        <v>1.1878064516129034E-2</v>
      </c>
      <c r="T116" s="19">
        <f t="shared" si="106"/>
        <v>4.4199967091940053E-2</v>
      </c>
      <c r="U116" s="19">
        <f t="shared" si="107"/>
        <v>1.8655434386391249E-3</v>
      </c>
      <c r="V116" s="19">
        <f t="shared" si="108"/>
        <v>1.1480267314702308E-4</v>
      </c>
      <c r="W116" s="19">
        <f t="shared" si="109"/>
        <v>0.35453766707168893</v>
      </c>
      <c r="X116" s="19">
        <f t="shared" si="110"/>
        <v>3.0013770757391656E-16</v>
      </c>
      <c r="Y116" s="53">
        <f t="shared" si="111"/>
        <v>16.957551757644268</v>
      </c>
    </row>
    <row r="117" spans="1:25">
      <c r="A117" t="s">
        <v>1624</v>
      </c>
      <c r="B117" s="9" t="s">
        <v>11</v>
      </c>
      <c r="C117">
        <v>2.36</v>
      </c>
      <c r="D117">
        <v>2</v>
      </c>
      <c r="E117">
        <v>0.24</v>
      </c>
      <c r="F117">
        <v>1.5</v>
      </c>
      <c r="G117">
        <v>0.11</v>
      </c>
      <c r="H117">
        <v>2</v>
      </c>
      <c r="I117" s="70">
        <f t="shared" si="96"/>
        <v>-3.5678869987849318E-7</v>
      </c>
      <c r="J117" s="19">
        <f t="shared" si="97"/>
        <v>1.3702121739130433E-5</v>
      </c>
      <c r="K117" s="19">
        <f t="shared" si="98"/>
        <v>1.741430756986634E-4</v>
      </c>
      <c r="L117" s="1"/>
      <c r="M117" s="19">
        <f t="shared" si="99"/>
        <v>1.5757229647630619E-5</v>
      </c>
      <c r="N117" s="19">
        <f t="shared" si="100"/>
        <v>9.8595236938031593E-3</v>
      </c>
      <c r="O117" s="19">
        <f t="shared" si="101"/>
        <v>3.3765492102065614E-7</v>
      </c>
      <c r="P117" s="19">
        <f t="shared" si="102"/>
        <v>4.4199967091940053E-2</v>
      </c>
      <c r="Q117" s="19">
        <f t="shared" si="103"/>
        <v>0.39155612903225806</v>
      </c>
      <c r="R117" s="19">
        <f t="shared" si="104"/>
        <v>-6.7530984204131228E-2</v>
      </c>
      <c r="S117" s="19">
        <f t="shared" si="105"/>
        <v>4.1922580645161286E-2</v>
      </c>
      <c r="T117" s="19">
        <f t="shared" si="106"/>
        <v>4.4199967091940053E-2</v>
      </c>
      <c r="U117" s="19">
        <f t="shared" si="107"/>
        <v>1.8655434386391249E-3</v>
      </c>
      <c r="V117" s="19">
        <f t="shared" si="108"/>
        <v>1.1480267314702308E-4</v>
      </c>
      <c r="W117" s="19">
        <f t="shared" si="109"/>
        <v>0.35453766707168893</v>
      </c>
      <c r="X117" s="19">
        <f t="shared" si="110"/>
        <v>3.0013770757391656E-16</v>
      </c>
      <c r="Y117" s="53">
        <f t="shared" si="111"/>
        <v>17.982099960651279</v>
      </c>
    </row>
    <row r="118" spans="1:25">
      <c r="A118" t="s">
        <v>1625</v>
      </c>
      <c r="B118" s="9" t="s">
        <v>11</v>
      </c>
      <c r="C118">
        <v>2.36</v>
      </c>
      <c r="D118">
        <v>2</v>
      </c>
      <c r="E118">
        <v>0.28999999999999998</v>
      </c>
      <c r="F118">
        <v>1.4</v>
      </c>
      <c r="G118">
        <v>0.11</v>
      </c>
      <c r="H118">
        <v>2</v>
      </c>
      <c r="I118" s="70">
        <f t="shared" si="96"/>
        <v>-3.5678869987849318E-7</v>
      </c>
      <c r="J118" s="19">
        <f t="shared" si="97"/>
        <v>1.6556730434782607E-5</v>
      </c>
      <c r="K118" s="19">
        <f t="shared" si="98"/>
        <v>1.741430756986634E-4</v>
      </c>
      <c r="L118" s="1"/>
      <c r="M118" s="19">
        <f t="shared" si="99"/>
        <v>1.5757229647630619E-5</v>
      </c>
      <c r="N118" s="19">
        <f t="shared" si="100"/>
        <v>9.8595236938031593E-3</v>
      </c>
      <c r="O118" s="19">
        <f t="shared" si="101"/>
        <v>3.3765492102065614E-7</v>
      </c>
      <c r="P118" s="19">
        <f t="shared" si="102"/>
        <v>4.4199967091940053E-2</v>
      </c>
      <c r="Q118" s="19">
        <f t="shared" si="103"/>
        <v>0.47313032258064514</v>
      </c>
      <c r="R118" s="19">
        <f t="shared" si="104"/>
        <v>-6.7530984204131228E-2</v>
      </c>
      <c r="S118" s="19">
        <f t="shared" si="105"/>
        <v>5.0656451612903226E-2</v>
      </c>
      <c r="T118" s="19">
        <f t="shared" si="106"/>
        <v>4.4199967091940053E-2</v>
      </c>
      <c r="U118" s="19">
        <f t="shared" si="107"/>
        <v>1.8655434386391249E-3</v>
      </c>
      <c r="V118" s="19">
        <f t="shared" si="108"/>
        <v>1.1480267314702308E-4</v>
      </c>
      <c r="W118" s="19">
        <f t="shared" si="109"/>
        <v>0.35453766707168893</v>
      </c>
      <c r="X118" s="19">
        <f t="shared" si="110"/>
        <v>3.0013770757391656E-16</v>
      </c>
      <c r="Y118" s="53">
        <f t="shared" si="111"/>
        <v>18.279933740595183</v>
      </c>
    </row>
    <row r="119" spans="1:25">
      <c r="A119" s="9" t="s">
        <v>1626</v>
      </c>
      <c r="B119" s="9" t="s">
        <v>11</v>
      </c>
      <c r="C119">
        <v>2.36</v>
      </c>
      <c r="D119">
        <v>2</v>
      </c>
      <c r="E119">
        <v>0.21</v>
      </c>
      <c r="F119">
        <v>1.4</v>
      </c>
      <c r="G119">
        <v>0.11</v>
      </c>
      <c r="H119">
        <v>2</v>
      </c>
      <c r="I119" s="70">
        <f t="shared" si="96"/>
        <v>-3.5678869987849318E-7</v>
      </c>
      <c r="J119" s="19">
        <f t="shared" si="97"/>
        <v>1.1989356521739128E-5</v>
      </c>
      <c r="K119" s="19">
        <f t="shared" si="98"/>
        <v>1.741430756986634E-4</v>
      </c>
      <c r="L119" s="1"/>
      <c r="M119" s="19">
        <f t="shared" si="99"/>
        <v>1.5757229647630619E-5</v>
      </c>
      <c r="N119" s="19">
        <f t="shared" si="100"/>
        <v>9.8595236938031593E-3</v>
      </c>
      <c r="O119" s="19">
        <f t="shared" si="101"/>
        <v>3.3765492102065614E-7</v>
      </c>
      <c r="P119" s="19">
        <f t="shared" si="102"/>
        <v>4.4199967091940053E-2</v>
      </c>
      <c r="Q119" s="19">
        <f t="shared" si="103"/>
        <v>0.34261161290322578</v>
      </c>
      <c r="R119" s="19">
        <f t="shared" si="104"/>
        <v>-6.7530984204131228E-2</v>
      </c>
      <c r="S119" s="19">
        <f t="shared" si="105"/>
        <v>3.6682258064516131E-2</v>
      </c>
      <c r="T119" s="19">
        <f t="shared" si="106"/>
        <v>4.4199967091940053E-2</v>
      </c>
      <c r="U119" s="19">
        <f t="shared" si="107"/>
        <v>1.8655434386391249E-3</v>
      </c>
      <c r="V119" s="19">
        <f t="shared" si="108"/>
        <v>1.1480267314702308E-4</v>
      </c>
      <c r="W119" s="19">
        <f t="shared" si="109"/>
        <v>0.35453766707168893</v>
      </c>
      <c r="X119" s="19">
        <f t="shared" si="110"/>
        <v>3.0013770757391656E-16</v>
      </c>
      <c r="Y119" s="53">
        <f t="shared" si="111"/>
        <v>17.803399692684941</v>
      </c>
    </row>
    <row r="120" spans="1:25">
      <c r="A120" t="s">
        <v>1627</v>
      </c>
      <c r="B120" s="9" t="s">
        <v>11</v>
      </c>
      <c r="C120">
        <v>2.36</v>
      </c>
      <c r="D120">
        <v>2</v>
      </c>
      <c r="E120">
        <v>0.44</v>
      </c>
      <c r="F120">
        <v>1.3</v>
      </c>
      <c r="G120">
        <v>0.11</v>
      </c>
      <c r="H120">
        <v>2</v>
      </c>
      <c r="I120" s="70">
        <f t="shared" si="96"/>
        <v>-3.5678869987849318E-7</v>
      </c>
      <c r="J120" s="19">
        <f t="shared" si="97"/>
        <v>2.5120556521739127E-5</v>
      </c>
      <c r="K120" s="19">
        <f t="shared" si="98"/>
        <v>1.741430756986634E-4</v>
      </c>
      <c r="L120" s="1"/>
      <c r="M120" s="19">
        <f t="shared" si="99"/>
        <v>1.5757229647630619E-5</v>
      </c>
      <c r="N120" s="19">
        <f t="shared" si="100"/>
        <v>9.8595236938031593E-3</v>
      </c>
      <c r="O120" s="19">
        <f t="shared" si="101"/>
        <v>3.3765492102065614E-7</v>
      </c>
      <c r="P120" s="19">
        <f t="shared" si="102"/>
        <v>4.4199967091940053E-2</v>
      </c>
      <c r="Q120" s="19">
        <f t="shared" si="103"/>
        <v>0.71785290322580642</v>
      </c>
      <c r="R120" s="19">
        <f t="shared" si="104"/>
        <v>-6.7530984204131228E-2</v>
      </c>
      <c r="S120" s="19">
        <f t="shared" si="105"/>
        <v>7.6858064516129032E-2</v>
      </c>
      <c r="T120" s="19">
        <f t="shared" si="106"/>
        <v>4.4199967091940053E-2</v>
      </c>
      <c r="U120" s="19">
        <f t="shared" si="107"/>
        <v>1.8655434386391249E-3</v>
      </c>
      <c r="V120" s="19">
        <f t="shared" si="108"/>
        <v>1.1480267314702308E-4</v>
      </c>
      <c r="W120" s="19">
        <f t="shared" si="109"/>
        <v>0.35453766707168893</v>
      </c>
      <c r="X120" s="19">
        <f t="shared" si="110"/>
        <v>3.0013770757391656E-16</v>
      </c>
      <c r="Y120" s="53">
        <f t="shared" si="111"/>
        <v>19.173435080426881</v>
      </c>
    </row>
    <row r="121" spans="1:25">
      <c r="A121" t="s">
        <v>1628</v>
      </c>
      <c r="B121" s="9" t="s">
        <v>11</v>
      </c>
      <c r="C121">
        <v>2.36</v>
      </c>
      <c r="D121">
        <v>2</v>
      </c>
      <c r="E121">
        <v>0.3</v>
      </c>
      <c r="F121">
        <v>1.3</v>
      </c>
      <c r="G121">
        <v>0.11</v>
      </c>
      <c r="H121">
        <v>2</v>
      </c>
      <c r="I121" s="70">
        <f t="shared" si="96"/>
        <v>-3.5678869987849318E-7</v>
      </c>
      <c r="J121" s="19">
        <f t="shared" si="97"/>
        <v>1.7127652173913043E-5</v>
      </c>
      <c r="K121" s="19">
        <f t="shared" si="98"/>
        <v>1.741430756986634E-4</v>
      </c>
      <c r="L121" s="1"/>
      <c r="M121" s="19">
        <f t="shared" si="99"/>
        <v>1.5757229647630619E-5</v>
      </c>
      <c r="N121" s="19">
        <f t="shared" si="100"/>
        <v>9.8595236938031593E-3</v>
      </c>
      <c r="O121" s="19">
        <f t="shared" si="101"/>
        <v>3.3765492102065614E-7</v>
      </c>
      <c r="P121" s="19">
        <f t="shared" si="102"/>
        <v>4.4199967091940053E-2</v>
      </c>
      <c r="Q121" s="19">
        <f t="shared" si="103"/>
        <v>0.48944516129032256</v>
      </c>
      <c r="R121" s="19">
        <f t="shared" si="104"/>
        <v>-6.7530984204131228E-2</v>
      </c>
      <c r="S121" s="19">
        <f t="shared" si="105"/>
        <v>5.2403225806451612E-2</v>
      </c>
      <c r="T121" s="19">
        <f t="shared" si="106"/>
        <v>4.4199967091940053E-2</v>
      </c>
      <c r="U121" s="19">
        <f t="shared" si="107"/>
        <v>1.8655434386391249E-3</v>
      </c>
      <c r="V121" s="19">
        <f t="shared" si="108"/>
        <v>1.1480267314702308E-4</v>
      </c>
      <c r="W121" s="19">
        <f t="shared" si="109"/>
        <v>0.35453766707168893</v>
      </c>
      <c r="X121" s="19">
        <f t="shared" si="110"/>
        <v>3.0013770757391656E-16</v>
      </c>
      <c r="Y121" s="53">
        <f t="shared" si="111"/>
        <v>18.339500496583963</v>
      </c>
    </row>
    <row r="122" spans="1:25">
      <c r="A122" s="8" t="s">
        <v>1629</v>
      </c>
      <c r="B122" s="9" t="s">
        <v>11</v>
      </c>
      <c r="I122" s="17"/>
      <c r="J122" s="18"/>
      <c r="K122" s="18"/>
      <c r="L122" s="1"/>
      <c r="M122" s="18"/>
      <c r="N122" s="18"/>
      <c r="O122" s="18"/>
      <c r="P122" s="18"/>
      <c r="Q122" s="18"/>
      <c r="R122" s="18"/>
      <c r="S122" s="18"/>
      <c r="T122" s="18"/>
      <c r="U122" s="18"/>
      <c r="V122" s="18"/>
      <c r="W122" s="18"/>
      <c r="X122" s="18"/>
      <c r="Y122" s="87"/>
    </row>
    <row r="123" spans="1:25">
      <c r="A123" t="s">
        <v>1630</v>
      </c>
      <c r="B123" s="9" t="s">
        <v>11</v>
      </c>
      <c r="C123">
        <v>2.36</v>
      </c>
      <c r="D123">
        <v>2</v>
      </c>
      <c r="E123">
        <v>0.33</v>
      </c>
      <c r="F123">
        <v>1.3</v>
      </c>
      <c r="G123">
        <v>0.11</v>
      </c>
      <c r="H123">
        <v>2</v>
      </c>
      <c r="I123" s="70">
        <f t="shared" ref="I123:I130" si="112">C123*CO2_YLL_charfact</f>
        <v>-3.5678869987849318E-7</v>
      </c>
      <c r="J123" s="19">
        <f t="shared" ref="J123:J130" si="113">E123*NOx_YOLL_Oxidant_charfact/0.46</f>
        <v>1.8840417391304346E-5</v>
      </c>
      <c r="K123" s="19">
        <f t="shared" ref="K123:K130" si="114">G123*PM2.5_YLL_charfact</f>
        <v>1.741430756986634E-4</v>
      </c>
      <c r="L123" s="1"/>
      <c r="M123" s="19">
        <f t="shared" ref="M123:M130" si="115">CO2_severewasting_charfact*C123</f>
        <v>1.5757229647630619E-5</v>
      </c>
      <c r="N123" s="19">
        <f t="shared" ref="N123:N130" si="116">CO2_workingcapacity_charfact*C123</f>
        <v>9.8595236938031593E-3</v>
      </c>
      <c r="O123" s="19">
        <f t="shared" ref="O123:O130" si="117">CO2_diarrhea_charfact*C123</f>
        <v>3.3765492102065614E-7</v>
      </c>
      <c r="P123" s="19">
        <f t="shared" ref="P123:P130" si="118">CO2_crop_charfact*C123</f>
        <v>4.4199967091940053E-2</v>
      </c>
      <c r="Q123" s="19">
        <f t="shared" ref="Q123:Q130" si="119">charnoxcrop/0.62*E123</f>
        <v>0.53838967741935484</v>
      </c>
      <c r="R123" s="19">
        <f t="shared" ref="R123:R130" si="120">CO2_wood_charfact*C123</f>
        <v>-6.7530984204131228E-2</v>
      </c>
      <c r="S123" s="19">
        <f t="shared" ref="S123:S130" si="121">NOx_wood_oxidantcharfact/0.62*E123</f>
        <v>5.7643548387096781E-2</v>
      </c>
      <c r="T123" s="19">
        <f t="shared" ref="T123:T130" si="122">CO2_crop_charfact*C123</f>
        <v>4.4199967091940053E-2</v>
      </c>
      <c r="U123" s="19">
        <f t="shared" ref="U123:U130" si="123">CO2_meat_charfact*C123</f>
        <v>1.8655434386391249E-3</v>
      </c>
      <c r="V123" s="19">
        <f t="shared" ref="V123:V130" si="124">CO2_fish_charfact*C123</f>
        <v>1.1480267314702308E-4</v>
      </c>
      <c r="W123" s="19">
        <f t="shared" ref="W123:W130" si="125">CO2_drinkingwater_charfact*C123</f>
        <v>0.35453766707168893</v>
      </c>
      <c r="X123" s="19">
        <f t="shared" ref="X123:X130" si="126">CO2_NEX_charfact*C123</f>
        <v>3.0013770757391656E-16</v>
      </c>
      <c r="Y123" s="53">
        <f t="shared" ref="Y123:Y130" si="127">(I123+J123+K123+L123)*YLLvalue+M123*severe_wasting_value+N123*working_capacity+O123*diarrhea_value+(P123+Q123)*cropvalue+(R123+S123)*woodvalue+T123*cropvalue+U123*meatvalue+V123*fishvalue+W123*drinkingwatervalue+X123*speciesvalue</f>
        <v>18.518200764550301</v>
      </c>
    </row>
    <row r="124" spans="1:25">
      <c r="A124" t="s">
        <v>1631</v>
      </c>
      <c r="B124" s="9" t="s">
        <v>11</v>
      </c>
      <c r="C124">
        <v>2.36</v>
      </c>
      <c r="D124">
        <v>2</v>
      </c>
      <c r="E124">
        <v>0.57999999999999996</v>
      </c>
      <c r="F124">
        <v>1.3</v>
      </c>
      <c r="G124">
        <v>0.11</v>
      </c>
      <c r="H124">
        <v>2</v>
      </c>
      <c r="I124" s="70">
        <f t="shared" si="112"/>
        <v>-3.5678869987849318E-7</v>
      </c>
      <c r="J124" s="19">
        <f t="shared" si="113"/>
        <v>3.3113460869565214E-5</v>
      </c>
      <c r="K124" s="19">
        <f t="shared" si="114"/>
        <v>1.741430756986634E-4</v>
      </c>
      <c r="L124" s="1"/>
      <c r="M124" s="19">
        <f t="shared" si="115"/>
        <v>1.5757229647630619E-5</v>
      </c>
      <c r="N124" s="19">
        <f t="shared" si="116"/>
        <v>9.8595236938031593E-3</v>
      </c>
      <c r="O124" s="19">
        <f t="shared" si="117"/>
        <v>3.3765492102065614E-7</v>
      </c>
      <c r="P124" s="19">
        <f t="shared" si="118"/>
        <v>4.4199967091940053E-2</v>
      </c>
      <c r="Q124" s="19">
        <f t="shared" si="119"/>
        <v>0.94626064516129027</v>
      </c>
      <c r="R124" s="19">
        <f t="shared" si="120"/>
        <v>-6.7530984204131228E-2</v>
      </c>
      <c r="S124" s="19">
        <f t="shared" si="121"/>
        <v>0.10131290322580645</v>
      </c>
      <c r="T124" s="19">
        <f t="shared" si="122"/>
        <v>4.4199967091940053E-2</v>
      </c>
      <c r="U124" s="19">
        <f t="shared" si="123"/>
        <v>1.8655434386391249E-3</v>
      </c>
      <c r="V124" s="19">
        <f t="shared" si="124"/>
        <v>1.1480267314702308E-4</v>
      </c>
      <c r="W124" s="19">
        <f t="shared" si="125"/>
        <v>0.35453766707168893</v>
      </c>
      <c r="X124" s="19">
        <f t="shared" si="126"/>
        <v>3.0013770757391656E-16</v>
      </c>
      <c r="Y124" s="53">
        <f t="shared" si="127"/>
        <v>20.007369664269792</v>
      </c>
    </row>
    <row r="125" spans="1:25">
      <c r="A125" t="s">
        <v>1632</v>
      </c>
      <c r="B125" s="9" t="s">
        <v>11</v>
      </c>
      <c r="C125">
        <v>2.36</v>
      </c>
      <c r="D125">
        <v>2</v>
      </c>
      <c r="E125">
        <v>0.52</v>
      </c>
      <c r="F125">
        <v>1.5</v>
      </c>
      <c r="G125">
        <v>0.11</v>
      </c>
      <c r="H125">
        <v>2</v>
      </c>
      <c r="I125" s="70">
        <f t="shared" si="112"/>
        <v>-3.5678869987849318E-7</v>
      </c>
      <c r="J125" s="19">
        <f t="shared" si="113"/>
        <v>2.9687930434782608E-5</v>
      </c>
      <c r="K125" s="19">
        <f t="shared" si="114"/>
        <v>1.741430756986634E-4</v>
      </c>
      <c r="L125" s="1"/>
      <c r="M125" s="19">
        <f t="shared" si="115"/>
        <v>1.5757229647630619E-5</v>
      </c>
      <c r="N125" s="19">
        <f t="shared" si="116"/>
        <v>9.8595236938031593E-3</v>
      </c>
      <c r="O125" s="19">
        <f t="shared" si="117"/>
        <v>3.3765492102065614E-7</v>
      </c>
      <c r="P125" s="19">
        <f t="shared" si="118"/>
        <v>4.4199967091940053E-2</v>
      </c>
      <c r="Q125" s="19">
        <f t="shared" si="119"/>
        <v>0.84837161290322582</v>
      </c>
      <c r="R125" s="19">
        <f t="shared" si="120"/>
        <v>-6.7530984204131228E-2</v>
      </c>
      <c r="S125" s="19">
        <f t="shared" si="121"/>
        <v>9.0832258064516141E-2</v>
      </c>
      <c r="T125" s="19">
        <f t="shared" si="122"/>
        <v>4.4199967091940053E-2</v>
      </c>
      <c r="U125" s="19">
        <f t="shared" si="123"/>
        <v>1.8655434386391249E-3</v>
      </c>
      <c r="V125" s="19">
        <f t="shared" si="124"/>
        <v>1.1480267314702308E-4</v>
      </c>
      <c r="W125" s="19">
        <f t="shared" si="125"/>
        <v>0.35453766707168893</v>
      </c>
      <c r="X125" s="19">
        <f t="shared" si="126"/>
        <v>3.0013770757391656E-16</v>
      </c>
      <c r="Y125" s="53">
        <f t="shared" si="127"/>
        <v>19.649969128337119</v>
      </c>
    </row>
    <row r="126" spans="1:25">
      <c r="A126" t="s">
        <v>1633</v>
      </c>
      <c r="B126" s="9" t="s">
        <v>11</v>
      </c>
      <c r="C126">
        <v>2.36</v>
      </c>
      <c r="D126">
        <v>2</v>
      </c>
      <c r="E126">
        <v>0.49</v>
      </c>
      <c r="F126">
        <v>1.2</v>
      </c>
      <c r="G126">
        <v>0.11</v>
      </c>
      <c r="H126">
        <v>2</v>
      </c>
      <c r="I126" s="70">
        <f t="shared" si="112"/>
        <v>-3.5678869987849318E-7</v>
      </c>
      <c r="J126" s="19">
        <f t="shared" si="113"/>
        <v>2.7975165217391301E-5</v>
      </c>
      <c r="K126" s="19">
        <f t="shared" si="114"/>
        <v>1.741430756986634E-4</v>
      </c>
      <c r="L126" s="1"/>
      <c r="M126" s="19">
        <f t="shared" si="115"/>
        <v>1.5757229647630619E-5</v>
      </c>
      <c r="N126" s="19">
        <f t="shared" si="116"/>
        <v>9.8595236938031593E-3</v>
      </c>
      <c r="O126" s="19">
        <f t="shared" si="117"/>
        <v>3.3765492102065614E-7</v>
      </c>
      <c r="P126" s="19">
        <f t="shared" si="118"/>
        <v>4.4199967091940053E-2</v>
      </c>
      <c r="Q126" s="19">
        <f t="shared" si="119"/>
        <v>0.79942709677419355</v>
      </c>
      <c r="R126" s="19">
        <f t="shared" si="120"/>
        <v>-6.7530984204131228E-2</v>
      </c>
      <c r="S126" s="19">
        <f t="shared" si="121"/>
        <v>8.5591935483870965E-2</v>
      </c>
      <c r="T126" s="19">
        <f t="shared" si="122"/>
        <v>4.4199967091940053E-2</v>
      </c>
      <c r="U126" s="19">
        <f t="shared" si="123"/>
        <v>1.8655434386391249E-3</v>
      </c>
      <c r="V126" s="19">
        <f t="shared" si="124"/>
        <v>1.1480267314702308E-4</v>
      </c>
      <c r="W126" s="19">
        <f t="shared" si="125"/>
        <v>0.35453766707168893</v>
      </c>
      <c r="X126" s="19">
        <f t="shared" si="126"/>
        <v>3.0013770757391656E-16</v>
      </c>
      <c r="Y126" s="53">
        <f t="shared" si="127"/>
        <v>19.471268860370778</v>
      </c>
    </row>
    <row r="127" spans="1:25">
      <c r="A127" t="s">
        <v>1634</v>
      </c>
      <c r="B127" s="9" t="s">
        <v>11</v>
      </c>
      <c r="C127">
        <v>2.36</v>
      </c>
      <c r="D127">
        <v>2</v>
      </c>
      <c r="E127">
        <v>0.47599999999999998</v>
      </c>
      <c r="F127">
        <v>1.4</v>
      </c>
      <c r="G127">
        <v>0.11</v>
      </c>
      <c r="H127">
        <v>2</v>
      </c>
      <c r="I127" s="70">
        <f t="shared" si="112"/>
        <v>-3.5678869987849318E-7</v>
      </c>
      <c r="J127" s="19">
        <f t="shared" si="113"/>
        <v>2.7175874782608689E-5</v>
      </c>
      <c r="K127" s="19">
        <f t="shared" si="114"/>
        <v>1.741430756986634E-4</v>
      </c>
      <c r="L127" s="1"/>
      <c r="M127" s="19">
        <f t="shared" si="115"/>
        <v>1.5757229647630619E-5</v>
      </c>
      <c r="N127" s="19">
        <f t="shared" si="116"/>
        <v>9.8595236938031593E-3</v>
      </c>
      <c r="O127" s="19">
        <f t="shared" si="117"/>
        <v>3.3765492102065614E-7</v>
      </c>
      <c r="P127" s="19">
        <f t="shared" si="118"/>
        <v>4.4199967091940053E-2</v>
      </c>
      <c r="Q127" s="19">
        <f t="shared" si="119"/>
        <v>0.77658632258064508</v>
      </c>
      <c r="R127" s="19">
        <f t="shared" si="120"/>
        <v>-6.7530984204131228E-2</v>
      </c>
      <c r="S127" s="19">
        <f t="shared" si="121"/>
        <v>8.3146451612903224E-2</v>
      </c>
      <c r="T127" s="19">
        <f t="shared" si="122"/>
        <v>4.4199967091940053E-2</v>
      </c>
      <c r="U127" s="19">
        <f t="shared" si="123"/>
        <v>1.8655434386391249E-3</v>
      </c>
      <c r="V127" s="19">
        <f t="shared" si="124"/>
        <v>1.1480267314702308E-4</v>
      </c>
      <c r="W127" s="19">
        <f t="shared" si="125"/>
        <v>0.35453766707168893</v>
      </c>
      <c r="X127" s="19">
        <f t="shared" si="126"/>
        <v>3.0013770757391656E-16</v>
      </c>
      <c r="Y127" s="53">
        <f t="shared" si="127"/>
        <v>19.387875401986481</v>
      </c>
    </row>
    <row r="128" spans="1:25">
      <c r="A128" t="s">
        <v>1635</v>
      </c>
      <c r="B128" s="9" t="s">
        <v>11</v>
      </c>
      <c r="C128">
        <v>2.36</v>
      </c>
      <c r="D128">
        <v>2</v>
      </c>
      <c r="E128">
        <v>0.214</v>
      </c>
      <c r="F128">
        <v>1.4</v>
      </c>
      <c r="G128">
        <v>0.11</v>
      </c>
      <c r="H128">
        <v>2</v>
      </c>
      <c r="I128" s="70">
        <f t="shared" si="112"/>
        <v>-3.5678869987849318E-7</v>
      </c>
      <c r="J128" s="19">
        <f t="shared" si="113"/>
        <v>1.2217725217391302E-5</v>
      </c>
      <c r="K128" s="19">
        <f t="shared" si="114"/>
        <v>1.741430756986634E-4</v>
      </c>
      <c r="L128" s="1"/>
      <c r="M128" s="19">
        <f t="shared" si="115"/>
        <v>1.5757229647630619E-5</v>
      </c>
      <c r="N128" s="19">
        <f t="shared" si="116"/>
        <v>9.8595236938031593E-3</v>
      </c>
      <c r="O128" s="19">
        <f t="shared" si="117"/>
        <v>3.3765492102065614E-7</v>
      </c>
      <c r="P128" s="19">
        <f t="shared" si="118"/>
        <v>4.4199967091940053E-2</v>
      </c>
      <c r="Q128" s="19">
        <f t="shared" si="119"/>
        <v>0.34913754838709676</v>
      </c>
      <c r="R128" s="19">
        <f t="shared" si="120"/>
        <v>-6.7530984204131228E-2</v>
      </c>
      <c r="S128" s="19">
        <f t="shared" si="121"/>
        <v>3.7380967741935486E-2</v>
      </c>
      <c r="T128" s="19">
        <f t="shared" si="122"/>
        <v>4.4199967091940053E-2</v>
      </c>
      <c r="U128" s="19">
        <f t="shared" si="123"/>
        <v>1.8655434386391249E-3</v>
      </c>
      <c r="V128" s="19">
        <f t="shared" si="124"/>
        <v>1.1480267314702308E-4</v>
      </c>
      <c r="W128" s="19">
        <f t="shared" si="125"/>
        <v>0.35453766707168893</v>
      </c>
      <c r="X128" s="19">
        <f t="shared" si="126"/>
        <v>3.0013770757391656E-16</v>
      </c>
      <c r="Y128" s="53">
        <f t="shared" si="127"/>
        <v>17.827226395080455</v>
      </c>
    </row>
    <row r="129" spans="1:25">
      <c r="A129" t="s">
        <v>1636</v>
      </c>
      <c r="B129" s="9" t="s">
        <v>11</v>
      </c>
      <c r="C129">
        <v>2.36</v>
      </c>
      <c r="D129">
        <v>2</v>
      </c>
      <c r="E129">
        <v>0.57999999999999996</v>
      </c>
      <c r="F129">
        <v>1.3</v>
      </c>
      <c r="G129">
        <v>0.11</v>
      </c>
      <c r="H129">
        <v>2</v>
      </c>
      <c r="I129" s="70">
        <f t="shared" si="112"/>
        <v>-3.5678869987849318E-7</v>
      </c>
      <c r="J129" s="19">
        <f t="shared" si="113"/>
        <v>3.3113460869565214E-5</v>
      </c>
      <c r="K129" s="19">
        <f t="shared" si="114"/>
        <v>1.741430756986634E-4</v>
      </c>
      <c r="L129" s="1"/>
      <c r="M129" s="19">
        <f t="shared" si="115"/>
        <v>1.5757229647630619E-5</v>
      </c>
      <c r="N129" s="19">
        <f t="shared" si="116"/>
        <v>9.8595236938031593E-3</v>
      </c>
      <c r="O129" s="19">
        <f t="shared" si="117"/>
        <v>3.3765492102065614E-7</v>
      </c>
      <c r="P129" s="19">
        <f t="shared" si="118"/>
        <v>4.4199967091940053E-2</v>
      </c>
      <c r="Q129" s="19">
        <f t="shared" si="119"/>
        <v>0.94626064516129027</v>
      </c>
      <c r="R129" s="19">
        <f t="shared" si="120"/>
        <v>-6.7530984204131228E-2</v>
      </c>
      <c r="S129" s="19">
        <f t="shared" si="121"/>
        <v>0.10131290322580645</v>
      </c>
      <c r="T129" s="19">
        <f t="shared" si="122"/>
        <v>4.4199967091940053E-2</v>
      </c>
      <c r="U129" s="19">
        <f t="shared" si="123"/>
        <v>1.8655434386391249E-3</v>
      </c>
      <c r="V129" s="19">
        <f t="shared" si="124"/>
        <v>1.1480267314702308E-4</v>
      </c>
      <c r="W129" s="19">
        <f t="shared" si="125"/>
        <v>0.35453766707168893</v>
      </c>
      <c r="X129" s="19">
        <f t="shared" si="126"/>
        <v>3.0013770757391656E-16</v>
      </c>
      <c r="Y129" s="53">
        <f t="shared" si="127"/>
        <v>20.007369664269792</v>
      </c>
    </row>
    <row r="130" spans="1:25">
      <c r="A130" t="s">
        <v>1637</v>
      </c>
      <c r="B130" s="9" t="s">
        <v>11</v>
      </c>
      <c r="C130">
        <v>2.36</v>
      </c>
      <c r="D130">
        <v>2</v>
      </c>
      <c r="E130">
        <v>0.57999999999999996</v>
      </c>
      <c r="F130">
        <v>1.3</v>
      </c>
      <c r="G130">
        <v>0.11</v>
      </c>
      <c r="H130">
        <v>2</v>
      </c>
      <c r="I130" s="70">
        <f t="shared" si="112"/>
        <v>-3.5678869987849318E-7</v>
      </c>
      <c r="J130" s="19">
        <f t="shared" si="113"/>
        <v>3.3113460869565214E-5</v>
      </c>
      <c r="K130" s="19">
        <f t="shared" si="114"/>
        <v>1.741430756986634E-4</v>
      </c>
      <c r="L130" s="1"/>
      <c r="M130" s="19">
        <f t="shared" si="115"/>
        <v>1.5757229647630619E-5</v>
      </c>
      <c r="N130" s="19">
        <f t="shared" si="116"/>
        <v>9.8595236938031593E-3</v>
      </c>
      <c r="O130" s="19">
        <f t="shared" si="117"/>
        <v>3.3765492102065614E-7</v>
      </c>
      <c r="P130" s="19">
        <f t="shared" si="118"/>
        <v>4.4199967091940053E-2</v>
      </c>
      <c r="Q130" s="19">
        <f t="shared" si="119"/>
        <v>0.94626064516129027</v>
      </c>
      <c r="R130" s="19">
        <f t="shared" si="120"/>
        <v>-6.7530984204131228E-2</v>
      </c>
      <c r="S130" s="19">
        <f t="shared" si="121"/>
        <v>0.10131290322580645</v>
      </c>
      <c r="T130" s="19">
        <f t="shared" si="122"/>
        <v>4.4199967091940053E-2</v>
      </c>
      <c r="U130" s="19">
        <f t="shared" si="123"/>
        <v>1.8655434386391249E-3</v>
      </c>
      <c r="V130" s="19">
        <f t="shared" si="124"/>
        <v>1.1480267314702308E-4</v>
      </c>
      <c r="W130" s="19">
        <f t="shared" si="125"/>
        <v>0.35453766707168893</v>
      </c>
      <c r="X130" s="19">
        <f t="shared" si="126"/>
        <v>3.0013770757391656E-16</v>
      </c>
      <c r="Y130" s="53">
        <f t="shared" si="127"/>
        <v>20.007369664269792</v>
      </c>
    </row>
    <row r="131" spans="1:25">
      <c r="A131" s="8" t="s">
        <v>1638</v>
      </c>
      <c r="B131" s="9" t="s">
        <v>11</v>
      </c>
      <c r="I131" s="17"/>
      <c r="J131" s="18"/>
      <c r="K131" s="18"/>
      <c r="L131" s="1"/>
      <c r="M131" s="18"/>
      <c r="N131" s="18"/>
      <c r="O131" s="18"/>
      <c r="P131" s="18"/>
      <c r="Q131" s="18"/>
      <c r="R131" s="18"/>
      <c r="S131" s="18"/>
      <c r="T131" s="18"/>
      <c r="U131" s="18"/>
      <c r="V131" s="18"/>
      <c r="W131" s="18"/>
      <c r="X131" s="18"/>
      <c r="Y131" s="87"/>
    </row>
    <row r="132" spans="1:25">
      <c r="A132" s="9" t="s">
        <v>1639</v>
      </c>
      <c r="B132" s="9" t="s">
        <v>11</v>
      </c>
      <c r="C132">
        <v>2.36</v>
      </c>
      <c r="D132">
        <v>2</v>
      </c>
      <c r="E132">
        <v>0.3</v>
      </c>
      <c r="F132">
        <v>1.4</v>
      </c>
      <c r="G132">
        <v>0.11</v>
      </c>
      <c r="H132">
        <v>2</v>
      </c>
      <c r="I132" s="70">
        <f>C132*CO2_YLL_charfact</f>
        <v>-3.5678869987849318E-7</v>
      </c>
      <c r="J132" s="19">
        <f>E132*NOx_YOLL_Oxidant_charfact/0.46</f>
        <v>1.7127652173913043E-5</v>
      </c>
      <c r="K132" s="19">
        <f>G132*PM2.5_YLL_charfact</f>
        <v>1.741430756986634E-4</v>
      </c>
      <c r="L132" s="1"/>
      <c r="M132" s="19">
        <f>CO2_severewasting_charfact*C132</f>
        <v>1.5757229647630619E-5</v>
      </c>
      <c r="N132" s="19">
        <f>CO2_workingcapacity_charfact*C132</f>
        <v>9.8595236938031593E-3</v>
      </c>
      <c r="O132" s="19">
        <f>CO2_diarrhea_charfact*C132</f>
        <v>3.3765492102065614E-7</v>
      </c>
      <c r="P132" s="19">
        <f>CO2_crop_charfact*C132</f>
        <v>4.4199967091940053E-2</v>
      </c>
      <c r="Q132" s="19">
        <f>charnoxcrop/0.62*E132</f>
        <v>0.48944516129032256</v>
      </c>
      <c r="R132" s="19">
        <f>CO2_wood_charfact*C132</f>
        <v>-6.7530984204131228E-2</v>
      </c>
      <c r="S132" s="19">
        <f>NOx_wood_oxidantcharfact/0.62*E132</f>
        <v>5.2403225806451612E-2</v>
      </c>
      <c r="T132" s="19">
        <f>CO2_crop_charfact*C132</f>
        <v>4.4199967091940053E-2</v>
      </c>
      <c r="U132" s="19">
        <f>CO2_meat_charfact*C132</f>
        <v>1.8655434386391249E-3</v>
      </c>
      <c r="V132" s="19">
        <f>CO2_fish_charfact*C132</f>
        <v>1.1480267314702308E-4</v>
      </c>
      <c r="W132" s="19">
        <f>CO2_drinkingwater_charfact*C132</f>
        <v>0.35453766707168893</v>
      </c>
      <c r="X132" s="19">
        <f>CO2_NEX_charfact*C132</f>
        <v>3.0013770757391656E-16</v>
      </c>
      <c r="Y132" s="53">
        <f>(I132+J132+K132+L132)*YLLvalue+M132*severe_wasting_value+N132*working_capacity+O132*diarrhea_value+(P132+Q132)*cropvalue+(R132+S132)*woodvalue+T132*cropvalue+U132*meatvalue+V132*fishvalue+W132*drinkingwatervalue+X132*speciesvalue</f>
        <v>18.339500496583963</v>
      </c>
    </row>
    <row r="133" spans="1:25">
      <c r="A133" s="9" t="s">
        <v>1640</v>
      </c>
      <c r="B133" s="9" t="s">
        <v>11</v>
      </c>
      <c r="C133">
        <v>2.36</v>
      </c>
      <c r="D133">
        <v>2</v>
      </c>
      <c r="E133">
        <v>0.38700000000000001</v>
      </c>
      <c r="F133">
        <v>1.4</v>
      </c>
      <c r="G133">
        <v>0.11</v>
      </c>
      <c r="H133">
        <v>2</v>
      </c>
      <c r="I133" s="70">
        <f>C133*CO2_YLL_charfact</f>
        <v>-3.5678869987849318E-7</v>
      </c>
      <c r="J133" s="19">
        <f>E133*NOx_YOLL_Oxidant_charfact/0.46</f>
        <v>2.2094671304347823E-5</v>
      </c>
      <c r="K133" s="19">
        <f>G133*PM2.5_YLL_charfact</f>
        <v>1.741430756986634E-4</v>
      </c>
      <c r="L133" s="1"/>
      <c r="M133" s="19">
        <f>CO2_severewasting_charfact*C133</f>
        <v>1.5757229647630619E-5</v>
      </c>
      <c r="N133" s="19">
        <f>CO2_workingcapacity_charfact*C133</f>
        <v>9.8595236938031593E-3</v>
      </c>
      <c r="O133" s="19">
        <f>CO2_diarrhea_charfact*C133</f>
        <v>3.3765492102065614E-7</v>
      </c>
      <c r="P133" s="19">
        <f>CO2_crop_charfact*C133</f>
        <v>4.4199967091940053E-2</v>
      </c>
      <c r="Q133" s="19">
        <f>charnoxcrop/0.62*E133</f>
        <v>0.63138425806451615</v>
      </c>
      <c r="R133" s="19">
        <f>CO2_wood_charfact*C133</f>
        <v>-6.7530984204131228E-2</v>
      </c>
      <c r="S133" s="19">
        <f>NOx_wood_oxidantcharfact/0.62*E133</f>
        <v>6.7600161290322591E-2</v>
      </c>
      <c r="T133" s="19">
        <f>CO2_crop_charfact*C133</f>
        <v>4.4199967091940053E-2</v>
      </c>
      <c r="U133" s="19">
        <f>CO2_meat_charfact*C133</f>
        <v>1.8655434386391249E-3</v>
      </c>
      <c r="V133" s="19">
        <f>CO2_fish_charfact*C133</f>
        <v>1.1480267314702308E-4</v>
      </c>
      <c r="W133" s="19">
        <f>CO2_drinkingwater_charfact*C133</f>
        <v>0.35453766707168893</v>
      </c>
      <c r="X133" s="19">
        <f>CO2_NEX_charfact*C133</f>
        <v>3.0013770757391656E-16</v>
      </c>
      <c r="Y133" s="53">
        <f>(I133+J133+K133+L133)*YLLvalue+M133*severe_wasting_value+N133*working_capacity+O133*diarrhea_value+(P133+Q133)*cropvalue+(R133+S133)*woodvalue+T133*cropvalue+U133*meatvalue+V133*fishvalue+W133*drinkingwatervalue+X133*speciesvalue</f>
        <v>18.857731273686344</v>
      </c>
    </row>
    <row r="134" spans="1:25">
      <c r="A134" s="9" t="s">
        <v>1641</v>
      </c>
      <c r="B134" s="9" t="s">
        <v>11</v>
      </c>
      <c r="C134">
        <v>2.36</v>
      </c>
      <c r="D134">
        <v>2</v>
      </c>
      <c r="E134">
        <v>0.436</v>
      </c>
      <c r="F134">
        <v>1.4</v>
      </c>
      <c r="G134">
        <v>0.11</v>
      </c>
      <c r="H134">
        <v>2</v>
      </c>
      <c r="I134" s="70">
        <f>C134*CO2_YLL_charfact</f>
        <v>-3.5678869987849318E-7</v>
      </c>
      <c r="J134" s="19">
        <f>E134*NOx_YOLL_Oxidant_charfact/0.46</f>
        <v>2.4892187826086954E-5</v>
      </c>
      <c r="K134" s="19">
        <f>G134*PM2.5_YLL_charfact</f>
        <v>1.741430756986634E-4</v>
      </c>
      <c r="L134" s="1"/>
      <c r="M134" s="19">
        <f>CO2_severewasting_charfact*C134</f>
        <v>1.5757229647630619E-5</v>
      </c>
      <c r="N134" s="19">
        <f>CO2_workingcapacity_charfact*C134</f>
        <v>9.8595236938031593E-3</v>
      </c>
      <c r="O134" s="19">
        <f>CO2_diarrhea_charfact*C134</f>
        <v>3.3765492102065614E-7</v>
      </c>
      <c r="P134" s="19">
        <f>CO2_crop_charfact*C134</f>
        <v>4.4199967091940053E-2</v>
      </c>
      <c r="Q134" s="19">
        <f>charnoxcrop/0.62*E134</f>
        <v>0.71132696774193549</v>
      </c>
      <c r="R134" s="19">
        <f>CO2_wood_charfact*C134</f>
        <v>-6.7530984204131228E-2</v>
      </c>
      <c r="S134" s="19">
        <f>NOx_wood_oxidantcharfact/0.62*E134</f>
        <v>7.6159354838709684E-2</v>
      </c>
      <c r="T134" s="19">
        <f>CO2_crop_charfact*C134</f>
        <v>4.4199967091940053E-2</v>
      </c>
      <c r="U134" s="19">
        <f>CO2_meat_charfact*C134</f>
        <v>1.8655434386391249E-3</v>
      </c>
      <c r="V134" s="19">
        <f>CO2_fish_charfact*C134</f>
        <v>1.1480267314702308E-4</v>
      </c>
      <c r="W134" s="19">
        <f>CO2_drinkingwater_charfact*C134</f>
        <v>0.35453766707168893</v>
      </c>
      <c r="X134" s="19">
        <f>CO2_NEX_charfact*C134</f>
        <v>3.0013770757391656E-16</v>
      </c>
      <c r="Y134" s="53">
        <f>(I134+J134+K134+L134)*YLLvalue+M134*severe_wasting_value+N134*working_capacity+O134*diarrhea_value+(P134+Q134)*cropvalue+(R134+S134)*woodvalue+T134*cropvalue+U134*meatvalue+V134*fishvalue+W134*drinkingwatervalue+X134*speciesvalue</f>
        <v>19.149608378031363</v>
      </c>
    </row>
    <row r="135" spans="1:25">
      <c r="A135" s="9" t="s">
        <v>1642</v>
      </c>
      <c r="B135" s="9" t="s">
        <v>11</v>
      </c>
      <c r="C135">
        <v>2.36</v>
      </c>
      <c r="D135">
        <v>2</v>
      </c>
      <c r="E135">
        <v>0.438</v>
      </c>
      <c r="F135">
        <v>1.4</v>
      </c>
      <c r="G135">
        <v>0.11</v>
      </c>
      <c r="H135">
        <v>2</v>
      </c>
      <c r="I135" s="70">
        <f>C135*CO2_YLL_charfact</f>
        <v>-3.5678869987849318E-7</v>
      </c>
      <c r="J135" s="19">
        <f>E135*NOx_YOLL_Oxidant_charfact/0.46</f>
        <v>2.500637217391304E-5</v>
      </c>
      <c r="K135" s="19">
        <f>G135*PM2.5_YLL_charfact</f>
        <v>1.741430756986634E-4</v>
      </c>
      <c r="L135" s="1"/>
      <c r="M135" s="19">
        <f>CO2_severewasting_charfact*C135</f>
        <v>1.5757229647630619E-5</v>
      </c>
      <c r="N135" s="19">
        <f>CO2_workingcapacity_charfact*C135</f>
        <v>9.8595236938031593E-3</v>
      </c>
      <c r="O135" s="19">
        <f>CO2_diarrhea_charfact*C135</f>
        <v>3.3765492102065614E-7</v>
      </c>
      <c r="P135" s="19">
        <f>CO2_crop_charfact*C135</f>
        <v>4.4199967091940053E-2</v>
      </c>
      <c r="Q135" s="19">
        <f>charnoxcrop/0.62*E135</f>
        <v>0.71458993548387095</v>
      </c>
      <c r="R135" s="19">
        <f>CO2_wood_charfact*C135</f>
        <v>-6.7530984204131228E-2</v>
      </c>
      <c r="S135" s="19">
        <f>NOx_wood_oxidantcharfact/0.62*E135</f>
        <v>7.6508709677419351E-2</v>
      </c>
      <c r="T135" s="19">
        <f>CO2_crop_charfact*C135</f>
        <v>4.4199967091940053E-2</v>
      </c>
      <c r="U135" s="19">
        <f>CO2_meat_charfact*C135</f>
        <v>1.8655434386391249E-3</v>
      </c>
      <c r="V135" s="19">
        <f>CO2_fish_charfact*C135</f>
        <v>1.1480267314702308E-4</v>
      </c>
      <c r="W135" s="19">
        <f>CO2_drinkingwater_charfact*C135</f>
        <v>0.35453766707168893</v>
      </c>
      <c r="X135" s="19">
        <f>CO2_NEX_charfact*C135</f>
        <v>3.0013770757391656E-16</v>
      </c>
      <c r="Y135" s="53">
        <f>(I135+J135+K135+L135)*YLLvalue+M135*severe_wasting_value+N135*working_capacity+O135*diarrhea_value+(P135+Q135)*cropvalue+(R135+S135)*woodvalue+T135*cropvalue+U135*meatvalue+V135*fishvalue+W135*drinkingwatervalue+X135*speciesvalue</f>
        <v>19.161521729229122</v>
      </c>
    </row>
    <row r="136" spans="1:25">
      <c r="A136" s="9" t="s">
        <v>1643</v>
      </c>
      <c r="B136" s="9" t="s">
        <v>11</v>
      </c>
      <c r="C136">
        <v>2.36</v>
      </c>
      <c r="D136">
        <v>2</v>
      </c>
      <c r="E136">
        <v>0.36799999999999999</v>
      </c>
      <c r="F136">
        <v>1.4</v>
      </c>
      <c r="G136">
        <v>0.11</v>
      </c>
      <c r="H136">
        <v>2</v>
      </c>
      <c r="I136" s="70">
        <f>C136*CO2_YLL_charfact</f>
        <v>-3.5678869987849318E-7</v>
      </c>
      <c r="J136" s="19">
        <f>E136*NOx_YOLL_Oxidant_charfact/0.46</f>
        <v>2.1009919999999998E-5</v>
      </c>
      <c r="K136" s="19">
        <f>G136*PM2.5_YLL_charfact</f>
        <v>1.741430756986634E-4</v>
      </c>
      <c r="L136" s="1"/>
      <c r="M136" s="19">
        <f>CO2_severewasting_charfact*C136</f>
        <v>1.5757229647630619E-5</v>
      </c>
      <c r="N136" s="19">
        <f>CO2_workingcapacity_charfact*C136</f>
        <v>9.8595236938031593E-3</v>
      </c>
      <c r="O136" s="19">
        <f>CO2_diarrhea_charfact*C136</f>
        <v>3.3765492102065614E-7</v>
      </c>
      <c r="P136" s="19">
        <f>CO2_crop_charfact*C136</f>
        <v>4.4199967091940053E-2</v>
      </c>
      <c r="Q136" s="19">
        <f>charnoxcrop/0.62*E136</f>
        <v>0.60038606451612908</v>
      </c>
      <c r="R136" s="19">
        <f>CO2_wood_charfact*C136</f>
        <v>-6.7530984204131228E-2</v>
      </c>
      <c r="S136" s="19">
        <f>NOx_wood_oxidantcharfact/0.62*E136</f>
        <v>6.4281290322580648E-2</v>
      </c>
      <c r="T136" s="19">
        <f>CO2_crop_charfact*C136</f>
        <v>4.4199967091940053E-2</v>
      </c>
      <c r="U136" s="19">
        <f>CO2_meat_charfact*C136</f>
        <v>1.8655434386391249E-3</v>
      </c>
      <c r="V136" s="19">
        <f>CO2_fish_charfact*C136</f>
        <v>1.1480267314702308E-4</v>
      </c>
      <c r="W136" s="19">
        <f>CO2_drinkingwater_charfact*C136</f>
        <v>0.35453766707168893</v>
      </c>
      <c r="X136" s="19">
        <f>CO2_NEX_charfact*C136</f>
        <v>3.0013770757391656E-16</v>
      </c>
      <c r="Y136" s="53">
        <f>(I136+J136+K136+L136)*YLLvalue+M136*severe_wasting_value+N136*working_capacity+O136*diarrhea_value+(P136+Q136)*cropvalue+(R136+S136)*woodvalue+T136*cropvalue+U136*meatvalue+V136*fishvalue+W136*drinkingwatervalue+X136*speciesvalue</f>
        <v>18.744554437307659</v>
      </c>
    </row>
    <row r="137" spans="1:25">
      <c r="A137" s="8" t="s">
        <v>1644</v>
      </c>
      <c r="B137" s="9" t="s">
        <v>11</v>
      </c>
      <c r="I137" s="17"/>
      <c r="J137" s="18"/>
      <c r="K137" s="18"/>
      <c r="L137" s="1"/>
      <c r="M137" s="18"/>
      <c r="N137" s="18"/>
      <c r="O137" s="18"/>
      <c r="P137" s="18"/>
      <c r="Q137" s="18"/>
      <c r="R137" s="18"/>
      <c r="S137" s="18"/>
      <c r="T137" s="18"/>
      <c r="U137" s="18"/>
      <c r="V137" s="18"/>
      <c r="W137" s="18"/>
      <c r="X137" s="18"/>
      <c r="Y137" s="87"/>
    </row>
    <row r="138" spans="1:25">
      <c r="A138" t="s">
        <v>1645</v>
      </c>
      <c r="B138" s="9" t="s">
        <v>11</v>
      </c>
      <c r="C138">
        <v>2.36</v>
      </c>
      <c r="D138">
        <v>2</v>
      </c>
      <c r="E138">
        <v>3.2000000000000001E-2</v>
      </c>
      <c r="F138">
        <v>1.4</v>
      </c>
      <c r="G138">
        <v>0.11</v>
      </c>
      <c r="H138">
        <v>2</v>
      </c>
      <c r="I138" s="70">
        <f>C138*CO2_YLL_charfact</f>
        <v>-3.5678869987849318E-7</v>
      </c>
      <c r="J138" s="19">
        <f>E138*NOx_YOLL_Oxidant_charfact/0.46</f>
        <v>1.8269495652173912E-6</v>
      </c>
      <c r="K138" s="19">
        <f>G138*PM2.5_YLL_charfact</f>
        <v>1.741430756986634E-4</v>
      </c>
      <c r="L138" s="1"/>
      <c r="M138" s="19">
        <f>CO2_severewasting_charfact*C138</f>
        <v>1.5757229647630619E-5</v>
      </c>
      <c r="N138" s="19">
        <f>CO2_workingcapacity_charfact*C138</f>
        <v>9.8595236938031593E-3</v>
      </c>
      <c r="O138" s="19">
        <f>CO2_diarrhea_charfact*C138</f>
        <v>3.3765492102065614E-7</v>
      </c>
      <c r="P138" s="19">
        <f>CO2_crop_charfact*C138</f>
        <v>4.4199967091940053E-2</v>
      </c>
      <c r="Q138" s="19">
        <f>charnoxcrop/0.62*E138</f>
        <v>5.2207483870967741E-2</v>
      </c>
      <c r="R138" s="19">
        <f>CO2_wood_charfact*C138</f>
        <v>-6.7530984204131228E-2</v>
      </c>
      <c r="S138" s="19">
        <f>NOx_wood_oxidantcharfact/0.62*E138</f>
        <v>5.5896774193548394E-3</v>
      </c>
      <c r="T138" s="19">
        <f>CO2_crop_charfact*C138</f>
        <v>4.4199967091940053E-2</v>
      </c>
      <c r="U138" s="19">
        <f>CO2_meat_charfact*C138</f>
        <v>1.8655434386391249E-3</v>
      </c>
      <c r="V138" s="19">
        <f>CO2_fish_charfact*C138</f>
        <v>1.1480267314702308E-4</v>
      </c>
      <c r="W138" s="19">
        <f>CO2_drinkingwater_charfact*C138</f>
        <v>0.35453766707168893</v>
      </c>
      <c r="X138" s="19">
        <f>CO2_NEX_charfact*C138</f>
        <v>3.0013770757391656E-16</v>
      </c>
      <c r="Y138" s="53">
        <f>(I138+J138+K138+L138)*YLLvalue+M138*severe_wasting_value+N138*working_capacity+O138*diarrhea_value+(P138+Q138)*cropvalue+(R138+S138)*woodvalue+T138*cropvalue+U138*meatvalue+V138*fishvalue+W138*drinkingwatervalue+X138*speciesvalue</f>
        <v>16.743111436084661</v>
      </c>
    </row>
    <row r="139" spans="1:25">
      <c r="A139" t="s">
        <v>1646</v>
      </c>
      <c r="B139" s="9" t="s">
        <v>11</v>
      </c>
      <c r="C139">
        <v>2.36</v>
      </c>
      <c r="D139">
        <v>2</v>
      </c>
      <c r="E139">
        <v>0.15</v>
      </c>
      <c r="F139">
        <v>1.2</v>
      </c>
      <c r="G139">
        <v>0.11</v>
      </c>
      <c r="H139">
        <v>2</v>
      </c>
      <c r="I139" s="70">
        <f>C139*CO2_YLL_charfact</f>
        <v>-3.5678869987849318E-7</v>
      </c>
      <c r="J139" s="19">
        <f>E139*NOx_YOLL_Oxidant_charfact/0.46</f>
        <v>8.5638260869565213E-6</v>
      </c>
      <c r="K139" s="19">
        <f>G139*PM2.5_YLL_charfact</f>
        <v>1.741430756986634E-4</v>
      </c>
      <c r="L139" s="1"/>
      <c r="M139" s="19">
        <f>CO2_severewasting_charfact*C139</f>
        <v>1.5757229647630619E-5</v>
      </c>
      <c r="N139" s="19">
        <f>CO2_workingcapacity_charfact*C139</f>
        <v>9.8595236938031593E-3</v>
      </c>
      <c r="O139" s="19">
        <f>CO2_diarrhea_charfact*C139</f>
        <v>3.3765492102065614E-7</v>
      </c>
      <c r="P139" s="19">
        <f>CO2_crop_charfact*C139</f>
        <v>4.4199967091940053E-2</v>
      </c>
      <c r="Q139" s="19">
        <f>charnoxcrop/0.62*E139</f>
        <v>0.24472258064516128</v>
      </c>
      <c r="R139" s="19">
        <f>CO2_wood_charfact*C139</f>
        <v>-6.7530984204131228E-2</v>
      </c>
      <c r="S139" s="19">
        <f>NOx_wood_oxidantcharfact/0.62*E139</f>
        <v>2.6201612903225806E-2</v>
      </c>
      <c r="T139" s="19">
        <f>CO2_crop_charfact*C139</f>
        <v>4.4199967091940053E-2</v>
      </c>
      <c r="U139" s="19">
        <f>CO2_meat_charfact*C139</f>
        <v>1.8655434386391249E-3</v>
      </c>
      <c r="V139" s="19">
        <f>CO2_fish_charfact*C139</f>
        <v>1.1480267314702308E-4</v>
      </c>
      <c r="W139" s="19">
        <f>CO2_drinkingwater_charfact*C139</f>
        <v>0.35453766707168893</v>
      </c>
      <c r="X139" s="19">
        <f>CO2_NEX_charfact*C139</f>
        <v>3.0013770757391656E-16</v>
      </c>
      <c r="Y139" s="53">
        <f>(I139+J139+K139+L139)*YLLvalue+M139*severe_wasting_value+N139*working_capacity+O139*diarrhea_value+(P139+Q139)*cropvalue+(R139+S139)*woodvalue+T139*cropvalue+U139*meatvalue+V139*fishvalue+W139*drinkingwatervalue+X139*speciesvalue</f>
        <v>17.445999156752265</v>
      </c>
    </row>
    <row r="140" spans="1:25">
      <c r="A140" t="s">
        <v>1647</v>
      </c>
      <c r="B140" s="9" t="s">
        <v>11</v>
      </c>
      <c r="C140">
        <v>2.36</v>
      </c>
      <c r="D140">
        <v>2</v>
      </c>
      <c r="E140">
        <v>0.15</v>
      </c>
      <c r="F140">
        <v>1.4</v>
      </c>
      <c r="G140">
        <v>0.11</v>
      </c>
      <c r="H140">
        <v>2</v>
      </c>
      <c r="I140" s="70">
        <f>C140*CO2_YLL_charfact</f>
        <v>-3.5678869987849318E-7</v>
      </c>
      <c r="J140" s="19">
        <f>E140*NOx_YOLL_Oxidant_charfact/0.46</f>
        <v>8.5638260869565213E-6</v>
      </c>
      <c r="K140" s="19">
        <f>G140*PM2.5_YLL_charfact</f>
        <v>1.741430756986634E-4</v>
      </c>
      <c r="L140" s="1"/>
      <c r="M140" s="19">
        <f>CO2_severewasting_charfact*C140</f>
        <v>1.5757229647630619E-5</v>
      </c>
      <c r="N140" s="19">
        <f>CO2_workingcapacity_charfact*C140</f>
        <v>9.8595236938031593E-3</v>
      </c>
      <c r="O140" s="19">
        <f>CO2_diarrhea_charfact*C140</f>
        <v>3.3765492102065614E-7</v>
      </c>
      <c r="P140" s="19">
        <f>CO2_crop_charfact*C140</f>
        <v>4.4199967091940053E-2</v>
      </c>
      <c r="Q140" s="19">
        <f>charnoxcrop/0.62*E140</f>
        <v>0.24472258064516128</v>
      </c>
      <c r="R140" s="19">
        <f>CO2_wood_charfact*C140</f>
        <v>-6.7530984204131228E-2</v>
      </c>
      <c r="S140" s="19">
        <f>NOx_wood_oxidantcharfact/0.62*E140</f>
        <v>2.6201612903225806E-2</v>
      </c>
      <c r="T140" s="19">
        <f>CO2_crop_charfact*C140</f>
        <v>4.4199967091940053E-2</v>
      </c>
      <c r="U140" s="19">
        <f>CO2_meat_charfact*C140</f>
        <v>1.8655434386391249E-3</v>
      </c>
      <c r="V140" s="19">
        <f>CO2_fish_charfact*C140</f>
        <v>1.1480267314702308E-4</v>
      </c>
      <c r="W140" s="19">
        <f>CO2_drinkingwater_charfact*C140</f>
        <v>0.35453766707168893</v>
      </c>
      <c r="X140" s="19">
        <f>CO2_NEX_charfact*C140</f>
        <v>3.0013770757391656E-16</v>
      </c>
      <c r="Y140" s="53">
        <f>(I140+J140+K140+L140)*YLLvalue+M140*severe_wasting_value+N140*working_capacity+O140*diarrhea_value+(P140+Q140)*cropvalue+(R140+S140)*woodvalue+T140*cropvalue+U140*meatvalue+V140*fishvalue+W140*drinkingwatervalue+X140*speciesvalue</f>
        <v>17.445999156752265</v>
      </c>
    </row>
    <row r="141" spans="1:25">
      <c r="A141" s="8" t="s">
        <v>1648</v>
      </c>
      <c r="B141" s="9" t="s">
        <v>11</v>
      </c>
      <c r="I141" s="17"/>
      <c r="J141" s="18"/>
      <c r="K141" s="18"/>
      <c r="L141" s="1"/>
      <c r="M141" s="18"/>
      <c r="N141" s="18"/>
      <c r="O141" s="18"/>
      <c r="P141" s="18"/>
      <c r="Q141" s="18"/>
      <c r="R141" s="18"/>
      <c r="S141" s="18"/>
      <c r="T141" s="18"/>
      <c r="U141" s="18"/>
      <c r="V141" s="18"/>
      <c r="W141" s="18"/>
      <c r="X141" s="18"/>
      <c r="Y141" s="87"/>
    </row>
    <row r="142" spans="1:25">
      <c r="A142" t="s">
        <v>1649</v>
      </c>
      <c r="B142" s="9" t="s">
        <v>11</v>
      </c>
      <c r="C142">
        <v>2.36</v>
      </c>
      <c r="D142">
        <v>2</v>
      </c>
      <c r="E142">
        <v>1.56</v>
      </c>
      <c r="F142">
        <v>1.3</v>
      </c>
      <c r="G142">
        <v>7.1999999999999995E-2</v>
      </c>
      <c r="H142">
        <v>2</v>
      </c>
      <c r="I142" s="70">
        <f>C142*CO2_YLL_charfact</f>
        <v>-3.5678869987849318E-7</v>
      </c>
      <c r="J142" s="19">
        <f t="shared" ref="J142:J154" si="128">E142*NOx_YOLL_Oxidant_charfact/0.46</f>
        <v>8.9063791304347823E-5</v>
      </c>
      <c r="K142" s="19">
        <f>G142*PM2.5_YLL_charfact</f>
        <v>1.1398455863912514E-4</v>
      </c>
      <c r="L142" s="1"/>
      <c r="M142" s="19">
        <f t="shared" ref="M142:M154" si="129">CO2_severewasting_charfact*C142</f>
        <v>1.5757229647630619E-5</v>
      </c>
      <c r="N142" s="19">
        <f t="shared" ref="N142:N154" si="130">CO2_workingcapacity_charfact*C142</f>
        <v>9.8595236938031593E-3</v>
      </c>
      <c r="O142" s="19">
        <f t="shared" ref="O142:O154" si="131">CO2_diarrhea_charfact*C142</f>
        <v>3.3765492102065614E-7</v>
      </c>
      <c r="P142" s="19">
        <f t="shared" ref="P142:P154" si="132">CO2_crop_charfact*C142</f>
        <v>4.4199967091940053E-2</v>
      </c>
      <c r="Q142" s="19">
        <f t="shared" ref="Q142:Q154" si="133">charnoxcrop/0.62*E142</f>
        <v>2.5451148387096776</v>
      </c>
      <c r="R142" s="19">
        <f t="shared" ref="R142:R154" si="134">CO2_wood_charfact*C142</f>
        <v>-6.7530984204131228E-2</v>
      </c>
      <c r="S142" s="19">
        <f t="shared" ref="S142:S154" si="135">NOx_wood_oxidantcharfact/0.62*E142</f>
        <v>0.2724967741935484</v>
      </c>
      <c r="T142" s="19">
        <f t="shared" ref="T142:T154" si="136">CO2_crop_charfact*C142</f>
        <v>4.4199967091940053E-2</v>
      </c>
      <c r="U142" s="19">
        <f t="shared" ref="U142:U154" si="137">CO2_meat_charfact*C142</f>
        <v>1.8655434386391249E-3</v>
      </c>
      <c r="V142" s="19">
        <f t="shared" ref="V142:V154" si="138">CO2_fish_charfact*C142</f>
        <v>1.1480267314702308E-4</v>
      </c>
      <c r="W142" s="19">
        <f t="shared" ref="W142:W154" si="139">CO2_drinkingwater_charfact*C142</f>
        <v>0.35453766707168893</v>
      </c>
      <c r="X142" s="19">
        <f t="shared" ref="X142:X154" si="140">CO2_NEX_charfact*C142</f>
        <v>3.0013770757391656E-16</v>
      </c>
      <c r="Y142" s="53">
        <f t="shared" ref="Y142:Y154" si="141">(I142+J142+K142+L142)*YLLvalue+M142*severe_wasting_value+N142*working_capacity+O142*diarrhea_value+(P142+Q142)*cropvalue+(R142+S142)*woodvalue+T142*cropvalue+U142*meatvalue+V142*fishvalue+W142*drinkingwatervalue+X142*speciesvalue</f>
        <v>20.346423291928417</v>
      </c>
    </row>
    <row r="143" spans="1:25">
      <c r="A143" t="s">
        <v>1650</v>
      </c>
      <c r="B143" s="9" t="s">
        <v>11</v>
      </c>
      <c r="C143">
        <v>2.36</v>
      </c>
      <c r="D143">
        <v>2</v>
      </c>
      <c r="E143">
        <v>0.62</v>
      </c>
      <c r="F143">
        <v>1.1000000000000001</v>
      </c>
      <c r="G143">
        <v>0.11</v>
      </c>
      <c r="H143">
        <v>2</v>
      </c>
      <c r="I143" s="70">
        <f>C143*CO2_YLL_charfact</f>
        <v>-3.5678869987849318E-7</v>
      </c>
      <c r="J143" s="19">
        <f t="shared" si="128"/>
        <v>3.5397147826086956E-5</v>
      </c>
      <c r="K143" s="19">
        <f>G143*PM2.5_YLL_charfact</f>
        <v>1.741430756986634E-4</v>
      </c>
      <c r="L143" s="1"/>
      <c r="M143" s="19">
        <f t="shared" si="129"/>
        <v>1.5757229647630619E-5</v>
      </c>
      <c r="N143" s="19">
        <f t="shared" si="130"/>
        <v>9.8595236938031593E-3</v>
      </c>
      <c r="O143" s="19">
        <f t="shared" si="131"/>
        <v>3.3765492102065614E-7</v>
      </c>
      <c r="P143" s="19">
        <f t="shared" si="132"/>
        <v>4.4199967091940053E-2</v>
      </c>
      <c r="Q143" s="19">
        <f t="shared" si="133"/>
        <v>1.01152</v>
      </c>
      <c r="R143" s="19">
        <f t="shared" si="134"/>
        <v>-6.7530984204131228E-2</v>
      </c>
      <c r="S143" s="19">
        <f t="shared" si="135"/>
        <v>0.10830000000000001</v>
      </c>
      <c r="T143" s="19">
        <f t="shared" si="136"/>
        <v>4.4199967091940053E-2</v>
      </c>
      <c r="U143" s="19">
        <f t="shared" si="137"/>
        <v>1.8655434386391249E-3</v>
      </c>
      <c r="V143" s="19">
        <f t="shared" si="138"/>
        <v>1.1480267314702308E-4</v>
      </c>
      <c r="W143" s="19">
        <f t="shared" si="139"/>
        <v>0.35453766707168893</v>
      </c>
      <c r="X143" s="19">
        <f t="shared" si="140"/>
        <v>3.0013770757391656E-16</v>
      </c>
      <c r="Y143" s="53">
        <f t="shared" si="141"/>
        <v>20.245636688224913</v>
      </c>
    </row>
    <row r="144" spans="1:25">
      <c r="A144" t="s">
        <v>1651</v>
      </c>
      <c r="B144" s="9" t="s">
        <v>11</v>
      </c>
      <c r="C144">
        <v>2.36</v>
      </c>
      <c r="D144">
        <v>2</v>
      </c>
      <c r="E144">
        <v>0.62</v>
      </c>
      <c r="F144">
        <v>1.2</v>
      </c>
      <c r="G144">
        <v>0.11</v>
      </c>
      <c r="H144">
        <v>2</v>
      </c>
      <c r="I144" s="70">
        <f>C144*CO2_YLL_charfact</f>
        <v>-3.5678869987849318E-7</v>
      </c>
      <c r="J144" s="19">
        <f t="shared" si="128"/>
        <v>3.5397147826086956E-5</v>
      </c>
      <c r="K144" s="19">
        <f>G144*PM2.5_YLL_charfact</f>
        <v>1.741430756986634E-4</v>
      </c>
      <c r="L144" s="1"/>
      <c r="M144" s="19">
        <f t="shared" si="129"/>
        <v>1.5757229647630619E-5</v>
      </c>
      <c r="N144" s="19">
        <f t="shared" si="130"/>
        <v>9.8595236938031593E-3</v>
      </c>
      <c r="O144" s="19">
        <f t="shared" si="131"/>
        <v>3.3765492102065614E-7</v>
      </c>
      <c r="P144" s="19">
        <f t="shared" si="132"/>
        <v>4.4199967091940053E-2</v>
      </c>
      <c r="Q144" s="19">
        <f t="shared" si="133"/>
        <v>1.01152</v>
      </c>
      <c r="R144" s="19">
        <f t="shared" si="134"/>
        <v>-6.7530984204131228E-2</v>
      </c>
      <c r="S144" s="19">
        <f t="shared" si="135"/>
        <v>0.10830000000000001</v>
      </c>
      <c r="T144" s="19">
        <f t="shared" si="136"/>
        <v>4.4199967091940053E-2</v>
      </c>
      <c r="U144" s="19">
        <f t="shared" si="137"/>
        <v>1.8655434386391249E-3</v>
      </c>
      <c r="V144" s="19">
        <f t="shared" si="138"/>
        <v>1.1480267314702308E-4</v>
      </c>
      <c r="W144" s="19">
        <f t="shared" si="139"/>
        <v>0.35453766707168893</v>
      </c>
      <c r="X144" s="19">
        <f t="shared" si="140"/>
        <v>3.0013770757391656E-16</v>
      </c>
      <c r="Y144" s="53">
        <f t="shared" si="141"/>
        <v>20.245636688224913</v>
      </c>
    </row>
    <row r="145" spans="1:29">
      <c r="A145" t="s">
        <v>1652</v>
      </c>
      <c r="B145" s="9" t="s">
        <v>11</v>
      </c>
      <c r="C145">
        <v>2.36</v>
      </c>
      <c r="D145">
        <v>2</v>
      </c>
      <c r="E145">
        <v>0.36</v>
      </c>
      <c r="F145">
        <v>1.1000000000000001</v>
      </c>
      <c r="G145">
        <v>0.11</v>
      </c>
      <c r="H145">
        <v>2</v>
      </c>
      <c r="I145" s="70">
        <f>C145*CO2_YLL_charfact</f>
        <v>-3.5678869987849318E-7</v>
      </c>
      <c r="J145" s="19">
        <f t="shared" si="128"/>
        <v>2.0553182608695649E-5</v>
      </c>
      <c r="K145" s="19">
        <f>G145*PM2.5_YLL_charfact</f>
        <v>1.741430756986634E-4</v>
      </c>
      <c r="L145" s="1"/>
      <c r="M145" s="19">
        <f t="shared" si="129"/>
        <v>1.5757229647630619E-5</v>
      </c>
      <c r="N145" s="19">
        <f t="shared" si="130"/>
        <v>9.8595236938031593E-3</v>
      </c>
      <c r="O145" s="19">
        <f t="shared" si="131"/>
        <v>3.3765492102065614E-7</v>
      </c>
      <c r="P145" s="19">
        <f t="shared" si="132"/>
        <v>4.4199967091940053E-2</v>
      </c>
      <c r="Q145" s="19">
        <f t="shared" si="133"/>
        <v>0.58733419354838712</v>
      </c>
      <c r="R145" s="19">
        <f t="shared" si="134"/>
        <v>-6.7530984204131228E-2</v>
      </c>
      <c r="S145" s="19">
        <f t="shared" si="135"/>
        <v>6.2883870967741937E-2</v>
      </c>
      <c r="T145" s="19">
        <f t="shared" si="136"/>
        <v>4.4199967091940053E-2</v>
      </c>
      <c r="U145" s="19">
        <f t="shared" si="137"/>
        <v>1.8655434386391249E-3</v>
      </c>
      <c r="V145" s="19">
        <f t="shared" si="138"/>
        <v>1.1480267314702308E-4</v>
      </c>
      <c r="W145" s="19">
        <f t="shared" si="139"/>
        <v>0.35453766707168893</v>
      </c>
      <c r="X145" s="19">
        <f t="shared" si="140"/>
        <v>3.0013770757391656E-16</v>
      </c>
      <c r="Y145" s="53">
        <f t="shared" si="141"/>
        <v>18.696901032516639</v>
      </c>
    </row>
    <row r="146" spans="1:29">
      <c r="A146" t="s">
        <v>1653</v>
      </c>
      <c r="B146" s="9" t="s">
        <v>11</v>
      </c>
      <c r="C146">
        <v>0</v>
      </c>
      <c r="D146">
        <v>1.2</v>
      </c>
      <c r="E146">
        <v>0.57999999999999996</v>
      </c>
      <c r="F146">
        <v>1.3</v>
      </c>
      <c r="G146">
        <v>0.11</v>
      </c>
      <c r="H146">
        <v>2</v>
      </c>
      <c r="I146" s="70">
        <f t="shared" ref="I146:I154" si="142">C146*CO2_YLL_charfact</f>
        <v>0</v>
      </c>
      <c r="J146" s="19">
        <f t="shared" si="128"/>
        <v>3.3113460869565214E-5</v>
      </c>
      <c r="K146" s="19">
        <f t="shared" ref="K146:K154" si="143">G146*PM2.5_YLL_charfact</f>
        <v>1.741430756986634E-4</v>
      </c>
      <c r="L146" s="1"/>
      <c r="M146" s="19">
        <f t="shared" si="129"/>
        <v>0</v>
      </c>
      <c r="N146" s="19">
        <f t="shared" si="130"/>
        <v>0</v>
      </c>
      <c r="O146" s="19">
        <f t="shared" si="131"/>
        <v>0</v>
      </c>
      <c r="P146" s="19">
        <f t="shared" si="132"/>
        <v>0</v>
      </c>
      <c r="Q146" s="19">
        <f t="shared" si="133"/>
        <v>0.94626064516129027</v>
      </c>
      <c r="R146" s="19">
        <f t="shared" si="134"/>
        <v>0</v>
      </c>
      <c r="S146" s="19">
        <f t="shared" si="135"/>
        <v>0.10131290322580645</v>
      </c>
      <c r="T146" s="19">
        <f t="shared" si="136"/>
        <v>0</v>
      </c>
      <c r="U146" s="19">
        <f t="shared" si="137"/>
        <v>0</v>
      </c>
      <c r="V146" s="19">
        <f t="shared" si="138"/>
        <v>0</v>
      </c>
      <c r="W146" s="19">
        <f t="shared" si="139"/>
        <v>0</v>
      </c>
      <c r="X146" s="19">
        <f t="shared" si="140"/>
        <v>0</v>
      </c>
      <c r="Y146" s="53">
        <f t="shared" si="141"/>
        <v>19.371548966207062</v>
      </c>
    </row>
    <row r="147" spans="1:29">
      <c r="A147" t="s">
        <v>1654</v>
      </c>
      <c r="B147" s="9" t="s">
        <v>11</v>
      </c>
      <c r="C147">
        <v>0.47599999999999998</v>
      </c>
      <c r="D147">
        <v>1.2</v>
      </c>
      <c r="E147">
        <v>0.57999999999999996</v>
      </c>
      <c r="F147">
        <v>1.3</v>
      </c>
      <c r="G147">
        <v>0.11</v>
      </c>
      <c r="H147">
        <v>2</v>
      </c>
      <c r="I147" s="70">
        <f t="shared" si="142"/>
        <v>-7.196246658566218E-8</v>
      </c>
      <c r="J147" s="19">
        <f t="shared" si="128"/>
        <v>3.3113460869565214E-5</v>
      </c>
      <c r="K147" s="19">
        <f t="shared" si="143"/>
        <v>1.741430756986634E-4</v>
      </c>
      <c r="L147" s="1"/>
      <c r="M147" s="19">
        <f t="shared" si="129"/>
        <v>3.1781530984204132E-6</v>
      </c>
      <c r="N147" s="19">
        <f t="shared" si="130"/>
        <v>1.9886157958687728E-3</v>
      </c>
      <c r="O147" s="19">
        <f t="shared" si="131"/>
        <v>6.8103280680437416E-8</v>
      </c>
      <c r="P147" s="19">
        <f t="shared" si="132"/>
        <v>8.914908616848927E-3</v>
      </c>
      <c r="Q147" s="19">
        <f t="shared" si="133"/>
        <v>0.94626064516129027</v>
      </c>
      <c r="R147" s="19">
        <f t="shared" si="134"/>
        <v>-1.3620656136087483E-2</v>
      </c>
      <c r="S147" s="19">
        <f t="shared" si="135"/>
        <v>0.10131290322580645</v>
      </c>
      <c r="T147" s="19">
        <f t="shared" si="136"/>
        <v>8.914908616848927E-3</v>
      </c>
      <c r="U147" s="19">
        <f t="shared" si="137"/>
        <v>3.7627062575941672E-4</v>
      </c>
      <c r="V147" s="19">
        <f t="shared" si="138"/>
        <v>2.3155115431348722E-5</v>
      </c>
      <c r="W147" s="19">
        <f t="shared" si="139"/>
        <v>7.1508444714459302E-2</v>
      </c>
      <c r="X147" s="19">
        <f t="shared" si="140"/>
        <v>6.0536249493722152E-17</v>
      </c>
      <c r="Y147" s="53">
        <f t="shared" si="141"/>
        <v>19.499790768019718</v>
      </c>
    </row>
    <row r="148" spans="1:29">
      <c r="A148" t="s">
        <v>1655</v>
      </c>
      <c r="B148" s="9" t="s">
        <v>11</v>
      </c>
      <c r="C148">
        <v>0.32500000000000001</v>
      </c>
      <c r="D148">
        <v>1.2</v>
      </c>
      <c r="E148">
        <v>0.57999999999999996</v>
      </c>
      <c r="F148">
        <v>1.3</v>
      </c>
      <c r="G148" s="1">
        <v>0.11</v>
      </c>
      <c r="H148">
        <v>2</v>
      </c>
      <c r="I148" s="70">
        <f t="shared" si="142"/>
        <v>-4.9134037059538261E-8</v>
      </c>
      <c r="J148" s="19">
        <f t="shared" si="128"/>
        <v>3.3113460869565214E-5</v>
      </c>
      <c r="K148" s="19">
        <f t="shared" si="143"/>
        <v>1.741430756986634E-4</v>
      </c>
      <c r="L148" s="1"/>
      <c r="M148" s="19">
        <f t="shared" si="129"/>
        <v>2.1699574726609964E-6</v>
      </c>
      <c r="N148" s="19">
        <f t="shared" si="130"/>
        <v>1.3577733900364522E-3</v>
      </c>
      <c r="O148" s="19">
        <f t="shared" si="131"/>
        <v>4.6499088699878496E-8</v>
      </c>
      <c r="P148" s="19">
        <f t="shared" si="132"/>
        <v>6.0868598749493725E-3</v>
      </c>
      <c r="Q148" s="19">
        <f t="shared" si="133"/>
        <v>0.94626064516129027</v>
      </c>
      <c r="R148" s="19">
        <f t="shared" si="134"/>
        <v>-9.2998177399756989E-3</v>
      </c>
      <c r="S148" s="19">
        <f t="shared" si="135"/>
        <v>0.10131290322580645</v>
      </c>
      <c r="T148" s="19">
        <f t="shared" si="136"/>
        <v>6.0868598749493725E-3</v>
      </c>
      <c r="U148" s="19">
        <f t="shared" si="137"/>
        <v>2.569074650668287E-4</v>
      </c>
      <c r="V148" s="19">
        <f t="shared" si="138"/>
        <v>1.580969015795869E-5</v>
      </c>
      <c r="W148" s="19">
        <f t="shared" si="139"/>
        <v>4.8824043134872423E-2</v>
      </c>
      <c r="X148" s="19">
        <f t="shared" si="140"/>
        <v>4.1332523288780885E-17</v>
      </c>
      <c r="Y148" s="53">
        <f t="shared" si="141"/>
        <v>19.459109019965702</v>
      </c>
    </row>
    <row r="149" spans="1:29">
      <c r="A149" t="s">
        <v>1656</v>
      </c>
      <c r="B149" s="9" t="s">
        <v>11</v>
      </c>
      <c r="C149">
        <v>0.17599999999999999</v>
      </c>
      <c r="D149">
        <v>1.2</v>
      </c>
      <c r="E149">
        <v>0.57999999999999996</v>
      </c>
      <c r="F149">
        <v>1.3</v>
      </c>
      <c r="G149" s="1">
        <v>0.11</v>
      </c>
      <c r="H149">
        <v>2</v>
      </c>
      <c r="I149" s="70">
        <f t="shared" si="142"/>
        <v>-2.6607970838396102E-8</v>
      </c>
      <c r="J149" s="19">
        <f t="shared" si="128"/>
        <v>3.3113460869565214E-5</v>
      </c>
      <c r="K149" s="19">
        <f t="shared" si="143"/>
        <v>1.741430756986634E-4</v>
      </c>
      <c r="L149" s="1"/>
      <c r="M149" s="19">
        <f t="shared" si="129"/>
        <v>1.175115431348724E-6</v>
      </c>
      <c r="N149" s="19">
        <f t="shared" si="130"/>
        <v>7.3528651275820171E-4</v>
      </c>
      <c r="O149" s="19">
        <f t="shared" si="131"/>
        <v>2.518104495747266E-8</v>
      </c>
      <c r="P149" s="19">
        <f t="shared" si="132"/>
        <v>3.2962687322802752E-3</v>
      </c>
      <c r="Q149" s="19">
        <f t="shared" si="133"/>
        <v>0.94626064516129027</v>
      </c>
      <c r="R149" s="19">
        <f t="shared" si="134"/>
        <v>-5.0362089914945318E-3</v>
      </c>
      <c r="S149" s="19">
        <f t="shared" si="135"/>
        <v>0.10131290322580645</v>
      </c>
      <c r="T149" s="19">
        <f t="shared" si="136"/>
        <v>3.2962687322802752E-3</v>
      </c>
      <c r="U149" s="19">
        <f t="shared" si="137"/>
        <v>1.3912527339003645E-4</v>
      </c>
      <c r="V149" s="19">
        <f t="shared" si="138"/>
        <v>8.561555285540705E-6</v>
      </c>
      <c r="W149" s="19">
        <f t="shared" si="139"/>
        <v>2.6440097205346295E-2</v>
      </c>
      <c r="X149" s="19">
        <f t="shared" si="140"/>
        <v>2.2383151073309032E-17</v>
      </c>
      <c r="Y149" s="53">
        <f t="shared" si="141"/>
        <v>19.418966103011734</v>
      </c>
    </row>
    <row r="150" spans="1:29">
      <c r="A150" t="s">
        <v>1657</v>
      </c>
      <c r="B150" s="9" t="s">
        <v>11</v>
      </c>
      <c r="C150">
        <v>0.122</v>
      </c>
      <c r="D150">
        <v>1.2</v>
      </c>
      <c r="E150">
        <v>0.57999999999999996</v>
      </c>
      <c r="F150">
        <v>1.3</v>
      </c>
      <c r="G150" s="1">
        <v>0.11</v>
      </c>
      <c r="H150">
        <v>2</v>
      </c>
      <c r="I150" s="70">
        <f t="shared" si="142"/>
        <v>-1.8444161603888207E-8</v>
      </c>
      <c r="J150" s="19">
        <f t="shared" si="128"/>
        <v>3.3113460869565214E-5</v>
      </c>
      <c r="K150" s="19">
        <f t="shared" si="143"/>
        <v>1.741430756986634E-4</v>
      </c>
      <c r="L150" s="1"/>
      <c r="M150" s="19">
        <f t="shared" si="129"/>
        <v>8.1456865127582018E-7</v>
      </c>
      <c r="N150" s="19">
        <f t="shared" si="130"/>
        <v>5.0968724179829893E-4</v>
      </c>
      <c r="O150" s="19">
        <f t="shared" si="131"/>
        <v>1.7455042527339003E-8</v>
      </c>
      <c r="P150" s="19">
        <f t="shared" si="132"/>
        <v>2.284913553057918E-3</v>
      </c>
      <c r="Q150" s="19">
        <f t="shared" si="133"/>
        <v>0.94626064516129027</v>
      </c>
      <c r="R150" s="19">
        <f t="shared" si="134"/>
        <v>-3.4910085054678007E-3</v>
      </c>
      <c r="S150" s="19">
        <f t="shared" si="135"/>
        <v>0.10131290322580645</v>
      </c>
      <c r="T150" s="19">
        <f t="shared" si="136"/>
        <v>2.284913553057918E-3</v>
      </c>
      <c r="U150" s="19">
        <f t="shared" si="137"/>
        <v>9.6439109963547995E-5</v>
      </c>
      <c r="V150" s="19">
        <f t="shared" si="138"/>
        <v>5.9347144592952614E-6</v>
      </c>
      <c r="W150" s="19">
        <f t="shared" si="139"/>
        <v>1.8327794653705955E-2</v>
      </c>
      <c r="X150" s="19">
        <f t="shared" si="140"/>
        <v>1.551559335763467E-17</v>
      </c>
      <c r="Y150" s="53">
        <f t="shared" si="141"/>
        <v>19.404417663310308</v>
      </c>
    </row>
    <row r="151" spans="1:29">
      <c r="A151" t="s">
        <v>1658</v>
      </c>
      <c r="B151" s="9" t="s">
        <v>11</v>
      </c>
      <c r="C151">
        <v>1.1499999999999999</v>
      </c>
      <c r="D151">
        <v>1.2</v>
      </c>
      <c r="E151">
        <v>0.57999999999999996</v>
      </c>
      <c r="F151">
        <v>1.3</v>
      </c>
      <c r="G151" s="1">
        <v>0.11</v>
      </c>
      <c r="H151">
        <v>2</v>
      </c>
      <c r="I151" s="70">
        <f t="shared" si="142"/>
        <v>-1.7385890036451997E-7</v>
      </c>
      <c r="J151" s="19">
        <f t="shared" si="128"/>
        <v>3.3113460869565214E-5</v>
      </c>
      <c r="K151" s="19">
        <f t="shared" si="143"/>
        <v>1.741430756986634E-4</v>
      </c>
      <c r="L151" s="1"/>
      <c r="M151" s="19">
        <f t="shared" si="129"/>
        <v>7.6783110571081411E-6</v>
      </c>
      <c r="N151" s="19">
        <f t="shared" si="130"/>
        <v>4.8044289185905226E-3</v>
      </c>
      <c r="O151" s="19">
        <f t="shared" si="131"/>
        <v>1.6453523693803157E-7</v>
      </c>
      <c r="P151" s="19">
        <f t="shared" si="132"/>
        <v>2.1538119557513162E-2</v>
      </c>
      <c r="Q151" s="19">
        <f t="shared" si="133"/>
        <v>0.94626064516129027</v>
      </c>
      <c r="R151" s="19">
        <f t="shared" si="134"/>
        <v>-3.2907047387606317E-2</v>
      </c>
      <c r="S151" s="19">
        <f t="shared" si="135"/>
        <v>0.10131290322580645</v>
      </c>
      <c r="T151" s="19">
        <f t="shared" si="136"/>
        <v>2.1538119557513162E-2</v>
      </c>
      <c r="U151" s="19">
        <f t="shared" si="137"/>
        <v>9.0905718408262448E-4</v>
      </c>
      <c r="V151" s="19">
        <f t="shared" si="138"/>
        <v>5.5941980558930736E-5</v>
      </c>
      <c r="W151" s="19">
        <f t="shared" si="139"/>
        <v>0.17276199878493317</v>
      </c>
      <c r="X151" s="19">
        <f t="shared" si="140"/>
        <v>1.4625354394491697E-16</v>
      </c>
      <c r="Y151" s="53">
        <f t="shared" si="141"/>
        <v>19.681376848737631</v>
      </c>
    </row>
    <row r="152" spans="1:29">
      <c r="A152" t="s">
        <v>1659</v>
      </c>
      <c r="B152" s="9" t="s">
        <v>11</v>
      </c>
      <c r="C152">
        <v>0.73899999999999999</v>
      </c>
      <c r="D152">
        <v>1.2</v>
      </c>
      <c r="E152">
        <v>0.57999999999999996</v>
      </c>
      <c r="F152">
        <v>1.3</v>
      </c>
      <c r="G152" s="1">
        <v>0.11</v>
      </c>
      <c r="H152">
        <v>2</v>
      </c>
      <c r="I152" s="70">
        <f t="shared" si="142"/>
        <v>-1.1172324119076545E-7</v>
      </c>
      <c r="J152" s="19">
        <f t="shared" si="128"/>
        <v>3.3113460869565214E-5</v>
      </c>
      <c r="K152" s="19">
        <f t="shared" si="143"/>
        <v>1.741430756986634E-4</v>
      </c>
      <c r="L152" s="1"/>
      <c r="M152" s="19">
        <f t="shared" si="129"/>
        <v>4.9341494532199275E-6</v>
      </c>
      <c r="N152" s="19">
        <f t="shared" si="130"/>
        <v>3.0873678007290401E-3</v>
      </c>
      <c r="O152" s="19">
        <f t="shared" si="131"/>
        <v>1.0573177399756986E-7</v>
      </c>
      <c r="P152" s="19">
        <f t="shared" si="132"/>
        <v>1.384058291565411E-2</v>
      </c>
      <c r="Q152" s="19">
        <f t="shared" si="133"/>
        <v>0.94626064516129027</v>
      </c>
      <c r="R152" s="19">
        <f t="shared" si="134"/>
        <v>-2.1146354799513972E-2</v>
      </c>
      <c r="S152" s="19">
        <f t="shared" si="135"/>
        <v>0.10131290322580645</v>
      </c>
      <c r="T152" s="19">
        <f t="shared" si="136"/>
        <v>1.384058291565411E-2</v>
      </c>
      <c r="U152" s="19">
        <f t="shared" si="137"/>
        <v>5.8416805133657348E-4</v>
      </c>
      <c r="V152" s="19">
        <f t="shared" si="138"/>
        <v>3.5948803159173752E-5</v>
      </c>
      <c r="W152" s="19">
        <f t="shared" si="139"/>
        <v>0.11101836269744837</v>
      </c>
      <c r="X152" s="19">
        <f t="shared" si="140"/>
        <v>9.3983799108950997E-17</v>
      </c>
      <c r="Y152" s="53">
        <f t="shared" si="141"/>
        <v>19.570647057676709</v>
      </c>
    </row>
    <row r="153" spans="1:29">
      <c r="A153" t="s">
        <v>1660</v>
      </c>
      <c r="B153" s="9" t="s">
        <v>11</v>
      </c>
      <c r="C153">
        <v>0.28899999999999998</v>
      </c>
      <c r="D153">
        <v>1.2</v>
      </c>
      <c r="E153">
        <v>0.57999999999999996</v>
      </c>
      <c r="F153">
        <v>1.3</v>
      </c>
      <c r="G153">
        <v>0.11</v>
      </c>
      <c r="H153">
        <v>2</v>
      </c>
      <c r="I153" s="70">
        <f t="shared" si="142"/>
        <v>-4.3691497569866324E-8</v>
      </c>
      <c r="J153" s="19">
        <f t="shared" si="128"/>
        <v>3.3113460869565214E-5</v>
      </c>
      <c r="K153" s="19">
        <f t="shared" si="143"/>
        <v>1.741430756986634E-4</v>
      </c>
      <c r="L153" s="1"/>
      <c r="M153" s="19">
        <f t="shared" si="129"/>
        <v>1.9295929526123934E-6</v>
      </c>
      <c r="N153" s="19">
        <f t="shared" si="130"/>
        <v>1.2073738760631835E-3</v>
      </c>
      <c r="O153" s="19">
        <f t="shared" si="131"/>
        <v>4.134842041312272E-8</v>
      </c>
      <c r="P153" s="19">
        <f t="shared" si="132"/>
        <v>5.4126230888011341E-3</v>
      </c>
      <c r="Q153" s="19">
        <f t="shared" si="133"/>
        <v>0.94626064516129027</v>
      </c>
      <c r="R153" s="19">
        <f t="shared" si="134"/>
        <v>-8.2696840826245437E-3</v>
      </c>
      <c r="S153" s="19">
        <f t="shared" si="135"/>
        <v>0.10131290322580645</v>
      </c>
      <c r="T153" s="19">
        <f t="shared" si="136"/>
        <v>5.4126230888011341E-3</v>
      </c>
      <c r="U153" s="19">
        <f t="shared" si="137"/>
        <v>2.2845002278250301E-4</v>
      </c>
      <c r="V153" s="19">
        <f t="shared" si="138"/>
        <v>1.4058462940461725E-5</v>
      </c>
      <c r="W153" s="19">
        <f t="shared" si="139"/>
        <v>4.3415841433778857E-2</v>
      </c>
      <c r="X153" s="19">
        <f t="shared" si="140"/>
        <v>3.6754151478331306E-17</v>
      </c>
      <c r="Y153" s="53">
        <f t="shared" si="141"/>
        <v>19.449410060164745</v>
      </c>
      <c r="AC153">
        <v>1</v>
      </c>
    </row>
    <row r="154" spans="1:29">
      <c r="A154" t="s">
        <v>1661</v>
      </c>
      <c r="B154" s="9" t="s">
        <v>11</v>
      </c>
      <c r="C154">
        <v>0.14199999999999999</v>
      </c>
      <c r="D154">
        <v>1.2</v>
      </c>
      <c r="E154">
        <v>0.57999999999999996</v>
      </c>
      <c r="F154">
        <v>1.3</v>
      </c>
      <c r="G154">
        <v>0.11</v>
      </c>
      <c r="H154">
        <v>2</v>
      </c>
      <c r="I154" s="70">
        <f t="shared" si="142"/>
        <v>-2.1467794653705947E-8</v>
      </c>
      <c r="J154" s="19">
        <f t="shared" si="128"/>
        <v>3.3113460869565214E-5</v>
      </c>
      <c r="K154" s="19">
        <f t="shared" si="143"/>
        <v>1.741430756986634E-4</v>
      </c>
      <c r="L154" s="1"/>
      <c r="M154" s="19">
        <f t="shared" si="129"/>
        <v>9.4810449574726599E-7</v>
      </c>
      <c r="N154" s="19">
        <f t="shared" si="130"/>
        <v>5.9324252733900364E-4</v>
      </c>
      <c r="O154" s="19">
        <f t="shared" si="131"/>
        <v>2.0316524908869985E-8</v>
      </c>
      <c r="P154" s="19">
        <f t="shared" si="132"/>
        <v>2.6594895453624949E-3</v>
      </c>
      <c r="Q154" s="19">
        <f t="shared" si="133"/>
        <v>0.94626064516129027</v>
      </c>
      <c r="R154" s="19">
        <f t="shared" si="134"/>
        <v>-4.0633049817739974E-3</v>
      </c>
      <c r="S154" s="19">
        <f t="shared" si="135"/>
        <v>0.10131290322580645</v>
      </c>
      <c r="T154" s="19">
        <f t="shared" si="136"/>
        <v>2.6594895453624949E-3</v>
      </c>
      <c r="U154" s="19">
        <f t="shared" si="137"/>
        <v>1.1224880012150667E-4</v>
      </c>
      <c r="V154" s="19">
        <f t="shared" si="138"/>
        <v>6.9076184690157952E-6</v>
      </c>
      <c r="W154" s="19">
        <f t="shared" si="139"/>
        <v>2.1332351154313488E-2</v>
      </c>
      <c r="X154" s="19">
        <f t="shared" si="140"/>
        <v>1.8059133252328877E-17</v>
      </c>
      <c r="Y154" s="53">
        <f t="shared" si="141"/>
        <v>19.409805974310839</v>
      </c>
    </row>
    <row r="155" spans="1:29">
      <c r="B155" s="9"/>
      <c r="L155" s="1"/>
      <c r="M155" s="1"/>
      <c r="N155" s="1"/>
      <c r="O155" s="1"/>
      <c r="P155" s="1"/>
      <c r="Q155" s="1"/>
      <c r="R155" s="1"/>
      <c r="S155" s="1"/>
      <c r="T155" s="1"/>
      <c r="U155" s="1"/>
      <c r="V155" s="1"/>
      <c r="W155" s="1"/>
      <c r="X155" s="1"/>
      <c r="Y155" s="28"/>
    </row>
    <row r="156" spans="1:29">
      <c r="A156" s="9" t="s">
        <v>36</v>
      </c>
      <c r="B156" s="9" t="s">
        <v>11</v>
      </c>
      <c r="C156">
        <v>2.36</v>
      </c>
      <c r="D156">
        <v>3</v>
      </c>
      <c r="E156">
        <f>MEDIAN(E3:E27,E29:E32,E34:E46,E48:E51,E53,E55:E70,E72:E85,E89:E90,E92:E100,E103,E102:E113,E115:E121,E123,E125:E128,E132:E136,E138:E140,E143:E145)</f>
        <v>0.57999999999999996</v>
      </c>
      <c r="F156">
        <f>STDEV(E3:E27,E29:E32,E34:E46,E48:E51,E53,E55:E70,E72:E85,E89:E90,E92:E100,E103,E102:E113,E115:E121,E123,E125:E128,E132:E136,E138:E140,E143:E145)</f>
        <v>0.34399510011209183</v>
      </c>
      <c r="L156" s="1"/>
      <c r="M156" s="1"/>
      <c r="N156" s="1"/>
      <c r="O156" s="1"/>
      <c r="P156" s="1"/>
      <c r="Q156" s="1"/>
      <c r="R156" s="1"/>
      <c r="S156" s="1"/>
      <c r="T156" s="1"/>
      <c r="U156" s="1"/>
      <c r="V156" s="1"/>
      <c r="W156" s="28" t="s">
        <v>1662</v>
      </c>
      <c r="X156" s="28" t="s">
        <v>1663</v>
      </c>
      <c r="Y156" s="53">
        <f>MEDIAN(Y4:Y27,Y29:Y32,Y34:Y46,Y48:Y51,Y53,Y55:Y70,Y72:Y87,Y89:Y90,Y92:Y100,Y102:Y113,Y115:Y121,Y123:Y130,Y132:Y136,Y138:Y140,Y142:Y154)</f>
        <v>19.459109019965702</v>
      </c>
    </row>
    <row r="157" spans="1:29">
      <c r="L157" s="1"/>
      <c r="M157" s="1"/>
      <c r="N157" s="1"/>
      <c r="O157" s="1"/>
      <c r="P157" s="1"/>
      <c r="Q157" s="1"/>
      <c r="R157" s="1"/>
      <c r="S157" s="1"/>
      <c r="T157" s="1"/>
      <c r="U157" s="1"/>
      <c r="V157" s="1"/>
      <c r="W157" s="1"/>
      <c r="X157" s="28" t="s">
        <v>1664</v>
      </c>
      <c r="Y157" s="53">
        <f>_xlfn.STDEV.P(Y3:Y154)</f>
        <v>7.8500784328790605</v>
      </c>
    </row>
    <row r="158" spans="1:29">
      <c r="L158" s="1"/>
      <c r="M158" s="1"/>
      <c r="N158" s="1"/>
      <c r="O158" s="1"/>
      <c r="P158" s="1"/>
      <c r="Q158" s="1"/>
      <c r="R158" s="1"/>
      <c r="S158" s="1"/>
      <c r="T158" s="1"/>
      <c r="U158" s="1"/>
      <c r="V158" s="1"/>
      <c r="W158" s="1"/>
      <c r="X158" s="28" t="s">
        <v>9</v>
      </c>
      <c r="Y158" s="53">
        <v>2</v>
      </c>
    </row>
  </sheetData>
  <sheetProtection algorithmName="SHA-512" hashValue="A71hF7PLs/F85Ij4vzIW56TGDZKF06YGvRXmB12qSpemnjvUbr8HhGHO2nyMHSN8Tq+PjZhd8TKTYys3CSVPkA==" saltValue="mT3mvaay40WPP09YBc5VtQ==" spinCount="100000" sheet="1" objects="1" scenarios="1"/>
  <autoFilter ref="A1:AK145" xr:uid="{00000000-0009-0000-0000-00000A000000}"/>
  <phoneticPr fontId="0" type="noConversion"/>
  <pageMargins left="0.75" right="0.75" top="1" bottom="1" header="0.5" footer="0.5"/>
  <pageSetup paperSize="9" orientation="portrait"/>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8"/>
  <sheetViews>
    <sheetView workbookViewId="0">
      <selection activeCell="J4" activeCellId="1" sqref="J10 J4:K4"/>
    </sheetView>
  </sheetViews>
  <sheetFormatPr baseColWidth="10" defaultColWidth="8.83203125" defaultRowHeight="13"/>
  <cols>
    <col min="1" max="1" width="35.5" customWidth="1"/>
    <col min="2" max="2" width="14.5" customWidth="1"/>
    <col min="3" max="4" width="11" bestFit="1" customWidth="1"/>
    <col min="5" max="5" width="12.83203125" customWidth="1"/>
    <col min="6" max="6" width="10.6640625" customWidth="1"/>
    <col min="7" max="7" width="11.5" customWidth="1"/>
    <col min="8" max="8" width="11.83203125" customWidth="1"/>
    <col min="9" max="9" width="11.5" customWidth="1"/>
    <col min="10" max="10" width="12.33203125" customWidth="1"/>
    <col min="11" max="11" width="11.83203125" customWidth="1"/>
  </cols>
  <sheetData>
    <row r="1" spans="1:14" s="2" customFormat="1" ht="56.25" customHeight="1">
      <c r="A1" s="4" t="s">
        <v>250</v>
      </c>
      <c r="B1" s="4" t="s">
        <v>158</v>
      </c>
      <c r="C1" s="4" t="s">
        <v>1665</v>
      </c>
      <c r="D1" s="2" t="s">
        <v>252</v>
      </c>
      <c r="E1" s="2" t="s">
        <v>161</v>
      </c>
      <c r="F1" s="4" t="s">
        <v>1666</v>
      </c>
      <c r="G1" s="4" t="s">
        <v>1667</v>
      </c>
      <c r="H1" s="4" t="s">
        <v>1668</v>
      </c>
      <c r="I1" s="4" t="s">
        <v>255</v>
      </c>
      <c r="J1" s="4" t="s">
        <v>1669</v>
      </c>
      <c r="K1" s="4" t="s">
        <v>1769</v>
      </c>
      <c r="L1" s="4"/>
    </row>
    <row r="2" spans="1:14" ht="28">
      <c r="J2" s="10" t="s">
        <v>1670</v>
      </c>
      <c r="N2" s="14"/>
    </row>
    <row r="3" spans="1:14">
      <c r="M3" s="9"/>
    </row>
    <row r="4" spans="1:14">
      <c r="A4" s="9" t="s">
        <v>1671</v>
      </c>
      <c r="B4" s="9" t="s">
        <v>1672</v>
      </c>
      <c r="C4" t="s">
        <v>267</v>
      </c>
      <c r="D4" t="s">
        <v>139</v>
      </c>
      <c r="E4" t="s">
        <v>1673</v>
      </c>
      <c r="F4" s="1">
        <f>19175000</f>
        <v>19175000</v>
      </c>
      <c r="G4">
        <v>2</v>
      </c>
      <c r="H4" s="1">
        <f>1/(16400000000000*10000000)</f>
        <v>6.0975609756097558E-21</v>
      </c>
      <c r="I4">
        <v>1.4</v>
      </c>
      <c r="J4" s="19">
        <f>F4*H4</f>
        <v>1.1692073170731707E-13</v>
      </c>
      <c r="K4" s="19">
        <f>J4*YLLvalue</f>
        <v>1.0686554878048781E-8</v>
      </c>
      <c r="M4" s="28"/>
    </row>
    <row r="5" spans="1:14">
      <c r="A5" s="9"/>
      <c r="B5" s="9"/>
    </row>
    <row r="8" spans="1:14">
      <c r="A8" s="15"/>
      <c r="B8" s="9"/>
    </row>
    <row r="9" spans="1:14">
      <c r="A9" s="15"/>
      <c r="B9" s="15"/>
      <c r="C9" s="9"/>
      <c r="D9" s="9"/>
      <c r="H9" s="1"/>
    </row>
    <row r="10" spans="1:14">
      <c r="A10" s="15"/>
      <c r="B10" s="15"/>
      <c r="J10" s="17"/>
    </row>
    <row r="11" spans="1:14">
      <c r="A11" s="15"/>
      <c r="B11" s="15"/>
      <c r="C11" s="9"/>
      <c r="D11" s="9"/>
    </row>
    <row r="12" spans="1:14">
      <c r="A12" s="15"/>
      <c r="B12" s="15"/>
      <c r="C12" s="9"/>
      <c r="D12" s="9"/>
      <c r="E12" s="9"/>
    </row>
    <row r="13" spans="1:14">
      <c r="A13" s="9"/>
      <c r="B13" s="9"/>
      <c r="C13" s="9"/>
    </row>
    <row r="14" spans="1:14">
      <c r="A14" s="15"/>
      <c r="B14" s="15"/>
    </row>
    <row r="15" spans="1:14">
      <c r="A15" s="15"/>
      <c r="B15" s="15"/>
    </row>
    <row r="16" spans="1:14">
      <c r="A16" s="15"/>
      <c r="B16" s="58"/>
      <c r="C16" s="9"/>
    </row>
    <row r="17" spans="1:3">
      <c r="A17" s="15"/>
      <c r="B17" s="58"/>
      <c r="C17" s="9"/>
    </row>
    <row r="18" spans="1:3">
      <c r="A18" s="15"/>
      <c r="B18" s="15"/>
    </row>
    <row r="19" spans="1:3">
      <c r="A19" s="15"/>
      <c r="B19" s="15"/>
    </row>
    <row r="20" spans="1:3">
      <c r="A20" s="15"/>
      <c r="B20" s="15"/>
    </row>
    <row r="21" spans="1:3">
      <c r="A21" s="15"/>
      <c r="B21" s="15"/>
    </row>
    <row r="22" spans="1:3">
      <c r="A22" s="15"/>
      <c r="B22" s="15"/>
    </row>
    <row r="23" spans="1:3">
      <c r="A23" s="15"/>
      <c r="B23" s="15"/>
    </row>
    <row r="24" spans="1:3">
      <c r="A24" s="15"/>
      <c r="B24" s="15"/>
    </row>
    <row r="25" spans="1:3">
      <c r="A25" s="15"/>
      <c r="B25" s="15"/>
    </row>
    <row r="26" spans="1:3">
      <c r="A26" s="15"/>
      <c r="B26" s="15"/>
    </row>
    <row r="27" spans="1:3">
      <c r="A27" s="15"/>
      <c r="B27" s="15"/>
    </row>
    <row r="28" spans="1:3">
      <c r="A28" s="15"/>
      <c r="B28" s="15"/>
    </row>
  </sheetData>
  <sheetProtection algorithmName="SHA-512" hashValue="N96V/Zac1zyYP0hpNfHM0XC+QLA7mx5+dA9YWbT1hBkX7yJDxHe5gYBepyAA4BJdESriUgglHsJjZugyAwyd9Q==" saltValue="luHVXF6OFImUJqJxytkS5Q==" spinCount="100000" sheet="1" objects="1" scenarios="1"/>
  <pageMargins left="0.7" right="0.7" top="0.75" bottom="0.75" header="0.3" footer="0.3"/>
  <pageSetup paperSize="0"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09bfca-2d4e-444e-a51f-ba4950e43940" xsi:nil="true"/>
    <lcf76f155ced4ddcb4097134ff3c332f xmlns="b106f293-e54d-4356-a8db-f4f53775f6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6B1CA2E88E7904C8EE2251C4CA1577C" ma:contentTypeVersion="16" ma:contentTypeDescription="Skapa ett nytt dokument." ma:contentTypeScope="" ma:versionID="b8c53c2a96443234b887b321f8f051ce">
  <xsd:schema xmlns:xsd="http://www.w3.org/2001/XMLSchema" xmlns:xs="http://www.w3.org/2001/XMLSchema" xmlns:p="http://schemas.microsoft.com/office/2006/metadata/properties" xmlns:ns2="b106f293-e54d-4356-a8db-f4f53775f64c" xmlns:ns3="2709bfca-2d4e-444e-a51f-ba4950e43940" targetNamespace="http://schemas.microsoft.com/office/2006/metadata/properties" ma:root="true" ma:fieldsID="3e55916904d4b4c025dbd559e4bc486e" ns2:_="" ns3:_="">
    <xsd:import namespace="b106f293-e54d-4356-a8db-f4f53775f64c"/>
    <xsd:import namespace="2709bfca-2d4e-444e-a51f-ba4950e439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06f293-e54d-4356-a8db-f4f53775f64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eringar" ma:readOnly="false" ma:fieldId="{5cf76f15-5ced-4ddc-b409-7134ff3c332f}" ma:taxonomyMulti="true" ma:sspId="c5eaf389-1862-4172-ae78-bb724b123c1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09bfca-2d4e-444e-a51f-ba4950e439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ec03119-1727-463a-9635-1e3180d10af0}" ma:internalName="TaxCatchAll" ma:showField="CatchAllData" ma:web="2709bfca-2d4e-444e-a51f-ba4950e4394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3D58A-E70C-4E51-9C96-32988A1735DD}">
  <ds:schemaRefs>
    <ds:schemaRef ds:uri="http://schemas.microsoft.com/office/2006/metadata/properties"/>
    <ds:schemaRef ds:uri="http://schemas.microsoft.com/office/infopath/2007/PartnerControls"/>
    <ds:schemaRef ds:uri="2709bfca-2d4e-444e-a51f-ba4950e43940"/>
    <ds:schemaRef ds:uri="b106f293-e54d-4356-a8db-f4f53775f64c"/>
  </ds:schemaRefs>
</ds:datastoreItem>
</file>

<file path=customXml/itemProps2.xml><?xml version="1.0" encoding="utf-8"?>
<ds:datastoreItem xmlns:ds="http://schemas.openxmlformats.org/officeDocument/2006/customXml" ds:itemID="{84510A33-762C-45BF-907B-9F0240EFBCC4}">
  <ds:schemaRefs>
    <ds:schemaRef ds:uri="http://schemas.microsoft.com/sharepoint/v3/contenttype/forms"/>
  </ds:schemaRefs>
</ds:datastoreItem>
</file>

<file path=customXml/itemProps3.xml><?xml version="1.0" encoding="utf-8"?>
<ds:datastoreItem xmlns:ds="http://schemas.openxmlformats.org/officeDocument/2006/customXml" ds:itemID="{85419AA7-3FBD-4384-ACFE-B55355B24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06f293-e54d-4356-a8db-f4f53775f64c"/>
    <ds:schemaRef ds:uri="2709bfca-2d4e-444e-a51f-ba4950e439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13</vt:i4>
      </vt:variant>
      <vt:variant>
        <vt:lpstr>Namngivna områden</vt:lpstr>
      </vt:variant>
      <vt:variant>
        <vt:i4>273</vt:i4>
      </vt:variant>
    </vt:vector>
  </HeadingPairs>
  <TitlesOfParts>
    <vt:vector size="286" baseType="lpstr">
      <vt:lpstr>Introduction</vt:lpstr>
      <vt:lpstr>Env. goods</vt:lpstr>
      <vt:lpstr>Abiotic resources</vt:lpstr>
      <vt:lpstr>Inorganic gases</vt:lpstr>
      <vt:lpstr>Pesticides</vt:lpstr>
      <vt:lpstr>Halo. org.</vt:lpstr>
      <vt:lpstr>Particles</vt:lpstr>
      <vt:lpstr>VOC</vt:lpstr>
      <vt:lpstr>Noise</vt:lpstr>
      <vt:lpstr>Land use</vt:lpstr>
      <vt:lpstr>Radionuclids</vt:lpstr>
      <vt:lpstr>Waste</vt:lpstr>
      <vt:lpstr>Em to water</vt:lpstr>
      <vt:lpstr>Ag_orevalue</vt:lpstr>
      <vt:lpstr>Ag_randomorevalue</vt:lpstr>
      <vt:lpstr>Al_orevalue</vt:lpstr>
      <vt:lpstr>angina_pectoris_value</vt:lpstr>
      <vt:lpstr>Ar_randomvalue</vt:lpstr>
      <vt:lpstr>Ar_value</vt:lpstr>
      <vt:lpstr>As_orevalue</vt:lpstr>
      <vt:lpstr>As_randomorevalue</vt:lpstr>
      <vt:lpstr>asthmavalue</vt:lpstr>
      <vt:lpstr>Astoairvalue</vt:lpstr>
      <vt:lpstr>AstoFreshwater_value</vt:lpstr>
      <vt:lpstr>Au_orevalue</vt:lpstr>
      <vt:lpstr>Au_randomorevalue</vt:lpstr>
      <vt:lpstr>averagepesticidepotency</vt:lpstr>
      <vt:lpstr>B_orevalue</vt:lpstr>
      <vt:lpstr>B_randomorevalue</vt:lpstr>
      <vt:lpstr>Ba_orevalue</vt:lpstr>
      <vt:lpstr>Ba_randomorevalue</vt:lpstr>
      <vt:lpstr>Be_orevalue</vt:lpstr>
      <vt:lpstr>Be_randomorevalue</vt:lpstr>
      <vt:lpstr>Bi_orevalue</vt:lpstr>
      <vt:lpstr>Bi_randomorevalue</vt:lpstr>
      <vt:lpstr>BODtoFreshwater_value</vt:lpstr>
      <vt:lpstr>Br_orevalue</vt:lpstr>
      <vt:lpstr>Br_randomorevalue</vt:lpstr>
      <vt:lpstr>Ca_orevalue</vt:lpstr>
      <vt:lpstr>Ca_randomorevalue</vt:lpstr>
      <vt:lpstr>cancervalue</vt:lpstr>
      <vt:lpstr>Cd_orevalue</vt:lpstr>
      <vt:lpstr>Cd_randomorevalue</vt:lpstr>
      <vt:lpstr>Cdtoairvalue</vt:lpstr>
      <vt:lpstr>CdtoFreshwater_value</vt:lpstr>
      <vt:lpstr>Ce_orevalue</vt:lpstr>
      <vt:lpstr>Ce_randomorevalue</vt:lpstr>
      <vt:lpstr>charnoxcrop</vt:lpstr>
      <vt:lpstr>charso2yoll</vt:lpstr>
      <vt:lpstr>Cl_orevalue</vt:lpstr>
      <vt:lpstr>Cl_randomorevalue</vt:lpstr>
      <vt:lpstr>Co_orevalue</vt:lpstr>
      <vt:lpstr>Co_randomorevalue</vt:lpstr>
      <vt:lpstr>CO_value</vt:lpstr>
      <vt:lpstr>CO2_crop_charfact</vt:lpstr>
      <vt:lpstr>CO2_diarrhea_charfact</vt:lpstr>
      <vt:lpstr>CO2_drinkingwater_charfact</vt:lpstr>
      <vt:lpstr>CO2_fish_charfact</vt:lpstr>
      <vt:lpstr>CO2_meat_charfact</vt:lpstr>
      <vt:lpstr>CO2_NEX_charfact</vt:lpstr>
      <vt:lpstr>CO2_severewasting_charfact</vt:lpstr>
      <vt:lpstr>CO2_wood_charfact</vt:lpstr>
      <vt:lpstr>CO2_workingcapacity_charfact</vt:lpstr>
      <vt:lpstr>CO2_YLL_charfact</vt:lpstr>
      <vt:lpstr>CO2value</vt:lpstr>
      <vt:lpstr>coalvalue</vt:lpstr>
      <vt:lpstr>COPDvalue</vt:lpstr>
      <vt:lpstr>Cr_orevalue</vt:lpstr>
      <vt:lpstr>Cr_tandomorevalue</vt:lpstr>
      <vt:lpstr>Cr6toFreshwater_value</vt:lpstr>
      <vt:lpstr>cropvalue</vt:lpstr>
      <vt:lpstr>Crtoairvalue</vt:lpstr>
      <vt:lpstr>Cs_orevalue</vt:lpstr>
      <vt:lpstr>Cs_randomorevalue</vt:lpstr>
      <vt:lpstr>Cu_orevalue</vt:lpstr>
      <vt:lpstr>Cu_randomorevalue</vt:lpstr>
      <vt:lpstr>Cutoairvalue</vt:lpstr>
      <vt:lpstr>CVD_value</vt:lpstr>
      <vt:lpstr>diarrhea_value</vt:lpstr>
      <vt:lpstr>drinkingwatervalue</vt:lpstr>
      <vt:lpstr>Dy_orevalue</vt:lpstr>
      <vt:lpstr>Dy_randomorevalue</vt:lpstr>
      <vt:lpstr>energy_access</vt:lpstr>
      <vt:lpstr>Er_orevalue</vt:lpstr>
      <vt:lpstr>Er_randomorevalue</vt:lpstr>
      <vt:lpstr>Eu_orevalue</vt:lpstr>
      <vt:lpstr>Eu_randomorevalue</vt:lpstr>
      <vt:lpstr>F_orevalue</vt:lpstr>
      <vt:lpstr>F_randomorevalue</vt:lpstr>
      <vt:lpstr>Fe_orevalue</vt:lpstr>
      <vt:lpstr>fishvalue</vt:lpstr>
      <vt:lpstr>Ga_orevalue</vt:lpstr>
      <vt:lpstr>Ga_randomorevalue</vt:lpstr>
      <vt:lpstr>Gd_orevalue</vt:lpstr>
      <vt:lpstr>Gd_randomorevalue</vt:lpstr>
      <vt:lpstr>Ge_orevalue</vt:lpstr>
      <vt:lpstr>Ge_randomorevalue</vt:lpstr>
      <vt:lpstr>goodstransportvalue</vt:lpstr>
      <vt:lpstr>H_randomvalue</vt:lpstr>
      <vt:lpstr>H_value</vt:lpstr>
      <vt:lpstr>H2Svalue</vt:lpstr>
      <vt:lpstr>HBrvalue</vt:lpstr>
      <vt:lpstr>HClvalue</vt:lpstr>
      <vt:lpstr>HCNvalue</vt:lpstr>
      <vt:lpstr>He_randomvalue</vt:lpstr>
      <vt:lpstr>He_value</vt:lpstr>
      <vt:lpstr>Hf_orevalue</vt:lpstr>
      <vt:lpstr>Hf_randomorevalue</vt:lpstr>
      <vt:lpstr>HFvalue</vt:lpstr>
      <vt:lpstr>Hg_bulkelementvalue</vt:lpstr>
      <vt:lpstr>Hg_orevalue</vt:lpstr>
      <vt:lpstr>Hg_randomorevalue</vt:lpstr>
      <vt:lpstr>Hg_traceelementvalue</vt:lpstr>
      <vt:lpstr>HgtoWater_value</vt:lpstr>
      <vt:lpstr>HNO2value</vt:lpstr>
      <vt:lpstr>HNO3value</vt:lpstr>
      <vt:lpstr>Ho_orevalue</vt:lpstr>
      <vt:lpstr>Ho_randomorevalue</vt:lpstr>
      <vt:lpstr>housingvalue</vt:lpstr>
      <vt:lpstr>I_orevalue</vt:lpstr>
      <vt:lpstr>I_randomorevaue</vt:lpstr>
      <vt:lpstr>In_orevalue</vt:lpstr>
      <vt:lpstr>In_randomorevalue</vt:lpstr>
      <vt:lpstr>Industryuseofforestlandvalue</vt:lpstr>
      <vt:lpstr>infarct_value</vt:lpstr>
      <vt:lpstr>Intellectualdisability_value</vt:lpstr>
      <vt:lpstr>Ir_orevalue</vt:lpstr>
      <vt:lpstr>Ir_randomorevalue</vt:lpstr>
      <vt:lpstr>K_orevalue</vt:lpstr>
      <vt:lpstr>K_randomorevalue</vt:lpstr>
      <vt:lpstr>La_orevalue</vt:lpstr>
      <vt:lpstr>La_randomorevalue</vt:lpstr>
      <vt:lpstr>Li_orevalue</vt:lpstr>
      <vt:lpstr>Li_randomorevalue</vt:lpstr>
      <vt:lpstr>lignitevalue</vt:lpstr>
      <vt:lpstr>Lowvisionvalue</vt:lpstr>
      <vt:lpstr>Lu_orevalue</vt:lpstr>
      <vt:lpstr>Lu_randomorevalue</vt:lpstr>
      <vt:lpstr>malaria_episodes</vt:lpstr>
      <vt:lpstr>meatvalue</vt:lpstr>
      <vt:lpstr>methanevalue</vt:lpstr>
      <vt:lpstr>Mg_orevalue</vt:lpstr>
      <vt:lpstr>Mg_randomorevaue</vt:lpstr>
      <vt:lpstr>Mn_orevalue</vt:lpstr>
      <vt:lpstr>Mn_randomorevalue</vt:lpstr>
      <vt:lpstr>Mo_orevalue</vt:lpstr>
      <vt:lpstr>Mo_randomorevalue</vt:lpstr>
      <vt:lpstr>N_randomvalue</vt:lpstr>
      <vt:lpstr>N_value</vt:lpstr>
      <vt:lpstr>N2Ovalue</vt:lpstr>
      <vt:lpstr>Na_orevalue</vt:lpstr>
      <vt:lpstr>Na_randomorevalue</vt:lpstr>
      <vt:lpstr>naturalgasvalue</vt:lpstr>
      <vt:lpstr>Nb_orevalue</vt:lpstr>
      <vt:lpstr>Nb_randomorevalue</vt:lpstr>
      <vt:lpstr>Nd_orevalue</vt:lpstr>
      <vt:lpstr>Nd_randomorevalue</vt:lpstr>
      <vt:lpstr>Ne_randomvalue</vt:lpstr>
      <vt:lpstr>Ne_value</vt:lpstr>
      <vt:lpstr>NH3value</vt:lpstr>
      <vt:lpstr>Ni_orevalue</vt:lpstr>
      <vt:lpstr>Ni_randomorevalue</vt:lpstr>
      <vt:lpstr>Nitoairvalue</vt:lpstr>
      <vt:lpstr>NMVOC_randomvalue</vt:lpstr>
      <vt:lpstr>NMVOCvalue</vt:lpstr>
      <vt:lpstr>NOx_crop_oxidantcharfact</vt:lpstr>
      <vt:lpstr>NOx_NEX_eutrofication_charfact</vt:lpstr>
      <vt:lpstr>NOx_nutrification_fish_charfact</vt:lpstr>
      <vt:lpstr>NOx_wood_nutrification_charfact</vt:lpstr>
      <vt:lpstr>NOx_wood_oxidantcharfact</vt:lpstr>
      <vt:lpstr>NOx_YOLL_Oxidant_charfact</vt:lpstr>
      <vt:lpstr>NOxvalue</vt:lpstr>
      <vt:lpstr>NtottoFreshwater_value</vt:lpstr>
      <vt:lpstr>NtottoSeawater_value</vt:lpstr>
      <vt:lpstr>O_randomvalue</vt:lpstr>
      <vt:lpstr>O_value</vt:lpstr>
      <vt:lpstr>O3value</vt:lpstr>
      <vt:lpstr>oilvalue</vt:lpstr>
      <vt:lpstr>Os_orevalue</vt:lpstr>
      <vt:lpstr>Os_randomorevalue</vt:lpstr>
      <vt:lpstr>osteoporosisvalue</vt:lpstr>
      <vt:lpstr>P_orevalue</vt:lpstr>
      <vt:lpstr>P_randomorevalue</vt:lpstr>
      <vt:lpstr>PAHtoairvalue</vt:lpstr>
      <vt:lpstr>PAHvalue</vt:lpstr>
      <vt:lpstr>Pb_orevalue</vt:lpstr>
      <vt:lpstr>Pb_randomorevalue</vt:lpstr>
      <vt:lpstr>Pbtoairvalue</vt:lpstr>
      <vt:lpstr>PbtoFreshwater_value</vt:lpstr>
      <vt:lpstr>Pd_orevalue</vt:lpstr>
      <vt:lpstr>Pd_randomorevalue</vt:lpstr>
      <vt:lpstr>persontransportvalue</vt:lpstr>
      <vt:lpstr>PM2.5_climateYLL_charfact</vt:lpstr>
      <vt:lpstr>PM2.5_crop_charfact</vt:lpstr>
      <vt:lpstr>PM2.5_diarrhea_charfact</vt:lpstr>
      <vt:lpstr>PM2.5_directexposure_YLL_charfact</vt:lpstr>
      <vt:lpstr>PM2.5_fish_climate_charfact</vt:lpstr>
      <vt:lpstr>PM2.5_meat_charfact</vt:lpstr>
      <vt:lpstr>PM2.5_undernutrition_charfact</vt:lpstr>
      <vt:lpstr>PM2.5_wood_charfact</vt:lpstr>
      <vt:lpstr>PM2.5_workingcapacity_charfact</vt:lpstr>
      <vt:lpstr>PM2.5_YLL_charfact</vt:lpstr>
      <vt:lpstr>PM2.5value</vt:lpstr>
      <vt:lpstr>poisoningvalue</vt:lpstr>
      <vt:lpstr>Pr_orevalue</vt:lpstr>
      <vt:lpstr>Pr_randomorevalue</vt:lpstr>
      <vt:lpstr>Pt_orevalue</vt:lpstr>
      <vt:lpstr>Pt_randomorevalue</vt:lpstr>
      <vt:lpstr>PtottoFreshwater_value</vt:lpstr>
      <vt:lpstr>Rb_orevalue</vt:lpstr>
      <vt:lpstr>Rb_randomorevalue</vt:lpstr>
      <vt:lpstr>Re_orevalue</vt:lpstr>
      <vt:lpstr>Re_randomorevalue</vt:lpstr>
      <vt:lpstr>renaldysfunctionvalue</vt:lpstr>
      <vt:lpstr>Rh_orevalue</vt:lpstr>
      <vt:lpstr>Rh_randomorevalue</vt:lpstr>
      <vt:lpstr>Ru_orevalue</vt:lpstr>
      <vt:lpstr>Ru_randomorevalue</vt:lpstr>
      <vt:lpstr>S_orevalue</vt:lpstr>
      <vt:lpstr>S_randomorevalue</vt:lpstr>
      <vt:lpstr>Sb_orevalue</vt:lpstr>
      <vt:lpstr>Sb_randomorevalue</vt:lpstr>
      <vt:lpstr>Sc_orevalue</vt:lpstr>
      <vt:lpstr>Sc_randomorevalue</vt:lpstr>
      <vt:lpstr>Se_orevalue</vt:lpstr>
      <vt:lpstr>Se_randomorevalue</vt:lpstr>
      <vt:lpstr>severe_wasting_value</vt:lpstr>
      <vt:lpstr>Si_orevalue</vt:lpstr>
      <vt:lpstr>Si_randomorevalue</vt:lpstr>
      <vt:lpstr>skincancervalue</vt:lpstr>
      <vt:lpstr>Sm_orevalue</vt:lpstr>
      <vt:lpstr>Sm_randomorevalue</vt:lpstr>
      <vt:lpstr>Sn_orevalue</vt:lpstr>
      <vt:lpstr>Sn_randomorevalue</vt:lpstr>
      <vt:lpstr>SO2_climatechange_YLL_charfact</vt:lpstr>
      <vt:lpstr>SO2_crop_charfact</vt:lpstr>
      <vt:lpstr>SO2_diarrhoea_charfact</vt:lpstr>
      <vt:lpstr>SO2_drinkingwater_charfact</vt:lpstr>
      <vt:lpstr>SO2_fish_acidification_charfact</vt:lpstr>
      <vt:lpstr>SO2_fish_climate_charfact</vt:lpstr>
      <vt:lpstr>SO2_meat_charfact</vt:lpstr>
      <vt:lpstr>SO2_NEX_acidification_charfact</vt:lpstr>
      <vt:lpstr>SO2_NEX_climate_charfact</vt:lpstr>
      <vt:lpstr>SO2_secaerosols_YLL_charfact</vt:lpstr>
      <vt:lpstr>SO2_undernutrition_charfact</vt:lpstr>
      <vt:lpstr>SO2_wood_charfact</vt:lpstr>
      <vt:lpstr>SO2_workingcapacity_charfact</vt:lpstr>
      <vt:lpstr>SO2value</vt:lpstr>
      <vt:lpstr>speciesvalue</vt:lpstr>
      <vt:lpstr>Sr_orevalue</vt:lpstr>
      <vt:lpstr>Sr_randomorevalue</vt:lpstr>
      <vt:lpstr>Ta_orevalue</vt:lpstr>
      <vt:lpstr>Ta_randomorevalue</vt:lpstr>
      <vt:lpstr>Tb_orevalue</vt:lpstr>
      <vt:lpstr>Tb_randomorevalue</vt:lpstr>
      <vt:lpstr>Te_orevalue</vt:lpstr>
      <vt:lpstr>Te_randomorevalue</vt:lpstr>
      <vt:lpstr>Th_orevalue</vt:lpstr>
      <vt:lpstr>Th_randomorevalue</vt:lpstr>
      <vt:lpstr>Ti_orevalue</vt:lpstr>
      <vt:lpstr>Ti_randomorevalue</vt:lpstr>
      <vt:lpstr>Tl_orevalue</vt:lpstr>
      <vt:lpstr>Tl_randomorevalue</vt:lpstr>
      <vt:lpstr>Tm_orevalue</vt:lpstr>
      <vt:lpstr>Tm_randomorevalue</vt:lpstr>
      <vt:lpstr>TSP_value</vt:lpstr>
      <vt:lpstr>U235_orevalue</vt:lpstr>
      <vt:lpstr>U235_randomorevalue</vt:lpstr>
      <vt:lpstr>U238_orevalue</vt:lpstr>
      <vt:lpstr>U238_randomorevalue</vt:lpstr>
      <vt:lpstr>V_orevalue</vt:lpstr>
      <vt:lpstr>V_randommorevalue</vt:lpstr>
      <vt:lpstr>W_orevalue</vt:lpstr>
      <vt:lpstr>W_randomorevalue</vt:lpstr>
      <vt:lpstr>waterdeliveryvalue</vt:lpstr>
      <vt:lpstr>woodvalue</vt:lpstr>
      <vt:lpstr>working_capacity</vt:lpstr>
      <vt:lpstr>Y_orevalue</vt:lpstr>
      <vt:lpstr>Y_randomorevalue</vt:lpstr>
      <vt:lpstr>Yb_orevalue</vt:lpstr>
      <vt:lpstr>Yb_randomorevalue</vt:lpstr>
      <vt:lpstr>YLLvalue</vt:lpstr>
      <vt:lpstr>Zn_orevalue</vt:lpstr>
      <vt:lpstr>Zn_randomorevalue</vt:lpstr>
      <vt:lpstr>Zr_orevalue</vt:lpstr>
      <vt:lpstr>Zr_randomorevalue</vt:lpstr>
    </vt:vector>
  </TitlesOfParts>
  <Manager/>
  <Company>Technical Environmental Planning CTH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Bengt Steen</dc:creator>
  <cp:keywords/>
  <dc:description/>
  <cp:lastModifiedBy>Anna Wikström</cp:lastModifiedBy>
  <cp:revision/>
  <cp:lastPrinted>2026-04-18T16:17:24Z</cp:lastPrinted>
  <dcterms:created xsi:type="dcterms:W3CDTF">1999-10-09T07:33:45Z</dcterms:created>
  <dcterms:modified xsi:type="dcterms:W3CDTF">2026-06-23T13:22:54Z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0x01010046B1CA2E88E7904C8EE2251C4CA1577C</vt:lpwstr>
  </property>
</Properties>
</file>