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wikanna/Box Sync/Swedish Life Cycle Center/5. Arbetsgrupper och Expertgrupper/EPS management/EPS Tool/"/>
    </mc:Choice>
  </mc:AlternateContent>
  <xr:revisionPtr revIDLastSave="0" documentId="8_{1685B356-B941-CA4D-BB9C-8F59B34E9155}" xr6:coauthVersionLast="45" xr6:coauthVersionMax="45" xr10:uidLastSave="{00000000-0000-0000-0000-000000000000}"/>
  <bookViews>
    <workbookView xWindow="0" yWindow="460" windowWidth="19420" windowHeight="11020" tabRatio="870" xr2:uid="{00000000-000D-0000-FFFF-FFFF00000000}"/>
  </bookViews>
  <sheets>
    <sheet name="1. Introduction" sheetId="43" r:id="rId1"/>
    <sheet name="2. State indicators" sheetId="2" r:id="rId2"/>
    <sheet name="3. Fossil res" sheetId="20" r:id="rId3"/>
    <sheet name="4. Al" sheetId="16" r:id="rId4"/>
    <sheet name="5. Fe" sheetId="17" r:id="rId5"/>
    <sheet name="6. Other elements" sheetId="14" r:id="rId6"/>
    <sheet name="7. Em to water" sheetId="34" r:id="rId7"/>
    <sheet name="8. Inorganic gases" sheetId="35" r:id="rId8"/>
    <sheet name="9. Particles" sheetId="29" r:id="rId9"/>
    <sheet name="11. Halo. org." sheetId="10" r:id="rId10"/>
    <sheet name="10. VOC" sheetId="8" r:id="rId11"/>
    <sheet name="12. Pesticides" sheetId="9" r:id="rId12"/>
    <sheet name="13. Noise" sheetId="30" r:id="rId13"/>
    <sheet name="14. Radionuclids" sheetId="32" r:id="rId14"/>
    <sheet name="15. Land use" sheetId="12" r:id="rId15"/>
    <sheet name="16. waste" sheetId="31" r:id="rId16"/>
  </sheets>
  <definedNames>
    <definedName name="_xlnm._FilterDatabase" localSheetId="10" hidden="1">'10. VOC'!$A$1:$AN$145</definedName>
    <definedName name="_xlnm._FilterDatabase" localSheetId="9" hidden="1">'11. Halo. org.'!$A$1:$Y$287</definedName>
    <definedName name="_xlnm._FilterDatabase" localSheetId="11" hidden="1">'12. Pesticides'!$A$1:$O$304</definedName>
    <definedName name="_xlnm._FilterDatabase" localSheetId="7" hidden="1">'8. Inorganic gases'!$A$43:$R$70</definedName>
    <definedName name="Ag_orevalue">'6. Other elements'!$D$2</definedName>
    <definedName name="Al_orevalue">'4. Al'!$F$44</definedName>
    <definedName name="anginavalue">'2. State indicators'!$E$92</definedName>
    <definedName name="Ar_value">'6. Other elements'!$D$77</definedName>
    <definedName name="As_orevalue">'6. Other elements'!$D$3</definedName>
    <definedName name="asthmacasesvalue">'2. State indicators'!$E$96</definedName>
    <definedName name="Au_orevalue">'6. Other elements'!$D$4</definedName>
    <definedName name="averagepesticidepotency">'12. Pesticides'!$E$304</definedName>
    <definedName name="B_orevalue">'6. Other elements'!$D$67</definedName>
    <definedName name="Ba_orevalue">'6. Other elements'!$D$5</definedName>
    <definedName name="Be_orevalue">'6. Other elements'!$D$6</definedName>
    <definedName name="Bi_orevalue">'6. Other elements'!$D$7</definedName>
    <definedName name="Br_orevalue">'6. Other elements'!$D$68</definedName>
    <definedName name="cancervalue">'2. State indicators'!$E$98</definedName>
    <definedName name="Cd_orevalue">'6. Other elements'!$D$9</definedName>
    <definedName name="Ce_orevalue">'6. Other elements'!$D$10</definedName>
    <definedName name="charco2crop">'8. Inorganic gases'!$J$14</definedName>
    <definedName name="charco2nex">'8. Inorganic gases'!$I$23</definedName>
    <definedName name="charco2woodgw">'8. Inorganic gases'!$I$17</definedName>
    <definedName name="charco2yoll">'8. Inorganic gases'!$J$8</definedName>
    <definedName name="charnoxcrop">'8. Inorganic gases'!$I$53</definedName>
    <definedName name="charpm10yoll">'9. Particles'!$J$9</definedName>
    <definedName name="charso2yoll">'8. Inorganic gases'!$J$94</definedName>
    <definedName name="charso2yollsecondaryparticles">'8. Inorganic gases'!$I$93</definedName>
    <definedName name="Cl_orevalue">'6. Other elements'!$D$75</definedName>
    <definedName name="Co_orevalue">'6. Other elements'!$D$11</definedName>
    <definedName name="CO_value">'8. Inorganic gases'!$L$42</definedName>
    <definedName name="CO2_crop_charfact">'8. Inorganic gases'!$J$14</definedName>
    <definedName name="CO2_diarrhea_charfact">'8. Inorganic gases'!$I$11</definedName>
    <definedName name="CO2_drinkingwater_charfact">'8. Inorganic gases'!$I$18</definedName>
    <definedName name="CO2_energyaccess_charfact">'8. Inorganic gases'!$I$20</definedName>
    <definedName name="CO2_fruitandveg_charfact">'8. Inorganic gases'!$I$15</definedName>
    <definedName name="CO2_housing_charfact">'8. Inorganic gases'!$I$21</definedName>
    <definedName name="CO2_irrigationwater_charfact">'8. Inorganic gases'!$I$19</definedName>
    <definedName name="CO2_malnutrition_charfact">'8. Inorganic gases'!$I$9</definedName>
    <definedName name="CO2_meatandfish_charfact">'8. Inorganic gases'!$I$16</definedName>
    <definedName name="CO2_NEX_charfact">'8. Inorganic gases'!$I$23</definedName>
    <definedName name="CO2_separations_charfact">'8. Inorganic gases'!$I$22</definedName>
    <definedName name="CO2_workingcapacity_charfact">'8. Inorganic gases'!$I$10</definedName>
    <definedName name="CO2value">'8. Inorganic gases'!$L$24</definedName>
    <definedName name="coalvalue">'3. Fossil res'!$G$44</definedName>
    <definedName name="COPDvalue">'2. State indicators'!$E$97</definedName>
    <definedName name="Cr_orevalue">'6. Other elements'!$D$12</definedName>
    <definedName name="cropvalue">'2. State indicators'!$E$3</definedName>
    <definedName name="Cs_orevalue">'6. Other elements'!$D$13</definedName>
    <definedName name="Cu_orevalue">'6. Other elements'!$D$14</definedName>
    <definedName name="diarrhea">'2. State indicators'!$E$89</definedName>
    <definedName name="drinkingwatervalue">'2. State indicators'!$E$8</definedName>
    <definedName name="Dy_orevalue">'6. Other elements'!$D$15</definedName>
    <definedName name="energy_access">'2. State indicators'!$E$108</definedName>
    <definedName name="Er_orevalue">'6. Other elements'!$D$16</definedName>
    <definedName name="Eu_orevalue">'6. Other elements'!$D$17</definedName>
    <definedName name="F_orevalue">'6. Other elements'!$D$18</definedName>
    <definedName name="Fe_orevalue">'5. Fe'!$G$30</definedName>
    <definedName name="fishandmeatvalue">'2. State indicators'!$E$6</definedName>
    <definedName name="Fruitandveg_value">'2. State indicators'!$E$4</definedName>
    <definedName name="Ga_orevalue">'6. Other elements'!$D$19</definedName>
    <definedName name="Gd_orevalue">'6. Other elements'!$D$20</definedName>
    <definedName name="Ge_orevalue">'6. Other elements'!$D$21</definedName>
    <definedName name="goodstransportvalue">'2. State indicators'!$E$119</definedName>
    <definedName name="H_value">'6. Other elements'!$D$69</definedName>
    <definedName name="He_value">'6. Other elements'!$D$78</definedName>
    <definedName name="Hf_orevalue">'6. Other elements'!$D$22</definedName>
    <definedName name="HFC134avalue">'11. Halo. org.'!$Y$74</definedName>
    <definedName name="Hg_orevalue">'6. Other elements'!$D$23</definedName>
    <definedName name="Ho_orevalue">'6. Other elements'!$D$24</definedName>
    <definedName name="housingvalue">'2. State indicators'!$E$106</definedName>
    <definedName name="I_orevalue">'6. Other elements'!$D$74</definedName>
    <definedName name="In_orevalue">'6. Other elements'!$D$25</definedName>
    <definedName name="Industryuseofforestlandvalue">'15. Land use'!$M$18</definedName>
    <definedName name="Intellectualdisabilityvalue">'2. State indicators'!$E$102</definedName>
    <definedName name="Ir_orevalue">'6. Other elements'!$D$26</definedName>
    <definedName name="irrigationwatervalue">'2. State indicators'!$E$9</definedName>
    <definedName name="K_orevalue">'6. Other elements'!$D$71</definedName>
    <definedName name="La_orevalue">'6. Other elements'!$D$27</definedName>
    <definedName name="Li_orevalue">'6. Other elements'!$D$66</definedName>
    <definedName name="lignitevalue">'3. Fossil res'!$E$47</definedName>
    <definedName name="Lowvisionvalue">'2. State indicators'!$E$100</definedName>
    <definedName name="Lu_orevalue">'6. Other elements'!$D$29</definedName>
    <definedName name="malaria_episodes">'2. State indicators'!$E$90</definedName>
    <definedName name="malnutrition">'2. State indicators'!$E$88</definedName>
    <definedName name="methanevalue">'10. VOC'!$AB$3</definedName>
    <definedName name="Mg_orevalue">'6. Other elements'!$D$72</definedName>
    <definedName name="migrationvalue">'2. State indicators'!$E$91</definedName>
    <definedName name="Mn_orevalue">'6. Other elements'!$D$30</definedName>
    <definedName name="Mo_orevalue">'6. Other elements'!$D$31</definedName>
    <definedName name="N_value">'6. Other elements'!$D$80</definedName>
    <definedName name="Na_orevalue">'6. Other elements'!$D$70</definedName>
    <definedName name="naturalgasvalue">'3. Fossil res'!$E$60</definedName>
    <definedName name="Nb_orevalue">'6. Other elements'!$D$32</definedName>
    <definedName name="Nd_orevalue">'6. Other elements'!$D$33</definedName>
    <definedName name="Ne_value">'6. Other elements'!$D$79</definedName>
    <definedName name="Ni_orevalue">'6. Other elements'!$D$34</definedName>
    <definedName name="NMVOCvalue">'10. VOC'!$AB$147</definedName>
    <definedName name="NOx_crop_oxidantcharfact">'8. Inorganic gases'!$I$53</definedName>
    <definedName name="NOx_wood_oxidantcharfact">'8. Inorganic gases'!$I$60</definedName>
    <definedName name="NOx_YOLL_Oxidant_charfact">'8. Inorganic gases'!$I$46</definedName>
    <definedName name="NOxvalue">'8. Inorganic gases'!$L$70</definedName>
    <definedName name="O_value">'6. Other elements'!$D$81</definedName>
    <definedName name="oilvalue">'3. Fossil res'!$E$15</definedName>
    <definedName name="Os_orevalue">'6. Other elements'!$D$35</definedName>
    <definedName name="osteoporosisvalue">'2. State indicators'!$E$103</definedName>
    <definedName name="P_orevalue">'6. Other elements'!$D$36</definedName>
    <definedName name="Pb_orevalue">'6. Other elements'!$D$37</definedName>
    <definedName name="Pd_orevalue">'6. Other elements'!$D$38</definedName>
    <definedName name="persontransportvalue">'2. State indicators'!$E$121</definedName>
    <definedName name="PM2.5_asthmacases_charfact">'9. Particles'!$I$32</definedName>
    <definedName name="PM2.5_COPD_charfact">'9. Particles'!$I$33</definedName>
    <definedName name="PM2.5_malnutrition_charfact">'9. Particles'!$I$34</definedName>
    <definedName name="PM2.5_workingcapacity_charfact">'9. Particles'!$I$35</definedName>
    <definedName name="PM2.5_YOLL_charfact">'9. Particles'!$J$31</definedName>
    <definedName name="poisoningvalue">'2. State indicators'!$E$101</definedName>
    <definedName name="Pr_orevalue">'6. Other elements'!$D$39</definedName>
    <definedName name="Pt_orevalue">'6. Other elements'!$D$40</definedName>
    <definedName name="qualitytimevalue">'2. State indicators'!$E$7</definedName>
    <definedName name="Rb_orevalue">'6. Other elements'!$D$41</definedName>
    <definedName name="Re_orevalue">'6. Other elements'!$D$42</definedName>
    <definedName name="renaldysfunctionvalue">'2. State indicators'!$E$104</definedName>
    <definedName name="Rh_orevalue">'6. Other elements'!$D$43</definedName>
    <definedName name="Ru_orevalue">'6. Other elements'!$D$44</definedName>
    <definedName name="S_orevalue">'6. Other elements'!$D$73</definedName>
    <definedName name="Sb_orevalue">'6. Other elements'!$D$45</definedName>
    <definedName name="Sc_orevalue">'6. Other elements'!$D$46</definedName>
    <definedName name="Se_orevalue">'6. Other elements'!$D$47</definedName>
    <definedName name="skincancervalue">'2. State indicators'!$E$99</definedName>
    <definedName name="Sm_orevalue">'6. Other elements'!$D$48</definedName>
    <definedName name="Sn_orevalue">'6. Other elements'!$D$49</definedName>
    <definedName name="SO2value">'8. Inorganic gases'!$L$113</definedName>
    <definedName name="speciesvalue">'2. State indicators'!$E$85</definedName>
    <definedName name="Sr_orevalue">'6. Other elements'!$D$50</definedName>
    <definedName name="Ta_orevalue">'6. Other elements'!$D$51</definedName>
    <definedName name="Tb_orevalue">'6. Other elements'!$D$52</definedName>
    <definedName name="Te_orevalue">'6. Other elements'!$D$53</definedName>
    <definedName name="Th_orevalue">'6. Other elements'!$D$54</definedName>
    <definedName name="Ti_orevalue">'6. Other elements'!$D$55</definedName>
    <definedName name="Tl_orevalue">'6. Other elements'!$D$56</definedName>
    <definedName name="Tm_orevalue">'6. Other elements'!$D$57</definedName>
    <definedName name="U_orevalue">'6. Other elements'!$D$58</definedName>
    <definedName name="V_orevalue">'6. Other elements'!$D$60</definedName>
    <definedName name="W_orevalue">'6. Other elements'!$D$59</definedName>
    <definedName name="waterdeliveryvalue">'2. State indicators'!$E$111</definedName>
    <definedName name="woodvalue">'2. State indicators'!$E$5</definedName>
    <definedName name="working_capacity">'2. State indicators'!$E$95</definedName>
    <definedName name="Y_orevalue">'6. Other elements'!$D$61</definedName>
    <definedName name="Yb_orevalue">'6. Other elements'!$D$62</definedName>
    <definedName name="YOLLvalue">'2. State indicators'!$E$87</definedName>
    <definedName name="Zn_orevalue">'6. Other elements'!$D$63</definedName>
    <definedName name="Zr_orevalue">'6. Other elements'!$D$64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32" l="1"/>
  <c r="F29" i="35" l="1"/>
  <c r="F27" i="35"/>
  <c r="D18" i="14" l="1"/>
  <c r="J8" i="31" l="1"/>
  <c r="F7" i="31"/>
  <c r="J7" i="31" s="1"/>
  <c r="K34" i="12"/>
  <c r="M34" i="12" s="1"/>
  <c r="M32" i="12"/>
  <c r="K32" i="12"/>
  <c r="K31" i="12"/>
  <c r="M31" i="12" s="1"/>
  <c r="K29" i="12"/>
  <c r="M29" i="12" s="1"/>
  <c r="K28" i="12"/>
  <c r="M28" i="12" s="1"/>
  <c r="K27" i="12"/>
  <c r="M27" i="12" s="1"/>
  <c r="K25" i="12"/>
  <c r="M25" i="12" s="1"/>
  <c r="K24" i="12"/>
  <c r="M24" i="12" s="1"/>
  <c r="K23" i="12"/>
  <c r="M23" i="12" s="1"/>
  <c r="K22" i="12"/>
  <c r="M22" i="12" s="1"/>
  <c r="K20" i="12"/>
  <c r="M20" i="12" s="1"/>
  <c r="K19" i="12"/>
  <c r="C19" i="12"/>
  <c r="K18" i="12"/>
  <c r="C18" i="12"/>
  <c r="M18" i="12" s="1"/>
  <c r="B15" i="17" s="1"/>
  <c r="E15" i="17" s="1"/>
  <c r="F15" i="17" s="1"/>
  <c r="K17" i="12"/>
  <c r="E17" i="12"/>
  <c r="C17" i="12"/>
  <c r="K16" i="12"/>
  <c r="C16" i="12"/>
  <c r="K15" i="12"/>
  <c r="C15" i="12"/>
  <c r="K14" i="12"/>
  <c r="E14" i="12"/>
  <c r="C14" i="12"/>
  <c r="K12" i="12"/>
  <c r="M12" i="12" s="1"/>
  <c r="K11" i="12"/>
  <c r="C11" i="12"/>
  <c r="K10" i="12"/>
  <c r="C10" i="12"/>
  <c r="K9" i="12"/>
  <c r="E9" i="12"/>
  <c r="C9" i="12"/>
  <c r="K8" i="12"/>
  <c r="C8" i="12"/>
  <c r="M8" i="12" s="1"/>
  <c r="K7" i="12"/>
  <c r="C7" i="12"/>
  <c r="K6" i="12"/>
  <c r="E6" i="12"/>
  <c r="C6" i="12"/>
  <c r="F14" i="32"/>
  <c r="E14" i="32"/>
  <c r="F13" i="32"/>
  <c r="E13" i="32"/>
  <c r="F12" i="32"/>
  <c r="E12" i="32"/>
  <c r="F11" i="32"/>
  <c r="E11" i="32"/>
  <c r="F10" i="32"/>
  <c r="E10" i="32"/>
  <c r="F9" i="32"/>
  <c r="E9" i="32"/>
  <c r="F8" i="32"/>
  <c r="E8" i="32"/>
  <c r="F7" i="32"/>
  <c r="F6" i="32"/>
  <c r="E6" i="32"/>
  <c r="F5" i="32"/>
  <c r="E5" i="32"/>
  <c r="F4" i="32"/>
  <c r="E4" i="32"/>
  <c r="G4" i="30"/>
  <c r="E4" i="30"/>
  <c r="I4" i="30" s="1"/>
  <c r="J4" i="30" s="1"/>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I72" i="9"/>
  <c r="E72" i="9"/>
  <c r="E71" i="9"/>
  <c r="E70" i="9"/>
  <c r="I69" i="9"/>
  <c r="E69" i="9"/>
  <c r="I68" i="9"/>
  <c r="E68" i="9"/>
  <c r="I67"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I127" i="29"/>
  <c r="K126" i="29"/>
  <c r="I126" i="29"/>
  <c r="G123" i="29"/>
  <c r="I123" i="29" s="1"/>
  <c r="K123" i="29" s="1"/>
  <c r="E123" i="29"/>
  <c r="G122" i="29"/>
  <c r="I122" i="29" s="1"/>
  <c r="K122" i="29" s="1"/>
  <c r="E122" i="29"/>
  <c r="G116" i="29"/>
  <c r="I116" i="29" s="1"/>
  <c r="K116" i="29" s="1"/>
  <c r="L118" i="29" s="1"/>
  <c r="I113" i="29"/>
  <c r="K113" i="29" s="1"/>
  <c r="E112" i="29"/>
  <c r="I112" i="29" s="1"/>
  <c r="I111" i="29"/>
  <c r="K111" i="29" s="1"/>
  <c r="E111" i="29"/>
  <c r="I109" i="29"/>
  <c r="K109" i="29" s="1"/>
  <c r="L109" i="29" s="1"/>
  <c r="E106" i="29"/>
  <c r="I106" i="29" s="1"/>
  <c r="E105" i="29"/>
  <c r="I105" i="29" s="1"/>
  <c r="K105" i="29" s="1"/>
  <c r="K102" i="29"/>
  <c r="E101" i="29"/>
  <c r="I101" i="29" s="1"/>
  <c r="I100" i="29"/>
  <c r="K100" i="29" s="1"/>
  <c r="E100" i="29"/>
  <c r="I96" i="29"/>
  <c r="E96" i="29"/>
  <c r="E95" i="29"/>
  <c r="I95" i="29" s="1"/>
  <c r="K95" i="29" s="1"/>
  <c r="E94" i="29"/>
  <c r="I94" i="29" s="1"/>
  <c r="K94" i="29" s="1"/>
  <c r="G91" i="29"/>
  <c r="G90" i="29"/>
  <c r="G89" i="29"/>
  <c r="G88" i="29"/>
  <c r="G87" i="29"/>
  <c r="G86" i="29"/>
  <c r="G85" i="29"/>
  <c r="G84" i="29"/>
  <c r="G83" i="29"/>
  <c r="G82" i="29"/>
  <c r="G81" i="29"/>
  <c r="G80" i="29"/>
  <c r="G79" i="29"/>
  <c r="G78" i="29"/>
  <c r="I78" i="29" s="1"/>
  <c r="K78" i="29" s="1"/>
  <c r="G77" i="29"/>
  <c r="I77" i="29" s="1"/>
  <c r="G75" i="29"/>
  <c r="G74" i="29"/>
  <c r="E74" i="29"/>
  <c r="I74" i="29" s="1"/>
  <c r="K74" i="29" s="1"/>
  <c r="G73" i="29"/>
  <c r="I73" i="29" s="1"/>
  <c r="K73" i="29" s="1"/>
  <c r="G69" i="29"/>
  <c r="G68" i="29"/>
  <c r="G67" i="29"/>
  <c r="G66" i="29"/>
  <c r="G65" i="29"/>
  <c r="G64" i="29"/>
  <c r="G63" i="29"/>
  <c r="G62" i="29"/>
  <c r="G61" i="29"/>
  <c r="G60" i="29"/>
  <c r="G59" i="29"/>
  <c r="G58" i="29"/>
  <c r="G57" i="29"/>
  <c r="G53" i="29"/>
  <c r="E52" i="29"/>
  <c r="I33" i="29"/>
  <c r="K33" i="29" s="1"/>
  <c r="G33" i="29"/>
  <c r="G32" i="29"/>
  <c r="E32" i="29"/>
  <c r="I32" i="29" s="1"/>
  <c r="O133" i="8" s="1"/>
  <c r="G29" i="29"/>
  <c r="G52" i="29" s="1"/>
  <c r="E29" i="29"/>
  <c r="G28" i="29"/>
  <c r="G51" i="29" s="1"/>
  <c r="I51" i="29" s="1"/>
  <c r="K51" i="29" s="1"/>
  <c r="I11" i="29"/>
  <c r="K11" i="29" s="1"/>
  <c r="G11" i="29"/>
  <c r="I10" i="29"/>
  <c r="G10" i="29"/>
  <c r="G7" i="29"/>
  <c r="E7" i="29"/>
  <c r="I7" i="29" s="1"/>
  <c r="K7" i="29" s="1"/>
  <c r="G6" i="29"/>
  <c r="I6" i="29" s="1"/>
  <c r="K6" i="29" s="1"/>
  <c r="G4" i="29"/>
  <c r="I4" i="29" s="1"/>
  <c r="K4" i="29" s="1"/>
  <c r="L4" i="29" s="1"/>
  <c r="E4" i="29"/>
  <c r="D64" i="14"/>
  <c r="D63" i="14"/>
  <c r="D62" i="14"/>
  <c r="D61" i="14"/>
  <c r="D60" i="14"/>
  <c r="D59" i="14"/>
  <c r="D58" i="14"/>
  <c r="D57" i="14"/>
  <c r="D56" i="14"/>
  <c r="D55" i="14"/>
  <c r="E76" i="2" s="1"/>
  <c r="D54" i="14"/>
  <c r="E77" i="2" s="1"/>
  <c r="D53" i="14"/>
  <c r="D52" i="14"/>
  <c r="E74" i="2" s="1"/>
  <c r="D51" i="14"/>
  <c r="E73" i="2" s="1"/>
  <c r="D50" i="14"/>
  <c r="D49" i="14"/>
  <c r="D48" i="14"/>
  <c r="E70" i="2" s="1"/>
  <c r="D47" i="14"/>
  <c r="E69" i="2" s="1"/>
  <c r="D46" i="14"/>
  <c r="D45" i="14"/>
  <c r="D44" i="14"/>
  <c r="E65" i="2" s="1"/>
  <c r="D43" i="14"/>
  <c r="E64" i="2" s="1"/>
  <c r="D42" i="14"/>
  <c r="D41" i="14"/>
  <c r="D40" i="14"/>
  <c r="E61" i="2" s="1"/>
  <c r="D39" i="14"/>
  <c r="E60" i="2" s="1"/>
  <c r="D38" i="14"/>
  <c r="D37" i="14"/>
  <c r="D36" i="14"/>
  <c r="E57" i="2" s="1"/>
  <c r="D35" i="14"/>
  <c r="E56" i="2" s="1"/>
  <c r="D34" i="14"/>
  <c r="C30" i="20" s="1"/>
  <c r="E30" i="20" s="1"/>
  <c r="D33" i="14"/>
  <c r="D32" i="14"/>
  <c r="E53" i="2" s="1"/>
  <c r="D31" i="14"/>
  <c r="E51" i="2" s="1"/>
  <c r="D30" i="14"/>
  <c r="D29" i="14"/>
  <c r="D28" i="14"/>
  <c r="D27" i="14"/>
  <c r="E46" i="2" s="1"/>
  <c r="D26" i="14"/>
  <c r="D25" i="14"/>
  <c r="D24" i="14"/>
  <c r="D23" i="14"/>
  <c r="E39" i="2" s="1"/>
  <c r="D22" i="14"/>
  <c r="D21" i="14"/>
  <c r="D20" i="14"/>
  <c r="D19" i="14"/>
  <c r="E34" i="2" s="1"/>
  <c r="D17" i="14"/>
  <c r="D16" i="14"/>
  <c r="D15" i="14"/>
  <c r="E29" i="2" s="1"/>
  <c r="D14" i="14"/>
  <c r="D13" i="14"/>
  <c r="D12" i="14"/>
  <c r="D11" i="14"/>
  <c r="E25" i="2" s="1"/>
  <c r="D10" i="14"/>
  <c r="D9" i="14"/>
  <c r="D7" i="14"/>
  <c r="D6" i="14"/>
  <c r="D5" i="14"/>
  <c r="E18" i="2" s="1"/>
  <c r="D4" i="14"/>
  <c r="E16" i="2" s="1"/>
  <c r="D3" i="14"/>
  <c r="D2" i="14"/>
  <c r="C31" i="20" s="1"/>
  <c r="E27" i="17"/>
  <c r="E26" i="17"/>
  <c r="E25" i="17"/>
  <c r="E24" i="17"/>
  <c r="C23" i="17"/>
  <c r="E23" i="17" s="1"/>
  <c r="F9" i="17"/>
  <c r="E9" i="17"/>
  <c r="B8" i="17"/>
  <c r="E8" i="17" s="1"/>
  <c r="B42" i="16"/>
  <c r="F24" i="16"/>
  <c r="E24" i="16"/>
  <c r="E23" i="16"/>
  <c r="B23" i="16"/>
  <c r="J13" i="16"/>
  <c r="J12" i="16"/>
  <c r="J11" i="16"/>
  <c r="J10" i="16"/>
  <c r="J9" i="16"/>
  <c r="J8" i="16"/>
  <c r="J7" i="16"/>
  <c r="J6" i="16"/>
  <c r="D59" i="20"/>
  <c r="D58" i="20"/>
  <c r="G43" i="20"/>
  <c r="E43" i="20"/>
  <c r="G42" i="20"/>
  <c r="F42" i="20"/>
  <c r="D42" i="20"/>
  <c r="C40" i="20"/>
  <c r="G40" i="20" s="1"/>
  <c r="E36" i="20"/>
  <c r="F33" i="20"/>
  <c r="C33" i="20"/>
  <c r="E33" i="20" s="1"/>
  <c r="F32" i="20"/>
  <c r="F31" i="20"/>
  <c r="G31" i="20" s="1"/>
  <c r="E31" i="20"/>
  <c r="F30" i="20"/>
  <c r="F29" i="20"/>
  <c r="G28" i="20"/>
  <c r="E28" i="20"/>
  <c r="F27" i="20"/>
  <c r="F26" i="20"/>
  <c r="C26" i="20"/>
  <c r="F25" i="20"/>
  <c r="C25" i="20"/>
  <c r="E121" i="2"/>
  <c r="E112" i="2"/>
  <c r="E104" i="2"/>
  <c r="E103" i="2"/>
  <c r="E102" i="2"/>
  <c r="E101" i="2"/>
  <c r="E100" i="2"/>
  <c r="E99" i="2"/>
  <c r="E98" i="2"/>
  <c r="K112" i="29" s="1"/>
  <c r="E97" i="2"/>
  <c r="E96" i="2"/>
  <c r="K32" i="29" s="1"/>
  <c r="E94" i="2"/>
  <c r="E93" i="2"/>
  <c r="E92" i="2"/>
  <c r="E91" i="2"/>
  <c r="E90" i="2"/>
  <c r="E89" i="2"/>
  <c r="E88" i="2"/>
  <c r="E84" i="2"/>
  <c r="E82" i="2"/>
  <c r="E81" i="2"/>
  <c r="E80" i="2"/>
  <c r="E79" i="2"/>
  <c r="E78" i="2"/>
  <c r="E75" i="2"/>
  <c r="E72" i="2"/>
  <c r="E71" i="2"/>
  <c r="E68" i="2"/>
  <c r="E67" i="2"/>
  <c r="E66" i="2"/>
  <c r="E63" i="2"/>
  <c r="E62" i="2"/>
  <c r="E59" i="2"/>
  <c r="E58" i="2"/>
  <c r="E55" i="2"/>
  <c r="E54" i="2"/>
  <c r="E52" i="2"/>
  <c r="E50" i="2"/>
  <c r="E49" i="2"/>
  <c r="E48" i="2"/>
  <c r="E47" i="2"/>
  <c r="E45" i="2"/>
  <c r="E44" i="2"/>
  <c r="E43" i="2"/>
  <c r="E42" i="2"/>
  <c r="E41" i="2"/>
  <c r="E40" i="2"/>
  <c r="E38" i="2"/>
  <c r="E37" i="2"/>
  <c r="E36" i="2"/>
  <c r="E35" i="2"/>
  <c r="E32" i="2"/>
  <c r="E31" i="2"/>
  <c r="E30" i="2"/>
  <c r="E26" i="2"/>
  <c r="E24" i="2"/>
  <c r="E22" i="2"/>
  <c r="E21" i="2"/>
  <c r="E20" i="2"/>
  <c r="E19" i="2"/>
  <c r="E17" i="2"/>
  <c r="E15" i="2"/>
  <c r="E13" i="2"/>
  <c r="E10" i="2"/>
  <c r="P145" i="8"/>
  <c r="P144" i="8"/>
  <c r="P143" i="8"/>
  <c r="P141" i="8"/>
  <c r="P140" i="8"/>
  <c r="P139" i="8"/>
  <c r="O139" i="8"/>
  <c r="P138" i="8"/>
  <c r="P137" i="8"/>
  <c r="O137" i="8"/>
  <c r="P136" i="8"/>
  <c r="P135" i="8"/>
  <c r="P134" i="8"/>
  <c r="P133" i="8"/>
  <c r="P131" i="8"/>
  <c r="P130" i="8"/>
  <c r="O130" i="8"/>
  <c r="P129" i="8"/>
  <c r="P127" i="8"/>
  <c r="O127" i="8"/>
  <c r="P126" i="8"/>
  <c r="P125" i="8"/>
  <c r="P124" i="8"/>
  <c r="P123" i="8"/>
  <c r="P121" i="8"/>
  <c r="P120" i="8"/>
  <c r="O120" i="8"/>
  <c r="P119" i="8"/>
  <c r="P118" i="8"/>
  <c r="O118" i="8"/>
  <c r="P117" i="8"/>
  <c r="P115" i="8"/>
  <c r="P114" i="8"/>
  <c r="P113" i="8"/>
  <c r="P112" i="8"/>
  <c r="P111" i="8"/>
  <c r="O111" i="8"/>
  <c r="P110" i="8"/>
  <c r="P109" i="8"/>
  <c r="O109" i="8"/>
  <c r="P107" i="8"/>
  <c r="P106" i="8"/>
  <c r="P105" i="8"/>
  <c r="P104" i="8"/>
  <c r="P103" i="8"/>
  <c r="P102" i="8"/>
  <c r="O102" i="8"/>
  <c r="P101" i="8"/>
  <c r="P100" i="8"/>
  <c r="O100" i="8"/>
  <c r="P99" i="8"/>
  <c r="P98" i="8"/>
  <c r="P97" i="8"/>
  <c r="P95" i="8"/>
  <c r="P94" i="8"/>
  <c r="P93" i="8"/>
  <c r="O93" i="8"/>
  <c r="P92" i="8"/>
  <c r="P91" i="8"/>
  <c r="O91" i="8"/>
  <c r="P90" i="8"/>
  <c r="P89" i="8"/>
  <c r="P88" i="8"/>
  <c r="P87" i="8"/>
  <c r="P85" i="8"/>
  <c r="P84" i="8"/>
  <c r="O84" i="8"/>
  <c r="P82" i="8"/>
  <c r="P81" i="8"/>
  <c r="O81" i="8"/>
  <c r="P80" i="8"/>
  <c r="P79" i="8"/>
  <c r="P78" i="8"/>
  <c r="P77" i="8"/>
  <c r="P76" i="8"/>
  <c r="P75" i="8"/>
  <c r="O75" i="8"/>
  <c r="P74" i="8"/>
  <c r="P73" i="8"/>
  <c r="O73" i="8"/>
  <c r="P72" i="8"/>
  <c r="P71" i="8"/>
  <c r="P70" i="8"/>
  <c r="P69" i="8"/>
  <c r="P67" i="8"/>
  <c r="P66" i="8"/>
  <c r="O66" i="8"/>
  <c r="P65" i="8"/>
  <c r="P64" i="8"/>
  <c r="O64" i="8"/>
  <c r="P63" i="8"/>
  <c r="P62" i="8"/>
  <c r="P61" i="8"/>
  <c r="P60" i="8"/>
  <c r="P59" i="8"/>
  <c r="P58" i="8"/>
  <c r="O58" i="8"/>
  <c r="P57" i="8"/>
  <c r="P56" i="8"/>
  <c r="O56" i="8"/>
  <c r="P55" i="8"/>
  <c r="P54" i="8"/>
  <c r="P53" i="8"/>
  <c r="P52" i="8"/>
  <c r="K52" i="8"/>
  <c r="P50" i="8"/>
  <c r="P48" i="8"/>
  <c r="P47" i="8"/>
  <c r="P45" i="8"/>
  <c r="K45" i="8"/>
  <c r="P44" i="8"/>
  <c r="P43" i="8"/>
  <c r="P42" i="8"/>
  <c r="O42" i="8"/>
  <c r="P41" i="8"/>
  <c r="P40" i="8"/>
  <c r="O40" i="8"/>
  <c r="P39" i="8"/>
  <c r="P38" i="8"/>
  <c r="P37" i="8"/>
  <c r="P36" i="8"/>
  <c r="P35" i="8"/>
  <c r="P34" i="8"/>
  <c r="O34" i="8"/>
  <c r="K34" i="8"/>
  <c r="P33" i="8"/>
  <c r="K33" i="8"/>
  <c r="P31" i="8"/>
  <c r="P30" i="8"/>
  <c r="P29" i="8"/>
  <c r="P28" i="8"/>
  <c r="P26" i="8"/>
  <c r="P25" i="8"/>
  <c r="O25" i="8"/>
  <c r="P24" i="8"/>
  <c r="P23" i="8"/>
  <c r="O23" i="8"/>
  <c r="P22" i="8"/>
  <c r="P21" i="8"/>
  <c r="P20" i="8"/>
  <c r="P19" i="8"/>
  <c r="P18" i="8"/>
  <c r="P17" i="8"/>
  <c r="O17" i="8"/>
  <c r="P16" i="8"/>
  <c r="P15" i="8"/>
  <c r="O15" i="8"/>
  <c r="P14" i="8"/>
  <c r="P13" i="8"/>
  <c r="P12" i="8"/>
  <c r="P11" i="8"/>
  <c r="P10" i="8"/>
  <c r="P9" i="8"/>
  <c r="O9" i="8"/>
  <c r="P8" i="8"/>
  <c r="P7" i="8"/>
  <c r="O7" i="8"/>
  <c r="P6" i="8"/>
  <c r="P5" i="8"/>
  <c r="P4" i="8"/>
  <c r="P3" i="8"/>
  <c r="K287" i="10"/>
  <c r="J287" i="10"/>
  <c r="H287" i="10"/>
  <c r="K286" i="10"/>
  <c r="J286" i="10"/>
  <c r="H286" i="10"/>
  <c r="K285" i="10"/>
  <c r="J285" i="10"/>
  <c r="H285" i="10"/>
  <c r="K284" i="10"/>
  <c r="J284" i="10"/>
  <c r="H284" i="10"/>
  <c r="K283" i="10"/>
  <c r="J283" i="10"/>
  <c r="H283" i="10"/>
  <c r="K282" i="10"/>
  <c r="J282" i="10"/>
  <c r="H282" i="10"/>
  <c r="K281" i="10"/>
  <c r="J281" i="10"/>
  <c r="H281" i="10"/>
  <c r="K280" i="10"/>
  <c r="J280" i="10"/>
  <c r="H280" i="10"/>
  <c r="K279" i="10"/>
  <c r="J279" i="10"/>
  <c r="H279" i="10"/>
  <c r="K278" i="10"/>
  <c r="J278" i="10"/>
  <c r="H278" i="10"/>
  <c r="K277" i="10"/>
  <c r="J277" i="10"/>
  <c r="H277" i="10"/>
  <c r="K276" i="10"/>
  <c r="J276" i="10"/>
  <c r="H276" i="10"/>
  <c r="K275" i="10"/>
  <c r="J275" i="10"/>
  <c r="H275" i="10"/>
  <c r="K274" i="10"/>
  <c r="J274" i="10"/>
  <c r="H274" i="10"/>
  <c r="K273" i="10"/>
  <c r="J273" i="10"/>
  <c r="H273" i="10"/>
  <c r="K272" i="10"/>
  <c r="J272" i="10"/>
  <c r="H272" i="10"/>
  <c r="K271" i="10"/>
  <c r="J271" i="10"/>
  <c r="H271" i="10"/>
  <c r="K270" i="10"/>
  <c r="J270" i="10"/>
  <c r="H270" i="10"/>
  <c r="K269" i="10"/>
  <c r="J269" i="10"/>
  <c r="H269" i="10"/>
  <c r="K268" i="10"/>
  <c r="J268" i="10"/>
  <c r="H268" i="10"/>
  <c r="K267" i="10"/>
  <c r="J267" i="10"/>
  <c r="H267" i="10"/>
  <c r="K266" i="10"/>
  <c r="J266" i="10"/>
  <c r="H266" i="10"/>
  <c r="K265" i="10"/>
  <c r="J265" i="10"/>
  <c r="H265" i="10"/>
  <c r="K264" i="10"/>
  <c r="J264" i="10"/>
  <c r="H264" i="10"/>
  <c r="K263" i="10"/>
  <c r="J263" i="10"/>
  <c r="H263" i="10"/>
  <c r="K262" i="10"/>
  <c r="J262" i="10"/>
  <c r="H262" i="10"/>
  <c r="K261" i="10"/>
  <c r="J261" i="10"/>
  <c r="H261" i="10"/>
  <c r="K260" i="10"/>
  <c r="J260" i="10"/>
  <c r="H260" i="10"/>
  <c r="K259" i="10"/>
  <c r="J259" i="10"/>
  <c r="H259" i="10"/>
  <c r="K258" i="10"/>
  <c r="J258" i="10"/>
  <c r="H258" i="10"/>
  <c r="K257" i="10"/>
  <c r="J257" i="10"/>
  <c r="H257" i="10"/>
  <c r="K256" i="10"/>
  <c r="J256" i="10"/>
  <c r="H256" i="10"/>
  <c r="K255" i="10"/>
  <c r="J255" i="10"/>
  <c r="H255" i="10"/>
  <c r="K254" i="10"/>
  <c r="J254" i="10"/>
  <c r="H254" i="10"/>
  <c r="K253" i="10"/>
  <c r="J253" i="10"/>
  <c r="H253" i="10"/>
  <c r="K252" i="10"/>
  <c r="J252" i="10"/>
  <c r="H252" i="10"/>
  <c r="K251" i="10"/>
  <c r="J251" i="10"/>
  <c r="H251" i="10"/>
  <c r="K250" i="10"/>
  <c r="J250" i="10"/>
  <c r="H250" i="10"/>
  <c r="K249" i="10"/>
  <c r="J249" i="10"/>
  <c r="H249" i="10"/>
  <c r="K248" i="10"/>
  <c r="J248" i="10"/>
  <c r="H248" i="10"/>
  <c r="K247" i="10"/>
  <c r="J247" i="10"/>
  <c r="H247" i="10"/>
  <c r="K246" i="10"/>
  <c r="J246" i="10"/>
  <c r="H246" i="10"/>
  <c r="K245" i="10"/>
  <c r="J245" i="10"/>
  <c r="H245" i="10"/>
  <c r="K244" i="10"/>
  <c r="J244" i="10"/>
  <c r="H244" i="10"/>
  <c r="K243" i="10"/>
  <c r="J243" i="10"/>
  <c r="H243" i="10"/>
  <c r="K242" i="10"/>
  <c r="J242" i="10"/>
  <c r="H242" i="10"/>
  <c r="K241" i="10"/>
  <c r="J241" i="10"/>
  <c r="H241" i="10"/>
  <c r="K240" i="10"/>
  <c r="J240" i="10"/>
  <c r="H240" i="10"/>
  <c r="K239" i="10"/>
  <c r="J239" i="10"/>
  <c r="H239" i="10"/>
  <c r="K238" i="10"/>
  <c r="J238" i="10"/>
  <c r="H238" i="10"/>
  <c r="K237" i="10"/>
  <c r="J237" i="10"/>
  <c r="H237" i="10"/>
  <c r="K236" i="10"/>
  <c r="J236" i="10"/>
  <c r="H236" i="10"/>
  <c r="K235" i="10"/>
  <c r="J235" i="10"/>
  <c r="H235" i="10"/>
  <c r="K234" i="10"/>
  <c r="J234" i="10"/>
  <c r="H234" i="10"/>
  <c r="K233" i="10"/>
  <c r="J233" i="10"/>
  <c r="H233" i="10"/>
  <c r="K232" i="10"/>
  <c r="J232" i="10"/>
  <c r="H232" i="10"/>
  <c r="K231" i="10"/>
  <c r="J231" i="10"/>
  <c r="H231" i="10"/>
  <c r="K230" i="10"/>
  <c r="J230" i="10"/>
  <c r="H230" i="10"/>
  <c r="K229" i="10"/>
  <c r="J229" i="10"/>
  <c r="H229" i="10"/>
  <c r="X228" i="10"/>
  <c r="K228" i="10"/>
  <c r="J228" i="10"/>
  <c r="H228" i="10"/>
  <c r="K227" i="10"/>
  <c r="J227" i="10"/>
  <c r="H227" i="10"/>
  <c r="K226" i="10"/>
  <c r="J226" i="10"/>
  <c r="H226" i="10"/>
  <c r="K225" i="10"/>
  <c r="J225" i="10"/>
  <c r="H225" i="10"/>
  <c r="K224" i="10"/>
  <c r="J224" i="10"/>
  <c r="H224" i="10"/>
  <c r="K223" i="10"/>
  <c r="J223" i="10"/>
  <c r="H223" i="10"/>
  <c r="K222" i="10"/>
  <c r="J222" i="10"/>
  <c r="H222" i="10"/>
  <c r="K221" i="10"/>
  <c r="J221" i="10"/>
  <c r="H221" i="10"/>
  <c r="K220" i="10"/>
  <c r="J220" i="10"/>
  <c r="H220" i="10"/>
  <c r="K219" i="10"/>
  <c r="J219" i="10"/>
  <c r="H219" i="10"/>
  <c r="K218" i="10"/>
  <c r="J218" i="10"/>
  <c r="H218" i="10"/>
  <c r="K217" i="10"/>
  <c r="J217" i="10"/>
  <c r="H217" i="10"/>
  <c r="K216" i="10"/>
  <c r="J216" i="10"/>
  <c r="H216" i="10"/>
  <c r="K215" i="10"/>
  <c r="J215" i="10"/>
  <c r="H215" i="10"/>
  <c r="K214" i="10"/>
  <c r="J214" i="10"/>
  <c r="H214" i="10"/>
  <c r="K213" i="10"/>
  <c r="J213" i="10"/>
  <c r="H213" i="10"/>
  <c r="K212" i="10"/>
  <c r="J212" i="10"/>
  <c r="H212" i="10"/>
  <c r="K211" i="10"/>
  <c r="J211" i="10"/>
  <c r="H211" i="10"/>
  <c r="K210" i="10"/>
  <c r="J210" i="10"/>
  <c r="H210" i="10"/>
  <c r="K209" i="10"/>
  <c r="J209" i="10"/>
  <c r="H209" i="10"/>
  <c r="K208" i="10"/>
  <c r="J208" i="10"/>
  <c r="H208" i="10"/>
  <c r="K207" i="10"/>
  <c r="J207" i="10"/>
  <c r="H207" i="10"/>
  <c r="K206" i="10"/>
  <c r="J206" i="10"/>
  <c r="H206" i="10"/>
  <c r="K205" i="10"/>
  <c r="J205" i="10"/>
  <c r="H205" i="10"/>
  <c r="K204" i="10"/>
  <c r="J204" i="10"/>
  <c r="H204" i="10"/>
  <c r="K203" i="10"/>
  <c r="J203" i="10"/>
  <c r="H203" i="10"/>
  <c r="K202" i="10"/>
  <c r="J202" i="10"/>
  <c r="H202" i="10"/>
  <c r="K201" i="10"/>
  <c r="J201" i="10"/>
  <c r="H201" i="10"/>
  <c r="K200" i="10"/>
  <c r="J200" i="10"/>
  <c r="H200" i="10"/>
  <c r="K199" i="10"/>
  <c r="J199" i="10"/>
  <c r="H199" i="10"/>
  <c r="K198" i="10"/>
  <c r="J198" i="10"/>
  <c r="H198" i="10"/>
  <c r="K197" i="10"/>
  <c r="J197" i="10"/>
  <c r="H197" i="10"/>
  <c r="K196" i="10"/>
  <c r="J196" i="10"/>
  <c r="H196" i="10"/>
  <c r="K195" i="10"/>
  <c r="J195" i="10"/>
  <c r="H195" i="10"/>
  <c r="K194" i="10"/>
  <c r="J194" i="10"/>
  <c r="H194" i="10"/>
  <c r="K193" i="10"/>
  <c r="J193" i="10"/>
  <c r="H193" i="10"/>
  <c r="K192" i="10"/>
  <c r="J192" i="10"/>
  <c r="H192" i="10"/>
  <c r="K191" i="10"/>
  <c r="J191" i="10"/>
  <c r="H191" i="10"/>
  <c r="K190" i="10"/>
  <c r="J190" i="10"/>
  <c r="H190" i="10"/>
  <c r="K189" i="10"/>
  <c r="J189" i="10"/>
  <c r="H189" i="10"/>
  <c r="K188" i="10"/>
  <c r="J188" i="10"/>
  <c r="H188" i="10"/>
  <c r="K187" i="10"/>
  <c r="J187" i="10"/>
  <c r="H187" i="10"/>
  <c r="K186" i="10"/>
  <c r="J186" i="10"/>
  <c r="H186" i="10"/>
  <c r="K185" i="10"/>
  <c r="J185" i="10"/>
  <c r="H185" i="10"/>
  <c r="K184" i="10"/>
  <c r="J184" i="10"/>
  <c r="H184" i="10"/>
  <c r="K183" i="10"/>
  <c r="J183" i="10"/>
  <c r="H183" i="10"/>
  <c r="K182" i="10"/>
  <c r="J182" i="10"/>
  <c r="H182" i="10"/>
  <c r="K181" i="10"/>
  <c r="J181" i="10"/>
  <c r="H181" i="10"/>
  <c r="K180" i="10"/>
  <c r="J180" i="10"/>
  <c r="H180" i="10"/>
  <c r="K179" i="10"/>
  <c r="J179" i="10"/>
  <c r="H179" i="10"/>
  <c r="K178" i="10"/>
  <c r="J178" i="10"/>
  <c r="H178" i="10"/>
  <c r="K177" i="10"/>
  <c r="J177" i="10"/>
  <c r="H177" i="10"/>
  <c r="K176" i="10"/>
  <c r="J176" i="10"/>
  <c r="H176" i="10"/>
  <c r="K175" i="10"/>
  <c r="J175" i="10"/>
  <c r="H175" i="10"/>
  <c r="K174" i="10"/>
  <c r="J174" i="10"/>
  <c r="H174" i="10"/>
  <c r="K173" i="10"/>
  <c r="J173" i="10"/>
  <c r="H173" i="10"/>
  <c r="K172" i="10"/>
  <c r="J172" i="10"/>
  <c r="H172" i="10"/>
  <c r="K171" i="10"/>
  <c r="J171" i="10"/>
  <c r="H171" i="10"/>
  <c r="K170" i="10"/>
  <c r="J170" i="10"/>
  <c r="H170" i="10"/>
  <c r="K169" i="10"/>
  <c r="J169" i="10"/>
  <c r="H169" i="10"/>
  <c r="K168" i="10"/>
  <c r="J168" i="10"/>
  <c r="H168" i="10"/>
  <c r="K167" i="10"/>
  <c r="J167" i="10"/>
  <c r="H167" i="10"/>
  <c r="K166" i="10"/>
  <c r="J166" i="10"/>
  <c r="H166" i="10"/>
  <c r="K165" i="10"/>
  <c r="J165" i="10"/>
  <c r="H165" i="10"/>
  <c r="K164" i="10"/>
  <c r="J164" i="10"/>
  <c r="H164" i="10"/>
  <c r="K163" i="10"/>
  <c r="J163" i="10"/>
  <c r="H163" i="10"/>
  <c r="K162" i="10"/>
  <c r="J162" i="10"/>
  <c r="H162" i="10"/>
  <c r="K161" i="10"/>
  <c r="J161" i="10"/>
  <c r="H161" i="10"/>
  <c r="K160" i="10"/>
  <c r="J160" i="10"/>
  <c r="H160" i="10"/>
  <c r="K159" i="10"/>
  <c r="J159" i="10"/>
  <c r="H159" i="10"/>
  <c r="K158" i="10"/>
  <c r="J158" i="10"/>
  <c r="H158" i="10"/>
  <c r="K157" i="10"/>
  <c r="J157" i="10"/>
  <c r="H157" i="10"/>
  <c r="K156" i="10"/>
  <c r="J156" i="10"/>
  <c r="H156" i="10"/>
  <c r="K155" i="10"/>
  <c r="J155" i="10"/>
  <c r="H155" i="10"/>
  <c r="K154" i="10"/>
  <c r="J154" i="10"/>
  <c r="H154" i="10"/>
  <c r="K153" i="10"/>
  <c r="J153" i="10"/>
  <c r="H153" i="10"/>
  <c r="K152" i="10"/>
  <c r="J152" i="10"/>
  <c r="H152" i="10"/>
  <c r="K151" i="10"/>
  <c r="J151" i="10"/>
  <c r="H151" i="10"/>
  <c r="K150" i="10"/>
  <c r="J150" i="10"/>
  <c r="H150" i="10"/>
  <c r="K149" i="10"/>
  <c r="J149" i="10"/>
  <c r="H149" i="10"/>
  <c r="K148" i="10"/>
  <c r="J148" i="10"/>
  <c r="H148" i="10"/>
  <c r="K147" i="10"/>
  <c r="J147" i="10"/>
  <c r="H147" i="10"/>
  <c r="K146" i="10"/>
  <c r="J146" i="10"/>
  <c r="H146" i="10"/>
  <c r="K145" i="10"/>
  <c r="J145" i="10"/>
  <c r="H145" i="10"/>
  <c r="K144" i="10"/>
  <c r="J144" i="10"/>
  <c r="H144" i="10"/>
  <c r="K143" i="10"/>
  <c r="J143" i="10"/>
  <c r="H143" i="10"/>
  <c r="K142" i="10"/>
  <c r="J142" i="10"/>
  <c r="H142" i="10"/>
  <c r="K141" i="10"/>
  <c r="J141" i="10"/>
  <c r="H141" i="10"/>
  <c r="K140" i="10"/>
  <c r="J140" i="10"/>
  <c r="H140" i="10"/>
  <c r="K139" i="10"/>
  <c r="J139" i="10"/>
  <c r="H139" i="10"/>
  <c r="K138" i="10"/>
  <c r="J138" i="10"/>
  <c r="H138" i="10"/>
  <c r="K137" i="10"/>
  <c r="J137" i="10"/>
  <c r="H137" i="10"/>
  <c r="K136" i="10"/>
  <c r="J136" i="10"/>
  <c r="H136" i="10"/>
  <c r="K135" i="10"/>
  <c r="J135" i="10"/>
  <c r="H135" i="10"/>
  <c r="K134" i="10"/>
  <c r="J134" i="10"/>
  <c r="H134" i="10"/>
  <c r="K133" i="10"/>
  <c r="J133" i="10"/>
  <c r="H133" i="10"/>
  <c r="K132" i="10"/>
  <c r="J132" i="10"/>
  <c r="H132" i="10"/>
  <c r="K131" i="10"/>
  <c r="J131" i="10"/>
  <c r="H131" i="10"/>
  <c r="K130" i="10"/>
  <c r="J130" i="10"/>
  <c r="H130" i="10"/>
  <c r="K129" i="10"/>
  <c r="J129" i="10"/>
  <c r="H129" i="10"/>
  <c r="K128" i="10"/>
  <c r="J128" i="10"/>
  <c r="H128" i="10"/>
  <c r="K127" i="10"/>
  <c r="J127" i="10"/>
  <c r="H127" i="10"/>
  <c r="K126" i="10"/>
  <c r="J126" i="10"/>
  <c r="H126" i="10"/>
  <c r="K125" i="10"/>
  <c r="J125" i="10"/>
  <c r="H125" i="10"/>
  <c r="K124" i="10"/>
  <c r="J124" i="10"/>
  <c r="H124" i="10"/>
  <c r="K123" i="10"/>
  <c r="J123" i="10"/>
  <c r="H123" i="10"/>
  <c r="K122" i="10"/>
  <c r="J122" i="10"/>
  <c r="H122" i="10"/>
  <c r="K120" i="10"/>
  <c r="J120" i="10"/>
  <c r="H120" i="10"/>
  <c r="K119" i="10"/>
  <c r="J119" i="10"/>
  <c r="H119" i="10"/>
  <c r="K118" i="10"/>
  <c r="J118" i="10"/>
  <c r="H118" i="10"/>
  <c r="K117" i="10"/>
  <c r="J117" i="10"/>
  <c r="H117" i="10"/>
  <c r="K116" i="10"/>
  <c r="J116" i="10"/>
  <c r="H116" i="10"/>
  <c r="K115" i="10"/>
  <c r="J115" i="10"/>
  <c r="H115" i="10"/>
  <c r="K114" i="10"/>
  <c r="J114" i="10"/>
  <c r="H114" i="10"/>
  <c r="K113" i="10"/>
  <c r="J113" i="10"/>
  <c r="H113" i="10"/>
  <c r="K112" i="10"/>
  <c r="J112" i="10"/>
  <c r="H112" i="10"/>
  <c r="K111" i="10"/>
  <c r="J111" i="10"/>
  <c r="H111" i="10"/>
  <c r="K109" i="10"/>
  <c r="J109" i="10"/>
  <c r="H109" i="10"/>
  <c r="K108" i="10"/>
  <c r="J108" i="10"/>
  <c r="H108" i="10"/>
  <c r="K107" i="10"/>
  <c r="J107" i="10"/>
  <c r="H107" i="10"/>
  <c r="K106" i="10"/>
  <c r="J106" i="10"/>
  <c r="H106" i="10"/>
  <c r="K105" i="10"/>
  <c r="J105" i="10"/>
  <c r="H105" i="10"/>
  <c r="K104" i="10"/>
  <c r="J104" i="10"/>
  <c r="H104" i="10"/>
  <c r="K103" i="10"/>
  <c r="J103" i="10"/>
  <c r="H103" i="10"/>
  <c r="K102" i="10"/>
  <c r="J102" i="10"/>
  <c r="H102" i="10"/>
  <c r="K101" i="10"/>
  <c r="J101" i="10"/>
  <c r="H101" i="10"/>
  <c r="K100" i="10"/>
  <c r="J100" i="10"/>
  <c r="H100" i="10"/>
  <c r="K99" i="10"/>
  <c r="J99" i="10"/>
  <c r="H99" i="10"/>
  <c r="K98" i="10"/>
  <c r="J98" i="10"/>
  <c r="H98" i="10"/>
  <c r="K97" i="10"/>
  <c r="J97" i="10"/>
  <c r="H97" i="10"/>
  <c r="K96" i="10"/>
  <c r="J96" i="10"/>
  <c r="H96" i="10"/>
  <c r="K95" i="10"/>
  <c r="J95" i="10"/>
  <c r="H95" i="10"/>
  <c r="K94" i="10"/>
  <c r="J94" i="10"/>
  <c r="H94" i="10"/>
  <c r="K93" i="10"/>
  <c r="J93" i="10"/>
  <c r="H93" i="10"/>
  <c r="K92" i="10"/>
  <c r="J92" i="10"/>
  <c r="H92" i="10"/>
  <c r="K91" i="10"/>
  <c r="J91" i="10"/>
  <c r="H91" i="10"/>
  <c r="K90" i="10"/>
  <c r="J90" i="10"/>
  <c r="H90" i="10"/>
  <c r="K89" i="10"/>
  <c r="J89" i="10"/>
  <c r="H89" i="10"/>
  <c r="K88" i="10"/>
  <c r="J88" i="10"/>
  <c r="H88" i="10"/>
  <c r="K87" i="10"/>
  <c r="J87" i="10"/>
  <c r="H87" i="10"/>
  <c r="K86" i="10"/>
  <c r="J86" i="10"/>
  <c r="H86" i="10"/>
  <c r="K85" i="10"/>
  <c r="J85" i="10"/>
  <c r="H85" i="10"/>
  <c r="K84" i="10"/>
  <c r="J84" i="10"/>
  <c r="H84" i="10"/>
  <c r="K83" i="10"/>
  <c r="J83" i="10"/>
  <c r="H83" i="10"/>
  <c r="K82" i="10"/>
  <c r="J82" i="10"/>
  <c r="H82" i="10"/>
  <c r="K81" i="10"/>
  <c r="J81" i="10"/>
  <c r="H81" i="10"/>
  <c r="K80" i="10"/>
  <c r="J80" i="10"/>
  <c r="H80" i="10"/>
  <c r="K79" i="10"/>
  <c r="J79" i="10"/>
  <c r="H79" i="10"/>
  <c r="K78" i="10"/>
  <c r="J78" i="10"/>
  <c r="H78" i="10"/>
  <c r="K77" i="10"/>
  <c r="J77" i="10"/>
  <c r="H77" i="10"/>
  <c r="K76" i="10"/>
  <c r="J76" i="10"/>
  <c r="H76" i="10"/>
  <c r="K75" i="10"/>
  <c r="J75" i="10"/>
  <c r="H75" i="10"/>
  <c r="K74" i="10"/>
  <c r="J74" i="10"/>
  <c r="H74" i="10"/>
  <c r="K73" i="10"/>
  <c r="J73" i="10"/>
  <c r="H73" i="10"/>
  <c r="K72" i="10"/>
  <c r="J72" i="10"/>
  <c r="H72" i="10"/>
  <c r="K71" i="10"/>
  <c r="J71" i="10"/>
  <c r="H71" i="10"/>
  <c r="K70" i="10"/>
  <c r="J70" i="10"/>
  <c r="H70" i="10"/>
  <c r="K69" i="10"/>
  <c r="J69" i="10"/>
  <c r="H69" i="10"/>
  <c r="K68" i="10"/>
  <c r="J68" i="10"/>
  <c r="H68" i="10"/>
  <c r="K67" i="10"/>
  <c r="J67" i="10"/>
  <c r="H67" i="10"/>
  <c r="K66" i="10"/>
  <c r="J66" i="10"/>
  <c r="H66" i="10"/>
  <c r="K65" i="10"/>
  <c r="J65" i="10"/>
  <c r="H65" i="10"/>
  <c r="K64" i="10"/>
  <c r="J64" i="10"/>
  <c r="H64" i="10"/>
  <c r="K63" i="10"/>
  <c r="J63" i="10"/>
  <c r="H63" i="10"/>
  <c r="K62" i="10"/>
  <c r="J62" i="10"/>
  <c r="H62" i="10"/>
  <c r="K61" i="10"/>
  <c r="J61" i="10"/>
  <c r="H61" i="10"/>
  <c r="K60" i="10"/>
  <c r="J60" i="10"/>
  <c r="H60" i="10"/>
  <c r="K59" i="10"/>
  <c r="J59" i="10"/>
  <c r="H59" i="10"/>
  <c r="K58" i="10"/>
  <c r="J58" i="10"/>
  <c r="H58" i="10"/>
  <c r="K57" i="10"/>
  <c r="J57" i="10"/>
  <c r="H57" i="10"/>
  <c r="K56" i="10"/>
  <c r="J56" i="10"/>
  <c r="H56" i="10"/>
  <c r="K55" i="10"/>
  <c r="J55" i="10"/>
  <c r="H55" i="10"/>
  <c r="K54" i="10"/>
  <c r="J54" i="10"/>
  <c r="H54" i="10"/>
  <c r="K53" i="10"/>
  <c r="J53" i="10"/>
  <c r="H53" i="10"/>
  <c r="K52" i="10"/>
  <c r="J52" i="10"/>
  <c r="H52" i="10"/>
  <c r="K51" i="10"/>
  <c r="J51" i="10"/>
  <c r="H51" i="10"/>
  <c r="K50" i="10"/>
  <c r="J50" i="10"/>
  <c r="H50" i="10"/>
  <c r="K49" i="10"/>
  <c r="J49" i="10"/>
  <c r="H49" i="10"/>
  <c r="K48" i="10"/>
  <c r="J48" i="10"/>
  <c r="H48" i="10"/>
  <c r="K47" i="10"/>
  <c r="J47" i="10"/>
  <c r="H47" i="10"/>
  <c r="K46" i="10"/>
  <c r="J46" i="10"/>
  <c r="H46" i="10"/>
  <c r="K45" i="10"/>
  <c r="J45" i="10"/>
  <c r="H45" i="10"/>
  <c r="K44" i="10"/>
  <c r="J44" i="10"/>
  <c r="H44" i="10"/>
  <c r="K43" i="10"/>
  <c r="J43" i="10"/>
  <c r="H43" i="10"/>
  <c r="K42" i="10"/>
  <c r="J42" i="10"/>
  <c r="H42" i="10"/>
  <c r="K41" i="10"/>
  <c r="J41" i="10"/>
  <c r="H41" i="10"/>
  <c r="K40" i="10"/>
  <c r="J40" i="10"/>
  <c r="H40" i="10"/>
  <c r="K39" i="10"/>
  <c r="J39" i="10"/>
  <c r="H39" i="10"/>
  <c r="K38" i="10"/>
  <c r="J38" i="10"/>
  <c r="H38" i="10"/>
  <c r="K37" i="10"/>
  <c r="J37" i="10"/>
  <c r="H37" i="10"/>
  <c r="K36" i="10"/>
  <c r="J36" i="10"/>
  <c r="H36" i="10"/>
  <c r="K35" i="10"/>
  <c r="J35" i="10"/>
  <c r="H35" i="10"/>
  <c r="K34" i="10"/>
  <c r="J34" i="10"/>
  <c r="H34" i="10"/>
  <c r="K33" i="10"/>
  <c r="J33" i="10"/>
  <c r="H33" i="10"/>
  <c r="K32" i="10"/>
  <c r="J32" i="10"/>
  <c r="H32" i="10"/>
  <c r="K31" i="10"/>
  <c r="J31" i="10"/>
  <c r="H31" i="10"/>
  <c r="K30" i="10"/>
  <c r="J30" i="10"/>
  <c r="H30" i="10"/>
  <c r="K29" i="10"/>
  <c r="J29" i="10"/>
  <c r="H29" i="10"/>
  <c r="K28" i="10"/>
  <c r="J28" i="10"/>
  <c r="H28" i="10"/>
  <c r="K27" i="10"/>
  <c r="J27" i="10"/>
  <c r="H27" i="10"/>
  <c r="K26" i="10"/>
  <c r="J26" i="10"/>
  <c r="H26" i="10"/>
  <c r="K25" i="10"/>
  <c r="J25" i="10"/>
  <c r="H25" i="10"/>
  <c r="K24" i="10"/>
  <c r="J24" i="10"/>
  <c r="H24" i="10"/>
  <c r="K23" i="10"/>
  <c r="J23" i="10"/>
  <c r="H23" i="10"/>
  <c r="K22" i="10"/>
  <c r="J22" i="10"/>
  <c r="H22" i="10"/>
  <c r="K21" i="10"/>
  <c r="J21" i="10"/>
  <c r="H21" i="10"/>
  <c r="K20" i="10"/>
  <c r="J20" i="10"/>
  <c r="H20" i="10"/>
  <c r="K18" i="10"/>
  <c r="J18" i="10"/>
  <c r="H18" i="10"/>
  <c r="K17" i="10"/>
  <c r="J17" i="10"/>
  <c r="H17" i="10"/>
  <c r="K16" i="10"/>
  <c r="J16" i="10"/>
  <c r="H16" i="10"/>
  <c r="K15" i="10"/>
  <c r="J15" i="10"/>
  <c r="H15" i="10"/>
  <c r="K14" i="10"/>
  <c r="J14" i="10"/>
  <c r="H14" i="10"/>
  <c r="K13" i="10"/>
  <c r="J13" i="10"/>
  <c r="H13" i="10"/>
  <c r="K12" i="10"/>
  <c r="J12" i="10"/>
  <c r="H12" i="10"/>
  <c r="K11" i="10"/>
  <c r="J11" i="10"/>
  <c r="H11" i="10"/>
  <c r="K10" i="10"/>
  <c r="J10" i="10"/>
  <c r="H10" i="10"/>
  <c r="K9" i="10"/>
  <c r="J9" i="10"/>
  <c r="H9" i="10"/>
  <c r="K8" i="10"/>
  <c r="J8" i="10"/>
  <c r="H8" i="10"/>
  <c r="K7" i="10"/>
  <c r="J7" i="10"/>
  <c r="H7" i="10"/>
  <c r="K6" i="10"/>
  <c r="J6" i="10"/>
  <c r="H6" i="10"/>
  <c r="K5" i="10"/>
  <c r="J5" i="10"/>
  <c r="H5" i="10"/>
  <c r="K4" i="10"/>
  <c r="J4" i="10"/>
  <c r="H4" i="10"/>
  <c r="F250" i="35"/>
  <c r="E250" i="35"/>
  <c r="F249" i="35"/>
  <c r="E249" i="35"/>
  <c r="F248" i="35"/>
  <c r="F247" i="35"/>
  <c r="F246" i="35"/>
  <c r="F245" i="35"/>
  <c r="F244" i="35"/>
  <c r="E244" i="35"/>
  <c r="F243" i="35"/>
  <c r="F242" i="35"/>
  <c r="G241" i="35"/>
  <c r="F241" i="35"/>
  <c r="F240" i="35"/>
  <c r="F239" i="35"/>
  <c r="F238" i="35"/>
  <c r="F237" i="35"/>
  <c r="F236" i="35"/>
  <c r="G235" i="35"/>
  <c r="F235" i="35"/>
  <c r="G234" i="35"/>
  <c r="E234" i="35"/>
  <c r="H231" i="35"/>
  <c r="G231" i="35"/>
  <c r="H230" i="35"/>
  <c r="G230" i="35"/>
  <c r="H229" i="35"/>
  <c r="G229" i="35"/>
  <c r="H228" i="35"/>
  <c r="G228" i="35"/>
  <c r="F228" i="35"/>
  <c r="E228" i="35"/>
  <c r="H227" i="35"/>
  <c r="G227" i="35"/>
  <c r="F227" i="35"/>
  <c r="E227" i="35"/>
  <c r="I227" i="35" s="1"/>
  <c r="H226" i="35"/>
  <c r="G226" i="35"/>
  <c r="F226" i="35"/>
  <c r="E226" i="35"/>
  <c r="I226" i="35" s="1"/>
  <c r="K226" i="35" s="1"/>
  <c r="H225" i="35"/>
  <c r="G225" i="35"/>
  <c r="F225" i="35"/>
  <c r="E225" i="35"/>
  <c r="I225" i="35" s="1"/>
  <c r="K225" i="35" s="1"/>
  <c r="H224" i="35"/>
  <c r="G224" i="35"/>
  <c r="F224" i="35"/>
  <c r="E224" i="35"/>
  <c r="I224" i="35" s="1"/>
  <c r="K224" i="35" s="1"/>
  <c r="H223" i="35"/>
  <c r="G223" i="35"/>
  <c r="F223" i="35"/>
  <c r="E223" i="35"/>
  <c r="I223" i="35" s="1"/>
  <c r="K223" i="35" s="1"/>
  <c r="H222" i="35"/>
  <c r="G222" i="35"/>
  <c r="F222" i="35"/>
  <c r="E222" i="35"/>
  <c r="H221" i="35"/>
  <c r="G221" i="35"/>
  <c r="F221" i="35"/>
  <c r="E221" i="35"/>
  <c r="I221" i="35" s="1"/>
  <c r="K221" i="35" s="1"/>
  <c r="H220" i="35"/>
  <c r="G220" i="35"/>
  <c r="F220" i="35"/>
  <c r="E220" i="35"/>
  <c r="H219" i="35"/>
  <c r="G219" i="35"/>
  <c r="F219" i="35"/>
  <c r="E219" i="35"/>
  <c r="I219" i="35" s="1"/>
  <c r="K219" i="35" s="1"/>
  <c r="H218" i="35"/>
  <c r="G218" i="35"/>
  <c r="F218" i="35"/>
  <c r="E218" i="35"/>
  <c r="I218" i="35" s="1"/>
  <c r="K218" i="35" s="1"/>
  <c r="H217" i="35"/>
  <c r="G217" i="35"/>
  <c r="F217" i="35"/>
  <c r="E217" i="35"/>
  <c r="I217" i="35" s="1"/>
  <c r="K217" i="35" s="1"/>
  <c r="H216" i="35"/>
  <c r="G216" i="35"/>
  <c r="F216" i="35"/>
  <c r="E216" i="35"/>
  <c r="I216" i="35" s="1"/>
  <c r="K216" i="35" s="1"/>
  <c r="H215" i="35"/>
  <c r="G215" i="35"/>
  <c r="F215" i="35"/>
  <c r="E215" i="35"/>
  <c r="I215" i="35" s="1"/>
  <c r="K215" i="35" s="1"/>
  <c r="H214" i="35"/>
  <c r="G214" i="35"/>
  <c r="F214" i="35"/>
  <c r="E214" i="35"/>
  <c r="H213" i="35"/>
  <c r="G213" i="35"/>
  <c r="F213" i="35"/>
  <c r="E213" i="35"/>
  <c r="I213" i="35" s="1"/>
  <c r="K213" i="35" s="1"/>
  <c r="H210" i="35"/>
  <c r="G210" i="35"/>
  <c r="H209" i="35"/>
  <c r="G209" i="35"/>
  <c r="H208" i="35"/>
  <c r="G208" i="35"/>
  <c r="H207" i="35"/>
  <c r="G207" i="35"/>
  <c r="F207" i="35"/>
  <c r="E207" i="35"/>
  <c r="I207" i="35" s="1"/>
  <c r="K207" i="35" s="1"/>
  <c r="H206" i="35"/>
  <c r="G206" i="35"/>
  <c r="F206" i="35"/>
  <c r="E206" i="35"/>
  <c r="I206" i="35" s="1"/>
  <c r="K206" i="35" s="1"/>
  <c r="H205" i="35"/>
  <c r="G205" i="35"/>
  <c r="F205" i="35"/>
  <c r="E205" i="35"/>
  <c r="I205" i="35" s="1"/>
  <c r="K205" i="35" s="1"/>
  <c r="H204" i="35"/>
  <c r="G204" i="35"/>
  <c r="F204" i="35"/>
  <c r="E204" i="35"/>
  <c r="I204" i="35" s="1"/>
  <c r="K204" i="35" s="1"/>
  <c r="H203" i="35"/>
  <c r="G203" i="35"/>
  <c r="F203" i="35"/>
  <c r="E203" i="35"/>
  <c r="I203" i="35" s="1"/>
  <c r="K203" i="35" s="1"/>
  <c r="H202" i="35"/>
  <c r="G202" i="35"/>
  <c r="F202" i="35"/>
  <c r="E202" i="35"/>
  <c r="I202" i="35" s="1"/>
  <c r="K202" i="35" s="1"/>
  <c r="H201" i="35"/>
  <c r="G201" i="35"/>
  <c r="F201" i="35"/>
  <c r="E201" i="35"/>
  <c r="I201" i="35" s="1"/>
  <c r="K201" i="35" s="1"/>
  <c r="H200" i="35"/>
  <c r="G200" i="35"/>
  <c r="F200" i="35"/>
  <c r="E200" i="35"/>
  <c r="I200" i="35" s="1"/>
  <c r="K200" i="35" s="1"/>
  <c r="H199" i="35"/>
  <c r="G199" i="35"/>
  <c r="F199" i="35"/>
  <c r="E199" i="35"/>
  <c r="I199" i="35" s="1"/>
  <c r="K199" i="35" s="1"/>
  <c r="H198" i="35"/>
  <c r="G198" i="35"/>
  <c r="F198" i="35"/>
  <c r="E198" i="35"/>
  <c r="I198" i="35" s="1"/>
  <c r="K198" i="35" s="1"/>
  <c r="H197" i="35"/>
  <c r="G197" i="35"/>
  <c r="F197" i="35"/>
  <c r="E197" i="35"/>
  <c r="I197" i="35" s="1"/>
  <c r="K197" i="35" s="1"/>
  <c r="H196" i="35"/>
  <c r="G196" i="35"/>
  <c r="F196" i="35"/>
  <c r="E196" i="35"/>
  <c r="I196" i="35" s="1"/>
  <c r="K196" i="35" s="1"/>
  <c r="H195" i="35"/>
  <c r="G195" i="35"/>
  <c r="F195" i="35"/>
  <c r="E195" i="35"/>
  <c r="I195" i="35" s="1"/>
  <c r="K195" i="35" s="1"/>
  <c r="H194" i="35"/>
  <c r="G194" i="35"/>
  <c r="F194" i="35"/>
  <c r="E194" i="35"/>
  <c r="H193" i="35"/>
  <c r="G193" i="35"/>
  <c r="F193" i="35"/>
  <c r="E193" i="35"/>
  <c r="I193" i="35" s="1"/>
  <c r="K193" i="35" s="1"/>
  <c r="H192" i="35"/>
  <c r="G192" i="35"/>
  <c r="F192" i="35"/>
  <c r="E192" i="35"/>
  <c r="I192" i="35" s="1"/>
  <c r="K192" i="35" s="1"/>
  <c r="K188" i="35"/>
  <c r="I188" i="35"/>
  <c r="G187" i="35"/>
  <c r="I187" i="35" s="1"/>
  <c r="K187" i="35" s="1"/>
  <c r="G184" i="35"/>
  <c r="I184" i="35" s="1"/>
  <c r="K184" i="35" s="1"/>
  <c r="L185" i="35" s="1"/>
  <c r="G180" i="35"/>
  <c r="F180" i="35"/>
  <c r="G179" i="35"/>
  <c r="F179" i="35"/>
  <c r="G178" i="35"/>
  <c r="F178" i="35"/>
  <c r="G177" i="35"/>
  <c r="G176" i="35"/>
  <c r="I175" i="35"/>
  <c r="K175" i="35" s="1"/>
  <c r="G175" i="35"/>
  <c r="I174" i="35"/>
  <c r="K174" i="35" s="1"/>
  <c r="G174" i="35"/>
  <c r="G173" i="35"/>
  <c r="I173" i="35" s="1"/>
  <c r="K173" i="35" s="1"/>
  <c r="G172" i="35"/>
  <c r="I172" i="35" s="1"/>
  <c r="K172" i="35" s="1"/>
  <c r="I171" i="35"/>
  <c r="K171" i="35" s="1"/>
  <c r="G171" i="35"/>
  <c r="I170" i="35"/>
  <c r="K170" i="35" s="1"/>
  <c r="G170" i="35"/>
  <c r="H169" i="35"/>
  <c r="G169" i="35"/>
  <c r="I169" i="35" s="1"/>
  <c r="K169" i="35" s="1"/>
  <c r="G168" i="35"/>
  <c r="I168" i="35" s="1"/>
  <c r="K168" i="35" s="1"/>
  <c r="G167" i="35"/>
  <c r="I167" i="35" s="1"/>
  <c r="K167" i="35" s="1"/>
  <c r="G166" i="35"/>
  <c r="I166" i="35" s="1"/>
  <c r="K166" i="35" s="1"/>
  <c r="G165" i="35"/>
  <c r="I165" i="35" s="1"/>
  <c r="K165" i="35" s="1"/>
  <c r="G164" i="35"/>
  <c r="I164" i="35" s="1"/>
  <c r="K164" i="35" s="1"/>
  <c r="I163" i="35"/>
  <c r="K163" i="35" s="1"/>
  <c r="G163" i="35"/>
  <c r="I162" i="35"/>
  <c r="K162" i="35" s="1"/>
  <c r="G162" i="35"/>
  <c r="H161" i="35"/>
  <c r="G161" i="35"/>
  <c r="I161" i="35" s="1"/>
  <c r="K161" i="35" s="1"/>
  <c r="G160" i="35"/>
  <c r="I160" i="35" s="1"/>
  <c r="K160" i="35" s="1"/>
  <c r="H156" i="35"/>
  <c r="H178" i="35" s="1"/>
  <c r="G156" i="35"/>
  <c r="H155" i="35"/>
  <c r="H177" i="35" s="1"/>
  <c r="G155" i="35"/>
  <c r="H154" i="35"/>
  <c r="H176" i="35" s="1"/>
  <c r="G154" i="35"/>
  <c r="H153" i="35"/>
  <c r="H175" i="35" s="1"/>
  <c r="G153" i="35"/>
  <c r="I153" i="35" s="1"/>
  <c r="K153" i="35" s="1"/>
  <c r="F153" i="35"/>
  <c r="F175" i="35" s="1"/>
  <c r="H152" i="35"/>
  <c r="H174" i="35" s="1"/>
  <c r="G152" i="35"/>
  <c r="I152" i="35" s="1"/>
  <c r="K152" i="35" s="1"/>
  <c r="F152" i="35"/>
  <c r="F174" i="35" s="1"/>
  <c r="H151" i="35"/>
  <c r="H173" i="35" s="1"/>
  <c r="G151" i="35"/>
  <c r="I151" i="35" s="1"/>
  <c r="K151" i="35" s="1"/>
  <c r="F151" i="35"/>
  <c r="F173" i="35" s="1"/>
  <c r="H150" i="35"/>
  <c r="H172" i="35" s="1"/>
  <c r="G150" i="35"/>
  <c r="I150" i="35" s="1"/>
  <c r="K150" i="35" s="1"/>
  <c r="F150" i="35"/>
  <c r="F172" i="35" s="1"/>
  <c r="H149" i="35"/>
  <c r="H171" i="35" s="1"/>
  <c r="G149" i="35"/>
  <c r="I149" i="35" s="1"/>
  <c r="K149" i="35" s="1"/>
  <c r="F149" i="35"/>
  <c r="F171" i="35" s="1"/>
  <c r="I148" i="35"/>
  <c r="K148" i="35" s="1"/>
  <c r="H148" i="35"/>
  <c r="H170" i="35" s="1"/>
  <c r="G148" i="35"/>
  <c r="F148" i="35"/>
  <c r="F170" i="35" s="1"/>
  <c r="I147" i="35"/>
  <c r="K147" i="35" s="1"/>
  <c r="H147" i="35"/>
  <c r="G147" i="35"/>
  <c r="F147" i="35"/>
  <c r="F169" i="35" s="1"/>
  <c r="H146" i="35"/>
  <c r="H168" i="35" s="1"/>
  <c r="G146" i="35"/>
  <c r="I146" i="35" s="1"/>
  <c r="K146" i="35" s="1"/>
  <c r="F146" i="35"/>
  <c r="F168" i="35" s="1"/>
  <c r="H145" i="35"/>
  <c r="H167" i="35" s="1"/>
  <c r="G145" i="35"/>
  <c r="I145" i="35" s="1"/>
  <c r="K145" i="35" s="1"/>
  <c r="F145" i="35"/>
  <c r="F167" i="35" s="1"/>
  <c r="H144" i="35"/>
  <c r="H166" i="35" s="1"/>
  <c r="G144" i="35"/>
  <c r="I144" i="35" s="1"/>
  <c r="K144" i="35" s="1"/>
  <c r="F144" i="35"/>
  <c r="F166" i="35" s="1"/>
  <c r="H143" i="35"/>
  <c r="H165" i="35" s="1"/>
  <c r="G143" i="35"/>
  <c r="I143" i="35" s="1"/>
  <c r="K143" i="35" s="1"/>
  <c r="F143" i="35"/>
  <c r="F165" i="35" s="1"/>
  <c r="H142" i="35"/>
  <c r="H164" i="35" s="1"/>
  <c r="G142" i="35"/>
  <c r="I142" i="35" s="1"/>
  <c r="K142" i="35" s="1"/>
  <c r="F142" i="35"/>
  <c r="F164" i="35" s="1"/>
  <c r="H141" i="35"/>
  <c r="H163" i="35" s="1"/>
  <c r="G141" i="35"/>
  <c r="I141" i="35" s="1"/>
  <c r="K141" i="35" s="1"/>
  <c r="F141" i="35"/>
  <c r="F163" i="35" s="1"/>
  <c r="I140" i="35"/>
  <c r="K140" i="35" s="1"/>
  <c r="H140" i="35"/>
  <c r="H162" i="35" s="1"/>
  <c r="G140" i="35"/>
  <c r="F140" i="35"/>
  <c r="F162" i="35" s="1"/>
  <c r="I139" i="35"/>
  <c r="K139" i="35" s="1"/>
  <c r="H139" i="35"/>
  <c r="G139" i="35"/>
  <c r="F139" i="35"/>
  <c r="F161" i="35" s="1"/>
  <c r="H138" i="35"/>
  <c r="H160" i="35" s="1"/>
  <c r="G138" i="35"/>
  <c r="I138" i="35" s="1"/>
  <c r="K138" i="35" s="1"/>
  <c r="F138" i="35"/>
  <c r="F160" i="35" s="1"/>
  <c r="G135" i="35"/>
  <c r="F135" i="35"/>
  <c r="F156" i="35" s="1"/>
  <c r="G134" i="35"/>
  <c r="F134" i="35"/>
  <c r="G133" i="35"/>
  <c r="F133" i="35"/>
  <c r="F154" i="35" s="1"/>
  <c r="F176" i="35" s="1"/>
  <c r="G132" i="35"/>
  <c r="I132" i="35" s="1"/>
  <c r="K132" i="35" s="1"/>
  <c r="G131" i="35"/>
  <c r="I131" i="35" s="1"/>
  <c r="K131" i="35" s="1"/>
  <c r="I130" i="35"/>
  <c r="K130" i="35" s="1"/>
  <c r="G130" i="35"/>
  <c r="G129" i="35"/>
  <c r="I129" i="35" s="1"/>
  <c r="K129" i="35" s="1"/>
  <c r="G128" i="35"/>
  <c r="I128" i="35" s="1"/>
  <c r="K128" i="35" s="1"/>
  <c r="G127" i="35"/>
  <c r="I127" i="35" s="1"/>
  <c r="K127" i="35" s="1"/>
  <c r="G126" i="35"/>
  <c r="I126" i="35" s="1"/>
  <c r="K126" i="35" s="1"/>
  <c r="I125" i="35"/>
  <c r="K125" i="35" s="1"/>
  <c r="G125" i="35"/>
  <c r="G124" i="35"/>
  <c r="I124" i="35" s="1"/>
  <c r="K124" i="35" s="1"/>
  <c r="G123" i="35"/>
  <c r="I123" i="35" s="1"/>
  <c r="K123" i="35" s="1"/>
  <c r="I122" i="35"/>
  <c r="K122" i="35" s="1"/>
  <c r="G122" i="35"/>
  <c r="G121" i="35"/>
  <c r="I121" i="35" s="1"/>
  <c r="K121" i="35" s="1"/>
  <c r="G120" i="35"/>
  <c r="I120" i="35" s="1"/>
  <c r="K120" i="35" s="1"/>
  <c r="G119" i="35"/>
  <c r="I119" i="35" s="1"/>
  <c r="K119" i="35" s="1"/>
  <c r="G118" i="35"/>
  <c r="I118" i="35" s="1"/>
  <c r="K118" i="35" s="1"/>
  <c r="I117" i="35"/>
  <c r="K117" i="35" s="1"/>
  <c r="G117" i="35"/>
  <c r="G115" i="35"/>
  <c r="G112" i="35"/>
  <c r="I112" i="35" s="1"/>
  <c r="E135" i="35" s="1"/>
  <c r="E210" i="35" s="1"/>
  <c r="I210" i="35" s="1"/>
  <c r="E112" i="35"/>
  <c r="G111" i="35"/>
  <c r="I111" i="35" s="1"/>
  <c r="G97" i="35"/>
  <c r="E97" i="35"/>
  <c r="I97" i="35" s="1"/>
  <c r="G96" i="35"/>
  <c r="E96" i="35"/>
  <c r="G95" i="35"/>
  <c r="I95" i="35" s="1"/>
  <c r="F95" i="35"/>
  <c r="G93" i="35"/>
  <c r="I93" i="35" s="1"/>
  <c r="K93" i="35" s="1"/>
  <c r="F93" i="35"/>
  <c r="G92" i="35"/>
  <c r="E92" i="35"/>
  <c r="I92" i="35" s="1"/>
  <c r="F89" i="35"/>
  <c r="F88" i="35"/>
  <c r="F87" i="35"/>
  <c r="F86" i="35"/>
  <c r="F85" i="35"/>
  <c r="F84" i="35"/>
  <c r="F83" i="35"/>
  <c r="F82" i="35"/>
  <c r="F81" i="35"/>
  <c r="F80" i="35"/>
  <c r="F79" i="35"/>
  <c r="F78" i="35"/>
  <c r="F77" i="35"/>
  <c r="I76" i="35"/>
  <c r="K76" i="35" s="1"/>
  <c r="F75" i="35"/>
  <c r="G69" i="35"/>
  <c r="I69" i="35" s="1"/>
  <c r="F62" i="35"/>
  <c r="E61" i="35"/>
  <c r="G60" i="35"/>
  <c r="E60" i="35"/>
  <c r="G59" i="35"/>
  <c r="E59" i="35"/>
  <c r="G58" i="35"/>
  <c r="E58" i="35"/>
  <c r="I58" i="35" s="1"/>
  <c r="G57" i="35"/>
  <c r="E57" i="35"/>
  <c r="I57" i="35" s="1"/>
  <c r="K57" i="35" s="1"/>
  <c r="G53" i="35"/>
  <c r="E53" i="35"/>
  <c r="G49" i="35"/>
  <c r="I49" i="35" s="1"/>
  <c r="K49" i="35" s="1"/>
  <c r="G48" i="35"/>
  <c r="I48" i="35" s="1"/>
  <c r="K48" i="35" s="1"/>
  <c r="G46" i="35"/>
  <c r="E46" i="35"/>
  <c r="G45" i="35"/>
  <c r="G44" i="35"/>
  <c r="I44" i="35" s="1"/>
  <c r="K44" i="35" s="1"/>
  <c r="F41" i="35"/>
  <c r="F40" i="35"/>
  <c r="F39" i="35"/>
  <c r="F38" i="35"/>
  <c r="F37" i="35"/>
  <c r="F36" i="35"/>
  <c r="F35" i="35"/>
  <c r="F34" i="35"/>
  <c r="F33" i="35"/>
  <c r="F32" i="35"/>
  <c r="F31" i="35"/>
  <c r="F30" i="35"/>
  <c r="H29" i="35"/>
  <c r="G28" i="35"/>
  <c r="I28" i="35" s="1"/>
  <c r="G27" i="35"/>
  <c r="G26" i="35"/>
  <c r="F26" i="35"/>
  <c r="G23" i="35"/>
  <c r="I23" i="35" s="1"/>
  <c r="E41" i="35" s="1"/>
  <c r="I41" i="35" s="1"/>
  <c r="K41" i="35" s="1"/>
  <c r="G22" i="35"/>
  <c r="G249" i="35" s="1"/>
  <c r="I249" i="35" s="1"/>
  <c r="K249" i="35" s="1"/>
  <c r="G21" i="35"/>
  <c r="G248" i="35" s="1"/>
  <c r="E21" i="35"/>
  <c r="E248" i="35" s="1"/>
  <c r="I248" i="35" s="1"/>
  <c r="K248" i="35" s="1"/>
  <c r="I20" i="35"/>
  <c r="U16" i="10" s="1"/>
  <c r="G20" i="35"/>
  <c r="G247" i="35" s="1"/>
  <c r="E20" i="35"/>
  <c r="E247" i="35" s="1"/>
  <c r="I247" i="35" s="1"/>
  <c r="K247" i="35" s="1"/>
  <c r="G19" i="35"/>
  <c r="G246" i="35" s="1"/>
  <c r="E19" i="35"/>
  <c r="E246" i="35" s="1"/>
  <c r="G18" i="35"/>
  <c r="G245" i="35" s="1"/>
  <c r="E18" i="35"/>
  <c r="E245" i="35" s="1"/>
  <c r="I245" i="35" s="1"/>
  <c r="K245" i="35" s="1"/>
  <c r="G17" i="35"/>
  <c r="G244" i="35" s="1"/>
  <c r="G16" i="35"/>
  <c r="G243" i="35" s="1"/>
  <c r="E16" i="35"/>
  <c r="G15" i="35"/>
  <c r="G242" i="35" s="1"/>
  <c r="E15" i="35"/>
  <c r="G14" i="35"/>
  <c r="G13" i="35"/>
  <c r="G240" i="35" s="1"/>
  <c r="E13" i="35"/>
  <c r="G12" i="35"/>
  <c r="G239" i="35" s="1"/>
  <c r="E12" i="35"/>
  <c r="G11" i="35"/>
  <c r="G238" i="35" s="1"/>
  <c r="E11" i="35"/>
  <c r="G10" i="35"/>
  <c r="G237" i="35" s="1"/>
  <c r="E10" i="35"/>
  <c r="G9" i="35"/>
  <c r="G236" i="35" s="1"/>
  <c r="E9" i="35"/>
  <c r="G8" i="35"/>
  <c r="G7" i="35"/>
  <c r="I7" i="35" s="1"/>
  <c r="K7" i="35" s="1"/>
  <c r="E7" i="35"/>
  <c r="G6" i="35"/>
  <c r="I6" i="35" s="1"/>
  <c r="K6" i="35" s="1"/>
  <c r="G5" i="35"/>
  <c r="E5" i="35"/>
  <c r="G4" i="35"/>
  <c r="I4" i="35" s="1"/>
  <c r="K4" i="35" s="1"/>
  <c r="G3" i="35"/>
  <c r="E3" i="35"/>
  <c r="G52" i="34"/>
  <c r="I52" i="34" s="1"/>
  <c r="K52" i="34" s="1"/>
  <c r="L52" i="34" s="1"/>
  <c r="E50" i="34"/>
  <c r="I50" i="34" s="1"/>
  <c r="K50" i="34" s="1"/>
  <c r="L50" i="34" s="1"/>
  <c r="E46" i="34"/>
  <c r="I46" i="34" s="1"/>
  <c r="K46" i="34" s="1"/>
  <c r="L46" i="34" s="1"/>
  <c r="E43" i="34"/>
  <c r="I43" i="34" s="1"/>
  <c r="K43" i="34" s="1"/>
  <c r="L44" i="34" s="1"/>
  <c r="E42" i="34"/>
  <c r="I42" i="34" s="1"/>
  <c r="K42" i="34" s="1"/>
  <c r="E39" i="34"/>
  <c r="I39" i="34" s="1"/>
  <c r="K39" i="34" s="1"/>
  <c r="E38" i="34"/>
  <c r="I38" i="34" s="1"/>
  <c r="K38" i="34" s="1"/>
  <c r="L40" i="34" s="1"/>
  <c r="I37" i="34"/>
  <c r="K37" i="34" s="1"/>
  <c r="I34" i="34"/>
  <c r="K34" i="34" s="1"/>
  <c r="I33" i="34"/>
  <c r="K33" i="34" s="1"/>
  <c r="I30" i="34"/>
  <c r="K30" i="34" s="1"/>
  <c r="F30" i="34"/>
  <c r="E30" i="34"/>
  <c r="F29" i="34"/>
  <c r="F26" i="34"/>
  <c r="E26" i="34"/>
  <c r="F25" i="34"/>
  <c r="E25" i="34"/>
  <c r="I24" i="34"/>
  <c r="K24" i="34" s="1"/>
  <c r="G24" i="34"/>
  <c r="G26" i="34" s="1"/>
  <c r="F24" i="34"/>
  <c r="E24" i="34"/>
  <c r="F21" i="34"/>
  <c r="E21" i="34"/>
  <c r="G19" i="34"/>
  <c r="G20" i="34" s="1"/>
  <c r="F19" i="34"/>
  <c r="H16" i="34"/>
  <c r="F16" i="34"/>
  <c r="H15" i="34"/>
  <c r="F15" i="34"/>
  <c r="E15" i="34"/>
  <c r="H12" i="34"/>
  <c r="F12" i="34"/>
  <c r="E12" i="34"/>
  <c r="H11" i="34"/>
  <c r="F11" i="34"/>
  <c r="E8" i="34"/>
  <c r="E16" i="34" s="1"/>
  <c r="I7" i="34"/>
  <c r="K7" i="34" s="1"/>
  <c r="G4" i="34"/>
  <c r="G12" i="34" s="1"/>
  <c r="I3" i="34"/>
  <c r="K3" i="34" s="1"/>
  <c r="G3" i="34"/>
  <c r="G7" i="34" s="1"/>
  <c r="G15" i="34" s="1"/>
  <c r="E3" i="34"/>
  <c r="E29" i="34" s="1"/>
  <c r="I29" i="34" s="1"/>
  <c r="K29" i="34" s="1"/>
  <c r="E155" i="35" l="1"/>
  <c r="E177" i="35"/>
  <c r="I177" i="35" s="1"/>
  <c r="K177" i="35" s="1"/>
  <c r="K111" i="35"/>
  <c r="I12" i="34"/>
  <c r="K12" i="34" s="1"/>
  <c r="I60" i="35"/>
  <c r="I22" i="35"/>
  <c r="I135" i="35"/>
  <c r="L31" i="34"/>
  <c r="I4" i="34"/>
  <c r="K4" i="34" s="1"/>
  <c r="L5" i="34" s="1"/>
  <c r="E19" i="34"/>
  <c r="I19" i="34" s="1"/>
  <c r="K19" i="34" s="1"/>
  <c r="I18" i="35"/>
  <c r="E105" i="35" s="1"/>
  <c r="I105" i="35" s="1"/>
  <c r="K105" i="35" s="1"/>
  <c r="I61" i="35"/>
  <c r="K61" i="35" s="1"/>
  <c r="E179" i="35"/>
  <c r="I179" i="35" s="1"/>
  <c r="K179" i="35" s="1"/>
  <c r="K95" i="35"/>
  <c r="F230" i="35"/>
  <c r="F209" i="35"/>
  <c r="L189" i="35"/>
  <c r="O5" i="8"/>
  <c r="O13" i="8"/>
  <c r="O21" i="8"/>
  <c r="O30" i="8"/>
  <c r="O38" i="8"/>
  <c r="O54" i="8"/>
  <c r="O62" i="8"/>
  <c r="O71" i="8"/>
  <c r="O79" i="8"/>
  <c r="O89" i="8"/>
  <c r="O98" i="8"/>
  <c r="O106" i="8"/>
  <c r="O115" i="8"/>
  <c r="O125" i="8"/>
  <c r="O135" i="8"/>
  <c r="I19" i="35"/>
  <c r="I15" i="34"/>
  <c r="K15" i="34" s="1"/>
  <c r="G11" i="34"/>
  <c r="I26" i="34"/>
  <c r="K26" i="34" s="1"/>
  <c r="L35" i="34"/>
  <c r="I5" i="35"/>
  <c r="K5" i="35" s="1"/>
  <c r="I9" i="35"/>
  <c r="L235" i="10" s="1"/>
  <c r="I17" i="35"/>
  <c r="I21" i="35"/>
  <c r="X115" i="10"/>
  <c r="X9" i="10"/>
  <c r="X236" i="10"/>
  <c r="X26" i="10"/>
  <c r="I96" i="35"/>
  <c r="K96" i="35" s="1"/>
  <c r="E110" i="35"/>
  <c r="I110" i="35" s="1"/>
  <c r="K110" i="35" s="1"/>
  <c r="O3" i="8"/>
  <c r="O11" i="8"/>
  <c r="O19" i="8"/>
  <c r="O28" i="8"/>
  <c r="O36" i="8"/>
  <c r="O44" i="8"/>
  <c r="O52" i="8"/>
  <c r="O60" i="8"/>
  <c r="O69" i="8"/>
  <c r="O77" i="8"/>
  <c r="O87" i="8"/>
  <c r="O95" i="8"/>
  <c r="O104" i="8"/>
  <c r="O113" i="8"/>
  <c r="O123" i="8"/>
  <c r="K77" i="29"/>
  <c r="L124" i="29"/>
  <c r="G29" i="35"/>
  <c r="F210" i="35"/>
  <c r="F231" i="35"/>
  <c r="O48" i="8"/>
  <c r="O45" i="8"/>
  <c r="O138" i="8"/>
  <c r="O136" i="8"/>
  <c r="O134" i="8"/>
  <c r="O131" i="8"/>
  <c r="O129" i="8"/>
  <c r="O126" i="8"/>
  <c r="O124" i="8"/>
  <c r="O121" i="8"/>
  <c r="O119" i="8"/>
  <c r="O117" i="8"/>
  <c r="O114" i="8"/>
  <c r="O112" i="8"/>
  <c r="O110" i="8"/>
  <c r="O107" i="8"/>
  <c r="O105" i="8"/>
  <c r="O103" i="8"/>
  <c r="O101" i="8"/>
  <c r="O99" i="8"/>
  <c r="O97" i="8"/>
  <c r="O94" i="8"/>
  <c r="O92" i="8"/>
  <c r="O90" i="8"/>
  <c r="O88" i="8"/>
  <c r="O85" i="8"/>
  <c r="O82" i="8"/>
  <c r="O80" i="8"/>
  <c r="O78" i="8"/>
  <c r="O76" i="8"/>
  <c r="O74" i="8"/>
  <c r="O72" i="8"/>
  <c r="O70" i="8"/>
  <c r="O67" i="8"/>
  <c r="O65" i="8"/>
  <c r="O63" i="8"/>
  <c r="O61" i="8"/>
  <c r="O59" i="8"/>
  <c r="O57" i="8"/>
  <c r="O55" i="8"/>
  <c r="O53" i="8"/>
  <c r="O43" i="8"/>
  <c r="O41" i="8"/>
  <c r="O39" i="8"/>
  <c r="O37" i="8"/>
  <c r="O35" i="8"/>
  <c r="O31" i="8"/>
  <c r="O29" i="8"/>
  <c r="O26" i="8"/>
  <c r="O24" i="8"/>
  <c r="O22" i="8"/>
  <c r="O20" i="8"/>
  <c r="O18" i="8"/>
  <c r="O16" i="8"/>
  <c r="O14" i="8"/>
  <c r="O12" i="8"/>
  <c r="O10" i="8"/>
  <c r="O8" i="8"/>
  <c r="O6" i="8"/>
  <c r="O4" i="8"/>
  <c r="O50" i="8"/>
  <c r="O47" i="8"/>
  <c r="O33" i="8"/>
  <c r="K96" i="29"/>
  <c r="K101" i="29"/>
  <c r="L114" i="29"/>
  <c r="I244" i="35"/>
  <c r="K244" i="35" s="1"/>
  <c r="G30" i="20"/>
  <c r="D60" i="20"/>
  <c r="I29" i="29"/>
  <c r="K29" i="29" s="1"/>
  <c r="K127" i="29"/>
  <c r="L128" i="29" s="1"/>
  <c r="K227" i="35"/>
  <c r="I234" i="35"/>
  <c r="K234" i="35" s="1"/>
  <c r="G25" i="20"/>
  <c r="E40" i="20"/>
  <c r="E28" i="17"/>
  <c r="K10" i="29"/>
  <c r="E25" i="20"/>
  <c r="G33" i="20"/>
  <c r="I28" i="29"/>
  <c r="K28" i="29" s="1"/>
  <c r="M6" i="12"/>
  <c r="M11" i="12"/>
  <c r="M7" i="12"/>
  <c r="M19" i="12"/>
  <c r="M10" i="12"/>
  <c r="M15" i="12"/>
  <c r="M9" i="12"/>
  <c r="M14" i="12"/>
  <c r="K28" i="35"/>
  <c r="T138" i="8"/>
  <c r="T134" i="8"/>
  <c r="T129" i="8"/>
  <c r="T124" i="8"/>
  <c r="T119" i="8"/>
  <c r="T114" i="8"/>
  <c r="T110" i="8"/>
  <c r="T105" i="8"/>
  <c r="T145" i="8"/>
  <c r="T143" i="8"/>
  <c r="T140" i="8"/>
  <c r="T139" i="8"/>
  <c r="T135" i="8"/>
  <c r="T130" i="8"/>
  <c r="T125" i="8"/>
  <c r="T120" i="8"/>
  <c r="T115" i="8"/>
  <c r="T111" i="8"/>
  <c r="T106" i="8"/>
  <c r="T104" i="8"/>
  <c r="T103" i="8"/>
  <c r="T102" i="8"/>
  <c r="T101" i="8"/>
  <c r="T100" i="8"/>
  <c r="T99" i="8"/>
  <c r="T98" i="8"/>
  <c r="T97" i="8"/>
  <c r="T95" i="8"/>
  <c r="T94" i="8"/>
  <c r="T93" i="8"/>
  <c r="T92" i="8"/>
  <c r="T91" i="8"/>
  <c r="T90" i="8"/>
  <c r="T89" i="8"/>
  <c r="T88" i="8"/>
  <c r="T87" i="8"/>
  <c r="T85" i="8"/>
  <c r="T84" i="8"/>
  <c r="T82" i="8"/>
  <c r="T81" i="8"/>
  <c r="T80" i="8"/>
  <c r="T79" i="8"/>
  <c r="T78" i="8"/>
  <c r="T77" i="8"/>
  <c r="T76" i="8"/>
  <c r="T75" i="8"/>
  <c r="T74" i="8"/>
  <c r="T73" i="8"/>
  <c r="T72" i="8"/>
  <c r="T71" i="8"/>
  <c r="T70" i="8"/>
  <c r="T69" i="8"/>
  <c r="T67" i="8"/>
  <c r="T66" i="8"/>
  <c r="T65" i="8"/>
  <c r="T64" i="8"/>
  <c r="T63" i="8"/>
  <c r="T62" i="8"/>
  <c r="T61" i="8"/>
  <c r="T60" i="8"/>
  <c r="T59" i="8"/>
  <c r="T58" i="8"/>
  <c r="T57" i="8"/>
  <c r="T56" i="8"/>
  <c r="T55" i="8"/>
  <c r="T54" i="8"/>
  <c r="T53" i="8"/>
  <c r="T52" i="8"/>
  <c r="T141" i="8"/>
  <c r="T133" i="8"/>
  <c r="T123" i="8"/>
  <c r="T113" i="8"/>
  <c r="T48" i="8"/>
  <c r="T44" i="8"/>
  <c r="T43" i="8"/>
  <c r="T42" i="8"/>
  <c r="T41" i="8"/>
  <c r="T40" i="8"/>
  <c r="T39" i="8"/>
  <c r="T38" i="8"/>
  <c r="T37" i="8"/>
  <c r="T36" i="8"/>
  <c r="T35" i="8"/>
  <c r="T34" i="8"/>
  <c r="T131" i="8"/>
  <c r="T121" i="8"/>
  <c r="T112" i="8"/>
  <c r="T144" i="8"/>
  <c r="T127" i="8"/>
  <c r="T109" i="8"/>
  <c r="T50" i="8"/>
  <c r="T45" i="8"/>
  <c r="T136" i="8"/>
  <c r="T117" i="8"/>
  <c r="T137" i="8"/>
  <c r="T126" i="8"/>
  <c r="T29" i="8"/>
  <c r="T26" i="8"/>
  <c r="T24" i="8"/>
  <c r="T22" i="8"/>
  <c r="T20" i="8"/>
  <c r="T18" i="8"/>
  <c r="T16" i="8"/>
  <c r="T14" i="8"/>
  <c r="T12" i="8"/>
  <c r="T10" i="8"/>
  <c r="T8" i="8"/>
  <c r="T6" i="8"/>
  <c r="T4" i="8"/>
  <c r="T118" i="8"/>
  <c r="T31" i="8"/>
  <c r="T47" i="8"/>
  <c r="T30" i="8"/>
  <c r="T28" i="8"/>
  <c r="T25" i="8"/>
  <c r="T23" i="8"/>
  <c r="T21" i="8"/>
  <c r="T19" i="8"/>
  <c r="T17" i="8"/>
  <c r="T15" i="8"/>
  <c r="T13" i="8"/>
  <c r="T11" i="8"/>
  <c r="T9" i="8"/>
  <c r="T7" i="8"/>
  <c r="T5" i="8"/>
  <c r="T3" i="8"/>
  <c r="K60" i="35"/>
  <c r="T33" i="8"/>
  <c r="T107" i="8"/>
  <c r="E238" i="35"/>
  <c r="I238" i="35" s="1"/>
  <c r="K238" i="35" s="1"/>
  <c r="I11" i="35"/>
  <c r="E85" i="29"/>
  <c r="I85" i="29" s="1"/>
  <c r="K85" i="29" s="1"/>
  <c r="E40" i="29"/>
  <c r="I40" i="29" s="1"/>
  <c r="K40" i="29" s="1"/>
  <c r="E18" i="29"/>
  <c r="I18" i="29" s="1"/>
  <c r="K18" i="29" s="1"/>
  <c r="S145" i="8"/>
  <c r="S144" i="8"/>
  <c r="S143" i="8"/>
  <c r="S141" i="8"/>
  <c r="S140" i="8"/>
  <c r="S137" i="8"/>
  <c r="S133" i="8"/>
  <c r="S127" i="8"/>
  <c r="S123" i="8"/>
  <c r="S118" i="8"/>
  <c r="S113" i="8"/>
  <c r="S109" i="8"/>
  <c r="S138" i="8"/>
  <c r="S134" i="8"/>
  <c r="S129" i="8"/>
  <c r="S124" i="8"/>
  <c r="S119" i="8"/>
  <c r="S114" i="8"/>
  <c r="S110" i="8"/>
  <c r="S105" i="8"/>
  <c r="S139" i="8"/>
  <c r="S131" i="8"/>
  <c r="S130" i="8"/>
  <c r="S121" i="8"/>
  <c r="S120" i="8"/>
  <c r="S112" i="8"/>
  <c r="S111" i="8"/>
  <c r="S103" i="8"/>
  <c r="S99" i="8"/>
  <c r="S94" i="8"/>
  <c r="S90" i="8"/>
  <c r="S85" i="8"/>
  <c r="S80" i="8"/>
  <c r="S76" i="8"/>
  <c r="S47" i="8"/>
  <c r="S102" i="8"/>
  <c r="S98" i="8"/>
  <c r="S93" i="8"/>
  <c r="S89" i="8"/>
  <c r="S84" i="8"/>
  <c r="S79" i="8"/>
  <c r="S75" i="8"/>
  <c r="E63" i="29"/>
  <c r="I63" i="29" s="1"/>
  <c r="K63" i="29" s="1"/>
  <c r="S136" i="8"/>
  <c r="S125" i="8"/>
  <c r="S117" i="8"/>
  <c r="S106" i="8"/>
  <c r="S100" i="8"/>
  <c r="S97" i="8"/>
  <c r="S91" i="8"/>
  <c r="S88" i="8"/>
  <c r="S81" i="8"/>
  <c r="S78" i="8"/>
  <c r="S73" i="8"/>
  <c r="S72" i="8"/>
  <c r="S66" i="8"/>
  <c r="S62" i="8"/>
  <c r="S58" i="8"/>
  <c r="S54" i="8"/>
  <c r="S69" i="8"/>
  <c r="S67" i="8"/>
  <c r="S63" i="8"/>
  <c r="S59" i="8"/>
  <c r="S55" i="8"/>
  <c r="S33" i="8"/>
  <c r="S31" i="8"/>
  <c r="S126" i="8"/>
  <c r="S92" i="8"/>
  <c r="S74" i="8"/>
  <c r="S29" i="8"/>
  <c r="S26" i="8"/>
  <c r="S24" i="8"/>
  <c r="S22" i="8"/>
  <c r="S20" i="8"/>
  <c r="S18" i="8"/>
  <c r="S16" i="8"/>
  <c r="S14" i="8"/>
  <c r="S12" i="8"/>
  <c r="S10" i="8"/>
  <c r="S8" i="8"/>
  <c r="S6" i="8"/>
  <c r="S4" i="8"/>
  <c r="S135" i="8"/>
  <c r="S95" i="8"/>
  <c r="S77" i="8"/>
  <c r="S71" i="8"/>
  <c r="S61" i="8"/>
  <c r="S60" i="8"/>
  <c r="S53" i="8"/>
  <c r="S52" i="8"/>
  <c r="S107" i="8"/>
  <c r="S87" i="8"/>
  <c r="S82" i="8"/>
  <c r="S64" i="8"/>
  <c r="S57" i="8"/>
  <c r="S48" i="8"/>
  <c r="S44" i="8"/>
  <c r="S42" i="8"/>
  <c r="S40" i="8"/>
  <c r="S38" i="8"/>
  <c r="S36" i="8"/>
  <c r="S34" i="8"/>
  <c r="S104" i="8"/>
  <c r="S101" i="8"/>
  <c r="S70" i="8"/>
  <c r="S45" i="8"/>
  <c r="E62" i="35"/>
  <c r="I62" i="35" s="1"/>
  <c r="K62" i="35" s="1"/>
  <c r="S115" i="8"/>
  <c r="S56" i="8"/>
  <c r="S43" i="8"/>
  <c r="S41" i="8"/>
  <c r="S39" i="8"/>
  <c r="S37" i="8"/>
  <c r="S35" i="8"/>
  <c r="E104" i="35"/>
  <c r="I104" i="35" s="1"/>
  <c r="K104" i="35" s="1"/>
  <c r="S65" i="8"/>
  <c r="S50" i="8"/>
  <c r="S30" i="8"/>
  <c r="S25" i="8"/>
  <c r="S21" i="8"/>
  <c r="S17" i="8"/>
  <c r="S13" i="8"/>
  <c r="S9" i="8"/>
  <c r="S5" i="8"/>
  <c r="E35" i="35"/>
  <c r="I35" i="35" s="1"/>
  <c r="K35" i="35" s="1"/>
  <c r="S23" i="8"/>
  <c r="S15" i="8"/>
  <c r="S7" i="8"/>
  <c r="E87" i="29"/>
  <c r="I87" i="29" s="1"/>
  <c r="K87" i="29" s="1"/>
  <c r="E42" i="29"/>
  <c r="I42" i="29" s="1"/>
  <c r="K42" i="29" s="1"/>
  <c r="X137" i="8"/>
  <c r="X133" i="8"/>
  <c r="X127" i="8"/>
  <c r="X123" i="8"/>
  <c r="X118" i="8"/>
  <c r="X113" i="8"/>
  <c r="X109" i="8"/>
  <c r="E65" i="29"/>
  <c r="I65" i="29" s="1"/>
  <c r="K65" i="29" s="1"/>
  <c r="E20" i="29"/>
  <c r="I20" i="29" s="1"/>
  <c r="K20" i="29" s="1"/>
  <c r="X144" i="8"/>
  <c r="X141" i="8"/>
  <c r="X138" i="8"/>
  <c r="X134" i="8"/>
  <c r="X129" i="8"/>
  <c r="X124" i="8"/>
  <c r="X119" i="8"/>
  <c r="X114" i="8"/>
  <c r="X110" i="8"/>
  <c r="X105" i="8"/>
  <c r="X104" i="8"/>
  <c r="X103" i="8"/>
  <c r="X102" i="8"/>
  <c r="X101" i="8"/>
  <c r="X100" i="8"/>
  <c r="X99" i="8"/>
  <c r="X98" i="8"/>
  <c r="X97" i="8"/>
  <c r="X95" i="8"/>
  <c r="X94" i="8"/>
  <c r="X93" i="8"/>
  <c r="X92" i="8"/>
  <c r="X91" i="8"/>
  <c r="X90" i="8"/>
  <c r="X89" i="8"/>
  <c r="X88" i="8"/>
  <c r="X87" i="8"/>
  <c r="X85" i="8"/>
  <c r="X84" i="8"/>
  <c r="X82" i="8"/>
  <c r="X81" i="8"/>
  <c r="X80" i="8"/>
  <c r="X79" i="8"/>
  <c r="X78" i="8"/>
  <c r="X77" i="8"/>
  <c r="X76" i="8"/>
  <c r="X75" i="8"/>
  <c r="X74" i="8"/>
  <c r="X73" i="8"/>
  <c r="X72" i="8"/>
  <c r="X71" i="8"/>
  <c r="X70" i="8"/>
  <c r="X69" i="8"/>
  <c r="X67" i="8"/>
  <c r="X66" i="8"/>
  <c r="X65" i="8"/>
  <c r="X64" i="8"/>
  <c r="X63" i="8"/>
  <c r="X62" i="8"/>
  <c r="X61" i="8"/>
  <c r="X60" i="8"/>
  <c r="X59" i="8"/>
  <c r="X58" i="8"/>
  <c r="X57" i="8"/>
  <c r="X56" i="8"/>
  <c r="X55" i="8"/>
  <c r="X54" i="8"/>
  <c r="X53" i="8"/>
  <c r="X52" i="8"/>
  <c r="X136" i="8"/>
  <c r="X135" i="8"/>
  <c r="X126" i="8"/>
  <c r="X125" i="8"/>
  <c r="X117" i="8"/>
  <c r="X115" i="8"/>
  <c r="X107" i="8"/>
  <c r="X106" i="8"/>
  <c r="X47" i="8"/>
  <c r="X44" i="8"/>
  <c r="X43" i="8"/>
  <c r="X42" i="8"/>
  <c r="X41" i="8"/>
  <c r="X40" i="8"/>
  <c r="X39" i="8"/>
  <c r="X38" i="8"/>
  <c r="X37" i="8"/>
  <c r="X36" i="8"/>
  <c r="X35" i="8"/>
  <c r="X34" i="8"/>
  <c r="X145" i="8"/>
  <c r="T285" i="10"/>
  <c r="T281" i="10"/>
  <c r="T277" i="10"/>
  <c r="T273" i="10"/>
  <c r="T269" i="10"/>
  <c r="T265" i="10"/>
  <c r="T261" i="10"/>
  <c r="T257" i="10"/>
  <c r="T253" i="10"/>
  <c r="T249" i="10"/>
  <c r="T245" i="10"/>
  <c r="T241" i="10"/>
  <c r="X143" i="8"/>
  <c r="X131" i="8"/>
  <c r="X130" i="8"/>
  <c r="X112" i="8"/>
  <c r="X111" i="8"/>
  <c r="X33" i="8"/>
  <c r="X31" i="8"/>
  <c r="T286" i="10"/>
  <c r="X120" i="8"/>
  <c r="X30" i="8"/>
  <c r="T284" i="10"/>
  <c r="T282" i="10"/>
  <c r="T274" i="10"/>
  <c r="T266" i="10"/>
  <c r="T258" i="10"/>
  <c r="T250" i="10"/>
  <c r="T242" i="10"/>
  <c r="T237" i="10"/>
  <c r="T233" i="10"/>
  <c r="T229" i="10"/>
  <c r="T225" i="10"/>
  <c r="T221" i="10"/>
  <c r="T217" i="10"/>
  <c r="T213" i="10"/>
  <c r="T209" i="10"/>
  <c r="T205" i="10"/>
  <c r="T201" i="10"/>
  <c r="T197" i="10"/>
  <c r="T193" i="10"/>
  <c r="T189" i="10"/>
  <c r="T185" i="10"/>
  <c r="T181" i="10"/>
  <c r="T177" i="10"/>
  <c r="T173" i="10"/>
  <c r="T169" i="10"/>
  <c r="T165" i="10"/>
  <c r="T161" i="10"/>
  <c r="T157" i="10"/>
  <c r="T153" i="10"/>
  <c r="T149" i="10"/>
  <c r="T145" i="10"/>
  <c r="T141" i="10"/>
  <c r="T137" i="10"/>
  <c r="T133" i="10"/>
  <c r="T129" i="10"/>
  <c r="T125" i="10"/>
  <c r="X140" i="8"/>
  <c r="X28" i="8"/>
  <c r="X25" i="8"/>
  <c r="X23" i="8"/>
  <c r="X21" i="8"/>
  <c r="X19" i="8"/>
  <c r="X17" i="8"/>
  <c r="X15" i="8"/>
  <c r="X13" i="8"/>
  <c r="X11" i="8"/>
  <c r="X9" i="8"/>
  <c r="X7" i="8"/>
  <c r="X5" i="8"/>
  <c r="X3" i="8"/>
  <c r="T280" i="10"/>
  <c r="T275" i="10"/>
  <c r="T272" i="10"/>
  <c r="T267" i="10"/>
  <c r="T264" i="10"/>
  <c r="T259" i="10"/>
  <c r="T256" i="10"/>
  <c r="T251" i="10"/>
  <c r="T248" i="10"/>
  <c r="T243" i="10"/>
  <c r="T240" i="10"/>
  <c r="T238" i="10"/>
  <c r="T234" i="10"/>
  <c r="T230" i="10"/>
  <c r="T226" i="10"/>
  <c r="T222" i="10"/>
  <c r="T218" i="10"/>
  <c r="T214" i="10"/>
  <c r="T210" i="10"/>
  <c r="T206" i="10"/>
  <c r="T202" i="10"/>
  <c r="T198" i="10"/>
  <c r="T194" i="10"/>
  <c r="T190" i="10"/>
  <c r="T186" i="10"/>
  <c r="X139" i="8"/>
  <c r="T287" i="10"/>
  <c r="T270" i="10"/>
  <c r="T268" i="10"/>
  <c r="T254" i="10"/>
  <c r="T252" i="10"/>
  <c r="T183" i="10"/>
  <c r="T180" i="10"/>
  <c r="T175" i="10"/>
  <c r="T172" i="10"/>
  <c r="T167" i="10"/>
  <c r="T164" i="10"/>
  <c r="T159" i="10"/>
  <c r="T156" i="10"/>
  <c r="T151" i="10"/>
  <c r="T148" i="10"/>
  <c r="T143" i="10"/>
  <c r="T140" i="10"/>
  <c r="T135" i="10"/>
  <c r="T132" i="10"/>
  <c r="T127" i="10"/>
  <c r="T124" i="10"/>
  <c r="T117" i="10"/>
  <c r="T113" i="10"/>
  <c r="X45" i="8"/>
  <c r="T279" i="10"/>
  <c r="T263" i="10"/>
  <c r="T247" i="10"/>
  <c r="T236" i="10"/>
  <c r="T232" i="10"/>
  <c r="T228" i="10"/>
  <c r="T224" i="10"/>
  <c r="T220" i="10"/>
  <c r="T216" i="10"/>
  <c r="T212" i="10"/>
  <c r="T208" i="10"/>
  <c r="T204" i="10"/>
  <c r="T200" i="10"/>
  <c r="T196" i="10"/>
  <c r="T192" i="10"/>
  <c r="T188" i="10"/>
  <c r="T182" i="10"/>
  <c r="T174" i="10"/>
  <c r="T166" i="10"/>
  <c r="T158" i="10"/>
  <c r="T150" i="10"/>
  <c r="T142" i="10"/>
  <c r="T134" i="10"/>
  <c r="T126" i="10"/>
  <c r="T120" i="10"/>
  <c r="T116" i="10"/>
  <c r="T112" i="10"/>
  <c r="T107" i="10"/>
  <c r="T103" i="10"/>
  <c r="T99" i="10"/>
  <c r="T95" i="10"/>
  <c r="T91" i="10"/>
  <c r="T87" i="10"/>
  <c r="T83" i="10"/>
  <c r="T79" i="10"/>
  <c r="T75" i="10"/>
  <c r="T71" i="10"/>
  <c r="T67" i="10"/>
  <c r="T63" i="10"/>
  <c r="T59" i="10"/>
  <c r="T55" i="10"/>
  <c r="T51" i="10"/>
  <c r="T47" i="10"/>
  <c r="T271" i="10"/>
  <c r="T260" i="10"/>
  <c r="T239" i="10"/>
  <c r="T231" i="10"/>
  <c r="T223" i="10"/>
  <c r="T215" i="10"/>
  <c r="T207" i="10"/>
  <c r="T199" i="10"/>
  <c r="T191" i="10"/>
  <c r="T178" i="10"/>
  <c r="T176" i="10"/>
  <c r="T162" i="10"/>
  <c r="T160" i="10"/>
  <c r="T146" i="10"/>
  <c r="T144" i="10"/>
  <c r="T130" i="10"/>
  <c r="T128" i="10"/>
  <c r="T108" i="10"/>
  <c r="T100" i="10"/>
  <c r="T92" i="10"/>
  <c r="T84" i="10"/>
  <c r="T76" i="10"/>
  <c r="T68" i="10"/>
  <c r="T60" i="10"/>
  <c r="T52" i="10"/>
  <c r="T41" i="10"/>
  <c r="T37" i="10"/>
  <c r="T33" i="10"/>
  <c r="T29" i="10"/>
  <c r="T25" i="10"/>
  <c r="T21" i="10"/>
  <c r="T16" i="10"/>
  <c r="T12" i="10"/>
  <c r="T8" i="10"/>
  <c r="T4" i="10"/>
  <c r="X121" i="8"/>
  <c r="T262" i="10"/>
  <c r="T171" i="10"/>
  <c r="T155" i="10"/>
  <c r="T139" i="10"/>
  <c r="T123" i="10"/>
  <c r="T119" i="10"/>
  <c r="T115" i="10"/>
  <c r="T111" i="10"/>
  <c r="T105" i="10"/>
  <c r="T102" i="10"/>
  <c r="T97" i="10"/>
  <c r="T94" i="10"/>
  <c r="T89" i="10"/>
  <c r="T86" i="10"/>
  <c r="T81" i="10"/>
  <c r="T78" i="10"/>
  <c r="T73" i="10"/>
  <c r="T70" i="10"/>
  <c r="T65" i="10"/>
  <c r="T62" i="10"/>
  <c r="T57" i="10"/>
  <c r="T54" i="10"/>
  <c r="T49" i="10"/>
  <c r="T46" i="10"/>
  <c r="T44" i="10"/>
  <c r="T40" i="10"/>
  <c r="T36" i="10"/>
  <c r="T32" i="10"/>
  <c r="T28" i="10"/>
  <c r="T24" i="10"/>
  <c r="T20" i="10"/>
  <c r="T15" i="10"/>
  <c r="T11" i="10"/>
  <c r="T7" i="10"/>
  <c r="X50" i="8"/>
  <c r="T283" i="10"/>
  <c r="T276" i="10"/>
  <c r="T255" i="10"/>
  <c r="T244" i="10"/>
  <c r="T235" i="10"/>
  <c r="T227" i="10"/>
  <c r="T219" i="10"/>
  <c r="T211" i="10"/>
  <c r="T203" i="10"/>
  <c r="T195" i="10"/>
  <c r="T187" i="10"/>
  <c r="T184" i="10"/>
  <c r="T170" i="10"/>
  <c r="T168" i="10"/>
  <c r="T154" i="10"/>
  <c r="T152" i="10"/>
  <c r="T138" i="10"/>
  <c r="T136" i="10"/>
  <c r="T122" i="10"/>
  <c r="T104" i="10"/>
  <c r="T96" i="10"/>
  <c r="T88" i="10"/>
  <c r="T80" i="10"/>
  <c r="T72" i="10"/>
  <c r="T64" i="10"/>
  <c r="T56" i="10"/>
  <c r="T48" i="10"/>
  <c r="T43" i="10"/>
  <c r="T39" i="10"/>
  <c r="T35" i="10"/>
  <c r="T31" i="10"/>
  <c r="T27" i="10"/>
  <c r="T23" i="10"/>
  <c r="T18" i="10"/>
  <c r="T14" i="10"/>
  <c r="T10" i="10"/>
  <c r="T6" i="10"/>
  <c r="E85" i="35"/>
  <c r="I85" i="35" s="1"/>
  <c r="K85" i="35" s="1"/>
  <c r="T179" i="10"/>
  <c r="T147" i="10"/>
  <c r="T114" i="10"/>
  <c r="T109" i="10"/>
  <c r="T106" i="10"/>
  <c r="T101" i="10"/>
  <c r="T98" i="10"/>
  <c r="T93" i="10"/>
  <c r="T90" i="10"/>
  <c r="T85" i="10"/>
  <c r="T82" i="10"/>
  <c r="T77" i="10"/>
  <c r="T74" i="10"/>
  <c r="T69" i="10"/>
  <c r="T66" i="10"/>
  <c r="T61" i="10"/>
  <c r="T58" i="10"/>
  <c r="T53" i="10"/>
  <c r="T50" i="10"/>
  <c r="X26" i="8"/>
  <c r="X22" i="8"/>
  <c r="X18" i="8"/>
  <c r="X14" i="8"/>
  <c r="X10" i="8"/>
  <c r="X6" i="8"/>
  <c r="T118" i="10"/>
  <c r="X29" i="8"/>
  <c r="X20" i="8"/>
  <c r="X12" i="8"/>
  <c r="X4" i="8"/>
  <c r="T246" i="10"/>
  <c r="T42" i="10"/>
  <c r="T34" i="10"/>
  <c r="T26" i="10"/>
  <c r="T17" i="10"/>
  <c r="T9" i="10"/>
  <c r="E64" i="35"/>
  <c r="I64" i="35" s="1"/>
  <c r="K64" i="35" s="1"/>
  <c r="X24" i="8"/>
  <c r="X16" i="8"/>
  <c r="X8" i="8"/>
  <c r="T278" i="10"/>
  <c r="T38" i="10"/>
  <c r="T131" i="10"/>
  <c r="T45" i="10"/>
  <c r="E106" i="35"/>
  <c r="I106" i="35" s="1"/>
  <c r="K106" i="35" s="1"/>
  <c r="X48" i="8"/>
  <c r="E89" i="29"/>
  <c r="I89" i="29" s="1"/>
  <c r="K89" i="29" s="1"/>
  <c r="E44" i="29"/>
  <c r="I44" i="29" s="1"/>
  <c r="K44" i="29" s="1"/>
  <c r="E22" i="29"/>
  <c r="I22" i="29" s="1"/>
  <c r="K22" i="29" s="1"/>
  <c r="Y144" i="8"/>
  <c r="Y141" i="8"/>
  <c r="Y138" i="8"/>
  <c r="Y134" i="8"/>
  <c r="Y129" i="8"/>
  <c r="Y124" i="8"/>
  <c r="Y119" i="8"/>
  <c r="Y114" i="8"/>
  <c r="Y110" i="8"/>
  <c r="Y105" i="8"/>
  <c r="Y104" i="8"/>
  <c r="Y103" i="8"/>
  <c r="Y102" i="8"/>
  <c r="Y101" i="8"/>
  <c r="Y100" i="8"/>
  <c r="Y99" i="8"/>
  <c r="Y98" i="8"/>
  <c r="Y97" i="8"/>
  <c r="Y95" i="8"/>
  <c r="Y94" i="8"/>
  <c r="Y93" i="8"/>
  <c r="Y92" i="8"/>
  <c r="Y91" i="8"/>
  <c r="Y90" i="8"/>
  <c r="Y89" i="8"/>
  <c r="Y88" i="8"/>
  <c r="Y87" i="8"/>
  <c r="Y85" i="8"/>
  <c r="Y84" i="8"/>
  <c r="Y82" i="8"/>
  <c r="Y81" i="8"/>
  <c r="Y80" i="8"/>
  <c r="Y79" i="8"/>
  <c r="Y78" i="8"/>
  <c r="Y77" i="8"/>
  <c r="Y76" i="8"/>
  <c r="Y75" i="8"/>
  <c r="Y74" i="8"/>
  <c r="Y73" i="8"/>
  <c r="Y72" i="8"/>
  <c r="Y139" i="8"/>
  <c r="Y135" i="8"/>
  <c r="Y130" i="8"/>
  <c r="Y125" i="8"/>
  <c r="Y120" i="8"/>
  <c r="Y115" i="8"/>
  <c r="Y111" i="8"/>
  <c r="Y106" i="8"/>
  <c r="Y50" i="8"/>
  <c r="Y48" i="8"/>
  <c r="Y47" i="8"/>
  <c r="Y45" i="8"/>
  <c r="Y140" i="8"/>
  <c r="Y137" i="8"/>
  <c r="Y127" i="8"/>
  <c r="Y118" i="8"/>
  <c r="Y109" i="8"/>
  <c r="Y33" i="8"/>
  <c r="Y136" i="8"/>
  <c r="Y126" i="8"/>
  <c r="Y117" i="8"/>
  <c r="Y107" i="8"/>
  <c r="Y121" i="8"/>
  <c r="Y70" i="8"/>
  <c r="Y67" i="8"/>
  <c r="Y63" i="8"/>
  <c r="Y59" i="8"/>
  <c r="Y55" i="8"/>
  <c r="Y29" i="8"/>
  <c r="Y28" i="8"/>
  <c r="Y26" i="8"/>
  <c r="Y25" i="8"/>
  <c r="Y24" i="8"/>
  <c r="Y23" i="8"/>
  <c r="Y22" i="8"/>
  <c r="Y21" i="8"/>
  <c r="Y20" i="8"/>
  <c r="Y19" i="8"/>
  <c r="Y18" i="8"/>
  <c r="Y17" i="8"/>
  <c r="Y16" i="8"/>
  <c r="Y15" i="8"/>
  <c r="Y14" i="8"/>
  <c r="Y13" i="8"/>
  <c r="Y12" i="8"/>
  <c r="Y11" i="8"/>
  <c r="Y10" i="8"/>
  <c r="Y9" i="8"/>
  <c r="Y8" i="8"/>
  <c r="Y7" i="8"/>
  <c r="Y6" i="8"/>
  <c r="Y5" i="8"/>
  <c r="Y4" i="8"/>
  <c r="Y3" i="8"/>
  <c r="V287" i="10"/>
  <c r="V283" i="10"/>
  <c r="V279" i="10"/>
  <c r="V275" i="10"/>
  <c r="V271" i="10"/>
  <c r="V267" i="10"/>
  <c r="V263" i="10"/>
  <c r="V259" i="10"/>
  <c r="V255" i="10"/>
  <c r="V251" i="10"/>
  <c r="V247" i="10"/>
  <c r="V243" i="10"/>
  <c r="V239" i="10"/>
  <c r="Y133" i="8"/>
  <c r="Y113" i="8"/>
  <c r="Y71" i="8"/>
  <c r="Y64" i="8"/>
  <c r="Y60" i="8"/>
  <c r="Y56" i="8"/>
  <c r="Y52" i="8"/>
  <c r="V284" i="10"/>
  <c r="Y65" i="8"/>
  <c r="Y57" i="8"/>
  <c r="Y44" i="8"/>
  <c r="Y43" i="8"/>
  <c r="Y42" i="8"/>
  <c r="Y41" i="8"/>
  <c r="Y40" i="8"/>
  <c r="Y39" i="8"/>
  <c r="Y38" i="8"/>
  <c r="Y37" i="8"/>
  <c r="Y36" i="8"/>
  <c r="Y35" i="8"/>
  <c r="Y34" i="8"/>
  <c r="Y31" i="8"/>
  <c r="V281" i="10"/>
  <c r="V278" i="10"/>
  <c r="V276" i="10"/>
  <c r="V273" i="10"/>
  <c r="V270" i="10"/>
  <c r="V268" i="10"/>
  <c r="V265" i="10"/>
  <c r="V262" i="10"/>
  <c r="V260" i="10"/>
  <c r="V257" i="10"/>
  <c r="V254" i="10"/>
  <c r="V252" i="10"/>
  <c r="V249" i="10"/>
  <c r="V246" i="10"/>
  <c r="V244" i="10"/>
  <c r="V241" i="10"/>
  <c r="V235" i="10"/>
  <c r="V231" i="10"/>
  <c r="V227" i="10"/>
  <c r="V223" i="10"/>
  <c r="V219" i="10"/>
  <c r="V215" i="10"/>
  <c r="V211" i="10"/>
  <c r="V207" i="10"/>
  <c r="V203" i="10"/>
  <c r="V199" i="10"/>
  <c r="V195" i="10"/>
  <c r="V191" i="10"/>
  <c r="V187" i="10"/>
  <c r="V183" i="10"/>
  <c r="V179" i="10"/>
  <c r="V175" i="10"/>
  <c r="V171" i="10"/>
  <c r="V167" i="10"/>
  <c r="V163" i="10"/>
  <c r="V159" i="10"/>
  <c r="V155" i="10"/>
  <c r="V151" i="10"/>
  <c r="V147" i="10"/>
  <c r="V143" i="10"/>
  <c r="V139" i="10"/>
  <c r="V135" i="10"/>
  <c r="V131" i="10"/>
  <c r="V127" i="10"/>
  <c r="V123" i="10"/>
  <c r="Y145" i="8"/>
  <c r="Y112" i="8"/>
  <c r="Y66" i="8"/>
  <c r="Y58" i="8"/>
  <c r="Y30" i="8"/>
  <c r="V236" i="10"/>
  <c r="V232" i="10"/>
  <c r="V228" i="10"/>
  <c r="V224" i="10"/>
  <c r="V220" i="10"/>
  <c r="V216" i="10"/>
  <c r="V212" i="10"/>
  <c r="V208" i="10"/>
  <c r="V204" i="10"/>
  <c r="V200" i="10"/>
  <c r="V196" i="10"/>
  <c r="V192" i="10"/>
  <c r="V188" i="10"/>
  <c r="Y123" i="8"/>
  <c r="Y61" i="8"/>
  <c r="V282" i="10"/>
  <c r="V269" i="10"/>
  <c r="V266" i="10"/>
  <c r="V253" i="10"/>
  <c r="V250" i="10"/>
  <c r="V119" i="10"/>
  <c r="V115" i="10"/>
  <c r="V111" i="10"/>
  <c r="Y131" i="8"/>
  <c r="Y54" i="8"/>
  <c r="V285" i="10"/>
  <c r="V280" i="10"/>
  <c r="V264" i="10"/>
  <c r="V248" i="10"/>
  <c r="V184" i="10"/>
  <c r="V181" i="10"/>
  <c r="V178" i="10"/>
  <c r="V176" i="10"/>
  <c r="V173" i="10"/>
  <c r="V170" i="10"/>
  <c r="V168" i="10"/>
  <c r="V165" i="10"/>
  <c r="V162" i="10"/>
  <c r="V160" i="10"/>
  <c r="V157" i="10"/>
  <c r="V154" i="10"/>
  <c r="V152" i="10"/>
  <c r="V149" i="10"/>
  <c r="V146" i="10"/>
  <c r="V144" i="10"/>
  <c r="V141" i="10"/>
  <c r="V138" i="10"/>
  <c r="V136" i="10"/>
  <c r="V133" i="10"/>
  <c r="V130" i="10"/>
  <c r="V128" i="10"/>
  <c r="V125" i="10"/>
  <c r="V122" i="10"/>
  <c r="V118" i="10"/>
  <c r="V114" i="10"/>
  <c r="V109" i="10"/>
  <c r="V105" i="10"/>
  <c r="V101" i="10"/>
  <c r="V97" i="10"/>
  <c r="V93" i="10"/>
  <c r="V89" i="10"/>
  <c r="V85" i="10"/>
  <c r="V81" i="10"/>
  <c r="V77" i="10"/>
  <c r="V73" i="10"/>
  <c r="V69" i="10"/>
  <c r="V65" i="10"/>
  <c r="V61" i="10"/>
  <c r="V57" i="10"/>
  <c r="V53" i="10"/>
  <c r="V49" i="10"/>
  <c r="V45" i="10"/>
  <c r="E67" i="29"/>
  <c r="I67" i="29" s="1"/>
  <c r="K67" i="29" s="1"/>
  <c r="Y69" i="8"/>
  <c r="V274" i="10"/>
  <c r="V242" i="10"/>
  <c r="V234" i="10"/>
  <c r="V226" i="10"/>
  <c r="V218" i="10"/>
  <c r="V210" i="10"/>
  <c r="V202" i="10"/>
  <c r="V194" i="10"/>
  <c r="V186" i="10"/>
  <c r="V177" i="10"/>
  <c r="V174" i="10"/>
  <c r="V161" i="10"/>
  <c r="V158" i="10"/>
  <c r="V145" i="10"/>
  <c r="V142" i="10"/>
  <c r="V129" i="10"/>
  <c r="V126" i="10"/>
  <c r="V107" i="10"/>
  <c r="V104" i="10"/>
  <c r="V102" i="10"/>
  <c r="V99" i="10"/>
  <c r="V96" i="10"/>
  <c r="V94" i="10"/>
  <c r="V91" i="10"/>
  <c r="V88" i="10"/>
  <c r="V86" i="10"/>
  <c r="V83" i="10"/>
  <c r="V80" i="10"/>
  <c r="V78" i="10"/>
  <c r="V75" i="10"/>
  <c r="V72" i="10"/>
  <c r="V70" i="10"/>
  <c r="V67" i="10"/>
  <c r="V64" i="10"/>
  <c r="V62" i="10"/>
  <c r="V59" i="10"/>
  <c r="V56" i="10"/>
  <c r="V54" i="10"/>
  <c r="V51" i="10"/>
  <c r="V48" i="10"/>
  <c r="V46" i="10"/>
  <c r="V43" i="10"/>
  <c r="V39" i="10"/>
  <c r="V35" i="10"/>
  <c r="V31" i="10"/>
  <c r="V27" i="10"/>
  <c r="V23" i="10"/>
  <c r="V18" i="10"/>
  <c r="V14" i="10"/>
  <c r="V10" i="10"/>
  <c r="V6" i="10"/>
  <c r="V277" i="10"/>
  <c r="V256" i="10"/>
  <c r="V245" i="10"/>
  <c r="V237" i="10"/>
  <c r="V229" i="10"/>
  <c r="V221" i="10"/>
  <c r="V213" i="10"/>
  <c r="V205" i="10"/>
  <c r="V197" i="10"/>
  <c r="V189" i="10"/>
  <c r="V172" i="10"/>
  <c r="V156" i="10"/>
  <c r="V140" i="10"/>
  <c r="V124" i="10"/>
  <c r="V42" i="10"/>
  <c r="V38" i="10"/>
  <c r="V34" i="10"/>
  <c r="V30" i="10"/>
  <c r="V26" i="10"/>
  <c r="V22" i="10"/>
  <c r="V17" i="10"/>
  <c r="V13" i="10"/>
  <c r="V9" i="10"/>
  <c r="V5" i="10"/>
  <c r="Y62" i="8"/>
  <c r="V258" i="10"/>
  <c r="V238" i="10"/>
  <c r="V230" i="10"/>
  <c r="V222" i="10"/>
  <c r="V214" i="10"/>
  <c r="V206" i="10"/>
  <c r="V198" i="10"/>
  <c r="V190" i="10"/>
  <c r="V182" i="10"/>
  <c r="V169" i="10"/>
  <c r="V166" i="10"/>
  <c r="V153" i="10"/>
  <c r="V150" i="10"/>
  <c r="V137" i="10"/>
  <c r="V134" i="10"/>
  <c r="V120" i="10"/>
  <c r="V116" i="10"/>
  <c r="V112" i="10"/>
  <c r="V108" i="10"/>
  <c r="V106" i="10"/>
  <c r="V103" i="10"/>
  <c r="V100" i="10"/>
  <c r="V98" i="10"/>
  <c r="V95" i="10"/>
  <c r="V92" i="10"/>
  <c r="V90" i="10"/>
  <c r="V87" i="10"/>
  <c r="V84" i="10"/>
  <c r="V82" i="10"/>
  <c r="V79" i="10"/>
  <c r="V76" i="10"/>
  <c r="V74" i="10"/>
  <c r="V71" i="10"/>
  <c r="V68" i="10"/>
  <c r="V66" i="10"/>
  <c r="V63" i="10"/>
  <c r="V60" i="10"/>
  <c r="V58" i="10"/>
  <c r="V55" i="10"/>
  <c r="V52" i="10"/>
  <c r="V50" i="10"/>
  <c r="V47" i="10"/>
  <c r="V41" i="10"/>
  <c r="V37" i="10"/>
  <c r="V33" i="10"/>
  <c r="V29" i="10"/>
  <c r="V25" i="10"/>
  <c r="V21" i="10"/>
  <c r="V16" i="10"/>
  <c r="V12" i="10"/>
  <c r="V8" i="10"/>
  <c r="V4" i="10"/>
  <c r="E108" i="35"/>
  <c r="I108" i="35" s="1"/>
  <c r="K108" i="35" s="1"/>
  <c r="E87" i="35"/>
  <c r="I87" i="35" s="1"/>
  <c r="K87" i="35" s="1"/>
  <c r="Y143" i="8"/>
  <c r="V217" i="10"/>
  <c r="V185" i="10"/>
  <c r="V180" i="10"/>
  <c r="V148" i="10"/>
  <c r="V113" i="10"/>
  <c r="V286" i="10"/>
  <c r="V272" i="10"/>
  <c r="V240" i="10"/>
  <c r="V209" i="10"/>
  <c r="V117" i="10"/>
  <c r="V40" i="10"/>
  <c r="V32" i="10"/>
  <c r="V24" i="10"/>
  <c r="V15" i="10"/>
  <c r="V7" i="10"/>
  <c r="Y53" i="8"/>
  <c r="V44" i="10"/>
  <c r="V261" i="10"/>
  <c r="V201" i="10"/>
  <c r="V193" i="10"/>
  <c r="V132" i="10"/>
  <c r="E66" i="35"/>
  <c r="I66" i="35" s="1"/>
  <c r="K66" i="35" s="1"/>
  <c r="V36" i="10"/>
  <c r="E241" i="35"/>
  <c r="I241" i="35" s="1"/>
  <c r="K241" i="35" s="1"/>
  <c r="I53" i="35"/>
  <c r="U8" i="10"/>
  <c r="S116" i="10"/>
  <c r="E243" i="35"/>
  <c r="I243" i="35" s="1"/>
  <c r="K243" i="35" s="1"/>
  <c r="I16" i="35"/>
  <c r="E91" i="29"/>
  <c r="I91" i="29" s="1"/>
  <c r="K91" i="29" s="1"/>
  <c r="AA145" i="8"/>
  <c r="AA144" i="8"/>
  <c r="AA143" i="8"/>
  <c r="AA141" i="8"/>
  <c r="AA140" i="8"/>
  <c r="AA139" i="8"/>
  <c r="AA135" i="8"/>
  <c r="AA130" i="8"/>
  <c r="AA125" i="8"/>
  <c r="AA120" i="8"/>
  <c r="AA115" i="8"/>
  <c r="AA111" i="8"/>
  <c r="AA106" i="8"/>
  <c r="E69" i="29"/>
  <c r="I69" i="29" s="1"/>
  <c r="K69" i="29" s="1"/>
  <c r="AA136" i="8"/>
  <c r="AA131" i="8"/>
  <c r="AA126" i="8"/>
  <c r="AA121" i="8"/>
  <c r="AA117" i="8"/>
  <c r="AA112" i="8"/>
  <c r="AA107" i="8"/>
  <c r="AA103" i="8"/>
  <c r="AA99" i="8"/>
  <c r="AA94" i="8"/>
  <c r="AA90" i="8"/>
  <c r="AA85" i="8"/>
  <c r="AA80" i="8"/>
  <c r="AA76" i="8"/>
  <c r="AA72" i="8"/>
  <c r="AA50" i="8"/>
  <c r="AA138" i="8"/>
  <c r="AA137" i="8"/>
  <c r="AA129" i="8"/>
  <c r="AA127" i="8"/>
  <c r="AA119" i="8"/>
  <c r="AA118" i="8"/>
  <c r="AA110" i="8"/>
  <c r="AA109" i="8"/>
  <c r="AA102" i="8"/>
  <c r="AA98" i="8"/>
  <c r="AA93" i="8"/>
  <c r="AA89" i="8"/>
  <c r="AA84" i="8"/>
  <c r="AA79" i="8"/>
  <c r="AA75" i="8"/>
  <c r="AA71" i="8"/>
  <c r="AA70" i="8"/>
  <c r="AA69" i="8"/>
  <c r="AA124" i="8"/>
  <c r="AA123" i="8"/>
  <c r="AA105" i="8"/>
  <c r="AA104" i="8"/>
  <c r="AA101" i="8"/>
  <c r="AA95" i="8"/>
  <c r="AA92" i="8"/>
  <c r="AA87" i="8"/>
  <c r="AA82" i="8"/>
  <c r="AA77" i="8"/>
  <c r="AA74" i="8"/>
  <c r="AA66" i="8"/>
  <c r="AA62" i="8"/>
  <c r="AA58" i="8"/>
  <c r="AA54" i="8"/>
  <c r="AA45" i="8"/>
  <c r="AA44" i="8"/>
  <c r="AA43" i="8"/>
  <c r="AA42" i="8"/>
  <c r="AA41" i="8"/>
  <c r="AA40" i="8"/>
  <c r="AA39" i="8"/>
  <c r="AA38" i="8"/>
  <c r="AA37" i="8"/>
  <c r="AA36" i="8"/>
  <c r="AA35" i="8"/>
  <c r="AA34" i="8"/>
  <c r="AA30" i="8"/>
  <c r="X285" i="10"/>
  <c r="X281" i="10"/>
  <c r="X277" i="10"/>
  <c r="X273" i="10"/>
  <c r="X269" i="10"/>
  <c r="X265" i="10"/>
  <c r="X261" i="10"/>
  <c r="X257" i="10"/>
  <c r="X253" i="10"/>
  <c r="X249" i="10"/>
  <c r="X245" i="10"/>
  <c r="X241" i="10"/>
  <c r="AA67" i="8"/>
  <c r="AA63" i="8"/>
  <c r="AA59" i="8"/>
  <c r="AA55" i="8"/>
  <c r="X286" i="10"/>
  <c r="X282" i="10"/>
  <c r="AA113" i="8"/>
  <c r="AA91" i="8"/>
  <c r="AA73" i="8"/>
  <c r="AA48" i="8"/>
  <c r="AA47" i="8"/>
  <c r="AA29" i="8"/>
  <c r="AA26" i="8"/>
  <c r="AA24" i="8"/>
  <c r="AA22" i="8"/>
  <c r="AA20" i="8"/>
  <c r="AA18" i="8"/>
  <c r="AA16" i="8"/>
  <c r="AA14" i="8"/>
  <c r="AA12" i="8"/>
  <c r="AA10" i="8"/>
  <c r="AA8" i="8"/>
  <c r="AA6" i="8"/>
  <c r="AA4" i="8"/>
  <c r="X287" i="10"/>
  <c r="X283" i="10"/>
  <c r="X280" i="10"/>
  <c r="X275" i="10"/>
  <c r="X272" i="10"/>
  <c r="X267" i="10"/>
  <c r="X264" i="10"/>
  <c r="X259" i="10"/>
  <c r="X256" i="10"/>
  <c r="X251" i="10"/>
  <c r="X248" i="10"/>
  <c r="X243" i="10"/>
  <c r="X240" i="10"/>
  <c r="X237" i="10"/>
  <c r="X233" i="10"/>
  <c r="X229" i="10"/>
  <c r="X225" i="10"/>
  <c r="X221" i="10"/>
  <c r="X217" i="10"/>
  <c r="X213" i="10"/>
  <c r="X209" i="10"/>
  <c r="X205" i="10"/>
  <c r="X201" i="10"/>
  <c r="X197" i="10"/>
  <c r="X193" i="10"/>
  <c r="X189" i="10"/>
  <c r="X185" i="10"/>
  <c r="X181" i="10"/>
  <c r="X177" i="10"/>
  <c r="X173" i="10"/>
  <c r="X169" i="10"/>
  <c r="X165" i="10"/>
  <c r="X161" i="10"/>
  <c r="X157" i="10"/>
  <c r="X153" i="10"/>
  <c r="X149" i="10"/>
  <c r="X145" i="10"/>
  <c r="X141" i="10"/>
  <c r="X137" i="10"/>
  <c r="X133" i="10"/>
  <c r="X129" i="10"/>
  <c r="X125" i="10"/>
  <c r="X120" i="10"/>
  <c r="E46" i="29"/>
  <c r="I46" i="29" s="1"/>
  <c r="K46" i="29" s="1"/>
  <c r="E24" i="29"/>
  <c r="I24" i="29" s="1"/>
  <c r="K24" i="29" s="1"/>
  <c r="AA134" i="8"/>
  <c r="AA97" i="8"/>
  <c r="AA78" i="8"/>
  <c r="AA65" i="8"/>
  <c r="AA64" i="8"/>
  <c r="AA57" i="8"/>
  <c r="AA56" i="8"/>
  <c r="AA33" i="8"/>
  <c r="AA31" i="8"/>
  <c r="X278" i="10"/>
  <c r="X270" i="10"/>
  <c r="X262" i="10"/>
  <c r="X254" i="10"/>
  <c r="X246" i="10"/>
  <c r="X238" i="10"/>
  <c r="X234" i="10"/>
  <c r="X230" i="10"/>
  <c r="X226" i="10"/>
  <c r="X222" i="10"/>
  <c r="X218" i="10"/>
  <c r="X214" i="10"/>
  <c r="X210" i="10"/>
  <c r="X206" i="10"/>
  <c r="X202" i="10"/>
  <c r="X198" i="10"/>
  <c r="X194" i="10"/>
  <c r="X190" i="10"/>
  <c r="X186" i="10"/>
  <c r="AA81" i="8"/>
  <c r="AA28" i="8"/>
  <c r="AA25" i="8"/>
  <c r="AA23" i="8"/>
  <c r="AA21" i="8"/>
  <c r="AA19" i="8"/>
  <c r="AA17" i="8"/>
  <c r="AA15" i="8"/>
  <c r="AA13" i="8"/>
  <c r="AA11" i="8"/>
  <c r="AA9" i="8"/>
  <c r="AA7" i="8"/>
  <c r="AA5" i="8"/>
  <c r="AA3" i="8"/>
  <c r="X279" i="10"/>
  <c r="X263" i="10"/>
  <c r="X247" i="10"/>
  <c r="X178" i="10"/>
  <c r="X170" i="10"/>
  <c r="X162" i="10"/>
  <c r="X154" i="10"/>
  <c r="X146" i="10"/>
  <c r="X138" i="10"/>
  <c r="X130" i="10"/>
  <c r="X122" i="10"/>
  <c r="X117" i="10"/>
  <c r="X113" i="10"/>
  <c r="AA114" i="8"/>
  <c r="AA88" i="8"/>
  <c r="AA53" i="8"/>
  <c r="AA52" i="8"/>
  <c r="X276" i="10"/>
  <c r="X274" i="10"/>
  <c r="X260" i="10"/>
  <c r="X258" i="10"/>
  <c r="X244" i="10"/>
  <c r="X242" i="10"/>
  <c r="X235" i="10"/>
  <c r="X231" i="10"/>
  <c r="X227" i="10"/>
  <c r="X223" i="10"/>
  <c r="X219" i="10"/>
  <c r="X215" i="10"/>
  <c r="X211" i="10"/>
  <c r="X207" i="10"/>
  <c r="X203" i="10"/>
  <c r="X199" i="10"/>
  <c r="X195" i="10"/>
  <c r="X191" i="10"/>
  <c r="X187" i="10"/>
  <c r="X183" i="10"/>
  <c r="X180" i="10"/>
  <c r="X175" i="10"/>
  <c r="X172" i="10"/>
  <c r="X167" i="10"/>
  <c r="X164" i="10"/>
  <c r="X159" i="10"/>
  <c r="X156" i="10"/>
  <c r="X151" i="10"/>
  <c r="X148" i="10"/>
  <c r="X143" i="10"/>
  <c r="X140" i="10"/>
  <c r="X135" i="10"/>
  <c r="X132" i="10"/>
  <c r="X127" i="10"/>
  <c r="X124" i="10"/>
  <c r="X116" i="10"/>
  <c r="X112" i="10"/>
  <c r="X107" i="10"/>
  <c r="X103" i="10"/>
  <c r="X99" i="10"/>
  <c r="X95" i="10"/>
  <c r="X91" i="10"/>
  <c r="X87" i="10"/>
  <c r="X83" i="10"/>
  <c r="X79" i="10"/>
  <c r="X75" i="10"/>
  <c r="X71" i="10"/>
  <c r="X67" i="10"/>
  <c r="X63" i="10"/>
  <c r="X59" i="10"/>
  <c r="X55" i="10"/>
  <c r="X51" i="10"/>
  <c r="X47" i="10"/>
  <c r="AA100" i="8"/>
  <c r="AA60" i="8"/>
  <c r="X171" i="10"/>
  <c r="X155" i="10"/>
  <c r="X139" i="10"/>
  <c r="X123" i="10"/>
  <c r="X109" i="10"/>
  <c r="X106" i="10"/>
  <c r="X101" i="10"/>
  <c r="X98" i="10"/>
  <c r="X93" i="10"/>
  <c r="X90" i="10"/>
  <c r="X85" i="10"/>
  <c r="X82" i="10"/>
  <c r="X77" i="10"/>
  <c r="X74" i="10"/>
  <c r="X69" i="10"/>
  <c r="X66" i="10"/>
  <c r="X61" i="10"/>
  <c r="X58" i="10"/>
  <c r="X53" i="10"/>
  <c r="X50" i="10"/>
  <c r="X45" i="10"/>
  <c r="X41" i="10"/>
  <c r="X37" i="10"/>
  <c r="X33" i="10"/>
  <c r="X29" i="10"/>
  <c r="X25" i="10"/>
  <c r="X21" i="10"/>
  <c r="X16" i="10"/>
  <c r="X12" i="10"/>
  <c r="X8" i="10"/>
  <c r="X4" i="10"/>
  <c r="AA61" i="8"/>
  <c r="X268" i="10"/>
  <c r="X266" i="10"/>
  <c r="X255" i="10"/>
  <c r="X232" i="10"/>
  <c r="X224" i="10"/>
  <c r="X216" i="10"/>
  <c r="X208" i="10"/>
  <c r="X200" i="10"/>
  <c r="X192" i="10"/>
  <c r="X184" i="10"/>
  <c r="X182" i="10"/>
  <c r="X168" i="10"/>
  <c r="X166" i="10"/>
  <c r="X152" i="10"/>
  <c r="X150" i="10"/>
  <c r="X136" i="10"/>
  <c r="X134" i="10"/>
  <c r="X118" i="10"/>
  <c r="X114" i="10"/>
  <c r="X108" i="10"/>
  <c r="X100" i="10"/>
  <c r="X92" i="10"/>
  <c r="X84" i="10"/>
  <c r="X76" i="10"/>
  <c r="X68" i="10"/>
  <c r="X60" i="10"/>
  <c r="X52" i="10"/>
  <c r="X44" i="10"/>
  <c r="X40" i="10"/>
  <c r="X36" i="10"/>
  <c r="X32" i="10"/>
  <c r="X28" i="10"/>
  <c r="X24" i="10"/>
  <c r="X20" i="10"/>
  <c r="X15" i="10"/>
  <c r="X11" i="10"/>
  <c r="X7" i="10"/>
  <c r="AA133" i="8"/>
  <c r="X284" i="10"/>
  <c r="X179" i="10"/>
  <c r="X163" i="10"/>
  <c r="X147" i="10"/>
  <c r="X131" i="10"/>
  <c r="X105" i="10"/>
  <c r="X102" i="10"/>
  <c r="X97" i="10"/>
  <c r="X94" i="10"/>
  <c r="X89" i="10"/>
  <c r="X86" i="10"/>
  <c r="X81" i="10"/>
  <c r="X78" i="10"/>
  <c r="X73" i="10"/>
  <c r="X70" i="10"/>
  <c r="X65" i="10"/>
  <c r="X62" i="10"/>
  <c r="X57" i="10"/>
  <c r="X54" i="10"/>
  <c r="X49" i="10"/>
  <c r="X46" i="10"/>
  <c r="X43" i="10"/>
  <c r="X39" i="10"/>
  <c r="X35" i="10"/>
  <c r="X31" i="10"/>
  <c r="X27" i="10"/>
  <c r="X23" i="10"/>
  <c r="X18" i="10"/>
  <c r="X14" i="10"/>
  <c r="X10" i="10"/>
  <c r="X6" i="10"/>
  <c r="E89" i="35"/>
  <c r="I89" i="35" s="1"/>
  <c r="K89" i="35" s="1"/>
  <c r="X252" i="10"/>
  <c r="X250" i="10"/>
  <c r="X220" i="10"/>
  <c r="X188" i="10"/>
  <c r="X158" i="10"/>
  <c r="X126" i="10"/>
  <c r="X119" i="10"/>
  <c r="X271" i="10"/>
  <c r="X239" i="10"/>
  <c r="X212" i="10"/>
  <c r="X176" i="10"/>
  <c r="X144" i="10"/>
  <c r="X160" i="10"/>
  <c r="X48" i="10"/>
  <c r="E68" i="35"/>
  <c r="I68" i="35" s="1"/>
  <c r="K68" i="35" s="1"/>
  <c r="K23" i="35"/>
  <c r="X128" i="10"/>
  <c r="X204" i="10"/>
  <c r="X196" i="10"/>
  <c r="X174" i="10"/>
  <c r="X111" i="10"/>
  <c r="X96" i="10"/>
  <c r="X80" i="10"/>
  <c r="X64" i="10"/>
  <c r="X56" i="10"/>
  <c r="X38" i="10"/>
  <c r="X30" i="10"/>
  <c r="X22" i="10"/>
  <c r="X13" i="10"/>
  <c r="X5" i="10"/>
  <c r="G250" i="35"/>
  <c r="I250" i="35" s="1"/>
  <c r="K250" i="35" s="1"/>
  <c r="T13" i="10"/>
  <c r="E29" i="35"/>
  <c r="I29" i="35" s="1"/>
  <c r="K29" i="35" s="1"/>
  <c r="E237" i="35"/>
  <c r="I237" i="35" s="1"/>
  <c r="K237" i="35" s="1"/>
  <c r="I10" i="35"/>
  <c r="J41" i="35"/>
  <c r="K69" i="35"/>
  <c r="E180" i="35"/>
  <c r="I180" i="35" s="1"/>
  <c r="K180" i="35" s="1"/>
  <c r="E176" i="35"/>
  <c r="I176" i="35" s="1"/>
  <c r="K176" i="35" s="1"/>
  <c r="K97" i="35"/>
  <c r="E154" i="35"/>
  <c r="E133" i="35"/>
  <c r="X17" i="10"/>
  <c r="X88" i="10"/>
  <c r="S28" i="8"/>
  <c r="E80" i="29"/>
  <c r="I80" i="29" s="1"/>
  <c r="K80" i="29" s="1"/>
  <c r="E79" i="29"/>
  <c r="I79" i="29" s="1"/>
  <c r="K79" i="29" s="1"/>
  <c r="E34" i="29"/>
  <c r="I34" i="29" s="1"/>
  <c r="K34" i="29" s="1"/>
  <c r="E13" i="29"/>
  <c r="I13" i="29" s="1"/>
  <c r="K13" i="29" s="1"/>
  <c r="L136" i="8"/>
  <c r="L131" i="8"/>
  <c r="L126" i="8"/>
  <c r="L121" i="8"/>
  <c r="L117" i="8"/>
  <c r="L112" i="8"/>
  <c r="L107" i="8"/>
  <c r="E57" i="29"/>
  <c r="I57" i="29" s="1"/>
  <c r="K57" i="29" s="1"/>
  <c r="E12" i="29"/>
  <c r="I12" i="29" s="1"/>
  <c r="K12" i="29" s="1"/>
  <c r="L145" i="8"/>
  <c r="L143" i="8"/>
  <c r="L140" i="8"/>
  <c r="L137" i="8"/>
  <c r="L133" i="8"/>
  <c r="L127" i="8"/>
  <c r="L123" i="8"/>
  <c r="L118" i="8"/>
  <c r="L113" i="8"/>
  <c r="L109" i="8"/>
  <c r="L104" i="8"/>
  <c r="L103" i="8"/>
  <c r="L102" i="8"/>
  <c r="L101" i="8"/>
  <c r="L100" i="8"/>
  <c r="L99" i="8"/>
  <c r="L98" i="8"/>
  <c r="L97" i="8"/>
  <c r="L95" i="8"/>
  <c r="L94" i="8"/>
  <c r="L93" i="8"/>
  <c r="L92" i="8"/>
  <c r="L91" i="8"/>
  <c r="L90" i="8"/>
  <c r="L89" i="8"/>
  <c r="L88" i="8"/>
  <c r="L87" i="8"/>
  <c r="L85" i="8"/>
  <c r="L84" i="8"/>
  <c r="L82" i="8"/>
  <c r="L81" i="8"/>
  <c r="L80" i="8"/>
  <c r="L79" i="8"/>
  <c r="L78" i="8"/>
  <c r="L77" i="8"/>
  <c r="L76" i="8"/>
  <c r="L75" i="8"/>
  <c r="L74" i="8"/>
  <c r="L73" i="8"/>
  <c r="L72" i="8"/>
  <c r="L71" i="8"/>
  <c r="L70" i="8"/>
  <c r="L69" i="8"/>
  <c r="L67" i="8"/>
  <c r="L66" i="8"/>
  <c r="L65" i="8"/>
  <c r="L64" i="8"/>
  <c r="L63" i="8"/>
  <c r="L62" i="8"/>
  <c r="L61" i="8"/>
  <c r="L60" i="8"/>
  <c r="L59" i="8"/>
  <c r="L58" i="8"/>
  <c r="L57" i="8"/>
  <c r="L56" i="8"/>
  <c r="L55" i="8"/>
  <c r="L54" i="8"/>
  <c r="L53" i="8"/>
  <c r="L52" i="8"/>
  <c r="E58" i="29"/>
  <c r="I58" i="29" s="1"/>
  <c r="K58" i="29" s="1"/>
  <c r="L144" i="8"/>
  <c r="L45" i="8"/>
  <c r="L44" i="8"/>
  <c r="L43" i="8"/>
  <c r="L42" i="8"/>
  <c r="L41" i="8"/>
  <c r="L40" i="8"/>
  <c r="L39" i="8"/>
  <c r="L38" i="8"/>
  <c r="L37" i="8"/>
  <c r="L36" i="8"/>
  <c r="L35" i="8"/>
  <c r="L34" i="8"/>
  <c r="L141" i="8"/>
  <c r="L135" i="8"/>
  <c r="L134" i="8"/>
  <c r="L125" i="8"/>
  <c r="L124" i="8"/>
  <c r="L115" i="8"/>
  <c r="L114" i="8"/>
  <c r="L106" i="8"/>
  <c r="L105" i="8"/>
  <c r="L33" i="8"/>
  <c r="L31" i="8"/>
  <c r="L284" i="10"/>
  <c r="L280" i="10"/>
  <c r="L276" i="10"/>
  <c r="L272" i="10"/>
  <c r="L268" i="10"/>
  <c r="L264" i="10"/>
  <c r="L260" i="10"/>
  <c r="L256" i="10"/>
  <c r="L252" i="10"/>
  <c r="L248" i="10"/>
  <c r="L244" i="10"/>
  <c r="L240" i="10"/>
  <c r="E35" i="29"/>
  <c r="I35" i="29" s="1"/>
  <c r="K35" i="29" s="1"/>
  <c r="L138" i="8"/>
  <c r="L130" i="8"/>
  <c r="L119" i="8"/>
  <c r="L111" i="8"/>
  <c r="L285" i="10"/>
  <c r="L120" i="8"/>
  <c r="L275" i="10"/>
  <c r="L267" i="10"/>
  <c r="L259" i="10"/>
  <c r="L251" i="10"/>
  <c r="L243" i="10"/>
  <c r="L236" i="10"/>
  <c r="L232" i="10"/>
  <c r="L228" i="10"/>
  <c r="L224" i="10"/>
  <c r="L220" i="10"/>
  <c r="L216" i="10"/>
  <c r="L212" i="10"/>
  <c r="L208" i="10"/>
  <c r="L204" i="10"/>
  <c r="L200" i="10"/>
  <c r="L196" i="10"/>
  <c r="L192" i="10"/>
  <c r="L188" i="10"/>
  <c r="L184" i="10"/>
  <c r="L180" i="10"/>
  <c r="L176" i="10"/>
  <c r="L172" i="10"/>
  <c r="L168" i="10"/>
  <c r="L164" i="10"/>
  <c r="L160" i="10"/>
  <c r="L156" i="10"/>
  <c r="L152" i="10"/>
  <c r="L148" i="10"/>
  <c r="L144" i="10"/>
  <c r="L140" i="10"/>
  <c r="L136" i="10"/>
  <c r="L132" i="10"/>
  <c r="L128" i="10"/>
  <c r="L124" i="10"/>
  <c r="L129" i="8"/>
  <c r="L50" i="8"/>
  <c r="L48" i="8"/>
  <c r="L29" i="8"/>
  <c r="L26" i="8"/>
  <c r="L24" i="8"/>
  <c r="L22" i="8"/>
  <c r="L20" i="8"/>
  <c r="L18" i="8"/>
  <c r="L16" i="8"/>
  <c r="L14" i="8"/>
  <c r="L12" i="8"/>
  <c r="L10" i="8"/>
  <c r="L8" i="8"/>
  <c r="L6" i="8"/>
  <c r="L4" i="8"/>
  <c r="L286" i="10"/>
  <c r="L281" i="10"/>
  <c r="L278" i="10"/>
  <c r="L273" i="10"/>
  <c r="L270" i="10"/>
  <c r="L265" i="10"/>
  <c r="L262" i="10"/>
  <c r="L257" i="10"/>
  <c r="L254" i="10"/>
  <c r="L249" i="10"/>
  <c r="L246" i="10"/>
  <c r="L241" i="10"/>
  <c r="L237" i="10"/>
  <c r="L233" i="10"/>
  <c r="L229" i="10"/>
  <c r="L225" i="10"/>
  <c r="L221" i="10"/>
  <c r="L217" i="10"/>
  <c r="L213" i="10"/>
  <c r="L209" i="10"/>
  <c r="L205" i="10"/>
  <c r="L201" i="10"/>
  <c r="L197" i="10"/>
  <c r="L193" i="10"/>
  <c r="L189" i="10"/>
  <c r="L185" i="10"/>
  <c r="L47" i="8"/>
  <c r="L279" i="10"/>
  <c r="L263" i="10"/>
  <c r="L247" i="10"/>
  <c r="L238" i="10"/>
  <c r="L234" i="10"/>
  <c r="L230" i="10"/>
  <c r="L226" i="10"/>
  <c r="L222" i="10"/>
  <c r="L218" i="10"/>
  <c r="L214" i="10"/>
  <c r="L210" i="10"/>
  <c r="L206" i="10"/>
  <c r="L202" i="10"/>
  <c r="L198" i="10"/>
  <c r="L194" i="10"/>
  <c r="L190" i="10"/>
  <c r="L186" i="10"/>
  <c r="L181" i="10"/>
  <c r="L178" i="10"/>
  <c r="L173" i="10"/>
  <c r="L170" i="10"/>
  <c r="L165" i="10"/>
  <c r="L162" i="10"/>
  <c r="L157" i="10"/>
  <c r="L154" i="10"/>
  <c r="L149" i="10"/>
  <c r="L146" i="10"/>
  <c r="L141" i="10"/>
  <c r="L138" i="10"/>
  <c r="L133" i="10"/>
  <c r="L130" i="10"/>
  <c r="L125" i="10"/>
  <c r="L122" i="10"/>
  <c r="L120" i="10"/>
  <c r="L116" i="10"/>
  <c r="L112" i="10"/>
  <c r="L30" i="8"/>
  <c r="L28" i="8"/>
  <c r="L25" i="8"/>
  <c r="L23" i="8"/>
  <c r="L21" i="8"/>
  <c r="L19" i="8"/>
  <c r="L17" i="8"/>
  <c r="L15" i="8"/>
  <c r="L13" i="8"/>
  <c r="L11" i="8"/>
  <c r="L9" i="8"/>
  <c r="L7" i="8"/>
  <c r="L5" i="8"/>
  <c r="L3" i="8"/>
  <c r="L287" i="10"/>
  <c r="L277" i="10"/>
  <c r="L274" i="10"/>
  <c r="L261" i="10"/>
  <c r="L258" i="10"/>
  <c r="L245" i="10"/>
  <c r="L242" i="10"/>
  <c r="L183" i="10"/>
  <c r="L175" i="10"/>
  <c r="L167" i="10"/>
  <c r="L159" i="10"/>
  <c r="L151" i="10"/>
  <c r="L143" i="10"/>
  <c r="L135" i="10"/>
  <c r="L127" i="10"/>
  <c r="L119" i="10"/>
  <c r="L115" i="10"/>
  <c r="L111" i="10"/>
  <c r="L106" i="10"/>
  <c r="L102" i="10"/>
  <c r="L98" i="10"/>
  <c r="L94" i="10"/>
  <c r="L90" i="10"/>
  <c r="L86" i="10"/>
  <c r="L82" i="10"/>
  <c r="L78" i="10"/>
  <c r="L74" i="10"/>
  <c r="L70" i="10"/>
  <c r="L66" i="10"/>
  <c r="L62" i="10"/>
  <c r="L58" i="10"/>
  <c r="L54" i="10"/>
  <c r="L50" i="10"/>
  <c r="L46" i="10"/>
  <c r="L110" i="8"/>
  <c r="L171" i="10"/>
  <c r="L155" i="10"/>
  <c r="L139" i="10"/>
  <c r="L123" i="10"/>
  <c r="L117" i="10"/>
  <c r="L113" i="10"/>
  <c r="L109" i="10"/>
  <c r="L101" i="10"/>
  <c r="L93" i="10"/>
  <c r="L85" i="10"/>
  <c r="L77" i="10"/>
  <c r="L69" i="10"/>
  <c r="L61" i="10"/>
  <c r="L53" i="10"/>
  <c r="L45" i="10"/>
  <c r="L44" i="10"/>
  <c r="L40" i="10"/>
  <c r="L36" i="10"/>
  <c r="L32" i="10"/>
  <c r="L28" i="10"/>
  <c r="L24" i="10"/>
  <c r="L20" i="10"/>
  <c r="L15" i="10"/>
  <c r="L11" i="10"/>
  <c r="L7" i="10"/>
  <c r="L139" i="8"/>
  <c r="L282" i="10"/>
  <c r="L271" i="10"/>
  <c r="L269" i="10"/>
  <c r="L250" i="10"/>
  <c r="L239" i="10"/>
  <c r="L231" i="10"/>
  <c r="L223" i="10"/>
  <c r="L215" i="10"/>
  <c r="L207" i="10"/>
  <c r="L199" i="10"/>
  <c r="L191" i="10"/>
  <c r="L182" i="10"/>
  <c r="L169" i="10"/>
  <c r="L166" i="10"/>
  <c r="L153" i="10"/>
  <c r="L150" i="10"/>
  <c r="L137" i="10"/>
  <c r="L134" i="10"/>
  <c r="L108" i="10"/>
  <c r="L103" i="10"/>
  <c r="L100" i="10"/>
  <c r="L95" i="10"/>
  <c r="L92" i="10"/>
  <c r="L87" i="10"/>
  <c r="L84" i="10"/>
  <c r="L79" i="10"/>
  <c r="L76" i="10"/>
  <c r="L71" i="10"/>
  <c r="L68" i="10"/>
  <c r="L63" i="10"/>
  <c r="L60" i="10"/>
  <c r="L55" i="10"/>
  <c r="L52" i="10"/>
  <c r="L47" i="10"/>
  <c r="L43" i="10"/>
  <c r="L39" i="10"/>
  <c r="L35" i="10"/>
  <c r="L31" i="10"/>
  <c r="L27" i="10"/>
  <c r="L23" i="10"/>
  <c r="L18" i="10"/>
  <c r="L14" i="10"/>
  <c r="L10" i="10"/>
  <c r="L6" i="10"/>
  <c r="E50" i="35"/>
  <c r="I50" i="35" s="1"/>
  <c r="K50" i="35" s="1"/>
  <c r="L179" i="10"/>
  <c r="L163" i="10"/>
  <c r="L147" i="10"/>
  <c r="L131" i="10"/>
  <c r="L118" i="10"/>
  <c r="L114" i="10"/>
  <c r="L105" i="10"/>
  <c r="L97" i="10"/>
  <c r="L89" i="10"/>
  <c r="L81" i="10"/>
  <c r="L73" i="10"/>
  <c r="L65" i="10"/>
  <c r="L57" i="10"/>
  <c r="L49" i="10"/>
  <c r="L42" i="10"/>
  <c r="L38" i="10"/>
  <c r="L34" i="10"/>
  <c r="L30" i="10"/>
  <c r="L26" i="10"/>
  <c r="L22" i="10"/>
  <c r="L17" i="10"/>
  <c r="L13" i="10"/>
  <c r="L9" i="10"/>
  <c r="L5" i="10"/>
  <c r="L283" i="10"/>
  <c r="L266" i="10"/>
  <c r="L255" i="10"/>
  <c r="L253" i="10"/>
  <c r="L219" i="10"/>
  <c r="L187" i="10"/>
  <c r="L107" i="10"/>
  <c r="L99" i="10"/>
  <c r="L91" i="10"/>
  <c r="L83" i="10"/>
  <c r="L75" i="10"/>
  <c r="L67" i="10"/>
  <c r="L59" i="10"/>
  <c r="L51" i="10"/>
  <c r="L211" i="10"/>
  <c r="L177" i="10"/>
  <c r="L158" i="10"/>
  <c r="L145" i="10"/>
  <c r="L126" i="10"/>
  <c r="L104" i="10"/>
  <c r="L96" i="10"/>
  <c r="L88" i="10"/>
  <c r="L80" i="10"/>
  <c r="L72" i="10"/>
  <c r="L64" i="10"/>
  <c r="L161" i="10"/>
  <c r="L142" i="10"/>
  <c r="L41" i="10"/>
  <c r="L33" i="10"/>
  <c r="L25" i="10"/>
  <c r="L16" i="10"/>
  <c r="L8" i="10"/>
  <c r="K9" i="35"/>
  <c r="L174" i="10"/>
  <c r="L129" i="10"/>
  <c r="L56" i="10"/>
  <c r="L48" i="10"/>
  <c r="L37" i="10"/>
  <c r="L203" i="10"/>
  <c r="L195" i="10"/>
  <c r="E98" i="35"/>
  <c r="I98" i="35" s="1"/>
  <c r="K98" i="35" s="1"/>
  <c r="I13" i="35"/>
  <c r="K13" i="35" s="1"/>
  <c r="E240" i="35"/>
  <c r="I240" i="35" s="1"/>
  <c r="K240" i="35" s="1"/>
  <c r="E86" i="29"/>
  <c r="I86" i="29" s="1"/>
  <c r="K86" i="29" s="1"/>
  <c r="W145" i="8"/>
  <c r="W144" i="8"/>
  <c r="W143" i="8"/>
  <c r="W141" i="8"/>
  <c r="W140" i="8"/>
  <c r="E41" i="29"/>
  <c r="I41" i="29" s="1"/>
  <c r="K41" i="29" s="1"/>
  <c r="E19" i="29"/>
  <c r="I19" i="29" s="1"/>
  <c r="K19" i="29" s="1"/>
  <c r="E64" i="29"/>
  <c r="I64" i="29" s="1"/>
  <c r="K64" i="29" s="1"/>
  <c r="W136" i="8"/>
  <c r="W131" i="8"/>
  <c r="W126" i="8"/>
  <c r="W121" i="8"/>
  <c r="W117" i="8"/>
  <c r="W112" i="8"/>
  <c r="W107" i="8"/>
  <c r="W137" i="8"/>
  <c r="W133" i="8"/>
  <c r="W127" i="8"/>
  <c r="W123" i="8"/>
  <c r="W118" i="8"/>
  <c r="W113" i="8"/>
  <c r="W109" i="8"/>
  <c r="W138" i="8"/>
  <c r="W129" i="8"/>
  <c r="W119" i="8"/>
  <c r="W110" i="8"/>
  <c r="W101" i="8"/>
  <c r="W97" i="8"/>
  <c r="W92" i="8"/>
  <c r="W88" i="8"/>
  <c r="W82" i="8"/>
  <c r="W78" i="8"/>
  <c r="W74" i="8"/>
  <c r="W45" i="8"/>
  <c r="W139" i="8"/>
  <c r="W130" i="8"/>
  <c r="W120" i="8"/>
  <c r="W111" i="8"/>
  <c r="W104" i="8"/>
  <c r="W100" i="8"/>
  <c r="W95" i="8"/>
  <c r="W91" i="8"/>
  <c r="W87" i="8"/>
  <c r="W81" i="8"/>
  <c r="W77" i="8"/>
  <c r="W73" i="8"/>
  <c r="W71" i="8"/>
  <c r="W64" i="8"/>
  <c r="W60" i="8"/>
  <c r="W56" i="8"/>
  <c r="W52" i="8"/>
  <c r="W33" i="8"/>
  <c r="W31" i="8"/>
  <c r="S286" i="10"/>
  <c r="S282" i="10"/>
  <c r="S278" i="10"/>
  <c r="S274" i="10"/>
  <c r="S270" i="10"/>
  <c r="S266" i="10"/>
  <c r="S262" i="10"/>
  <c r="S258" i="10"/>
  <c r="S254" i="10"/>
  <c r="S250" i="10"/>
  <c r="S246" i="10"/>
  <c r="S242" i="10"/>
  <c r="W134" i="8"/>
  <c r="W125" i="8"/>
  <c r="W114" i="8"/>
  <c r="W106" i="8"/>
  <c r="W102" i="8"/>
  <c r="W99" i="8"/>
  <c r="W93" i="8"/>
  <c r="W90" i="8"/>
  <c r="W84" i="8"/>
  <c r="W80" i="8"/>
  <c r="W75" i="8"/>
  <c r="W72" i="8"/>
  <c r="W65" i="8"/>
  <c r="W61" i="8"/>
  <c r="W57" i="8"/>
  <c r="W53" i="8"/>
  <c r="W50" i="8"/>
  <c r="W48" i="8"/>
  <c r="W47" i="8"/>
  <c r="W44" i="8"/>
  <c r="W43" i="8"/>
  <c r="W42" i="8"/>
  <c r="W41" i="8"/>
  <c r="W40" i="8"/>
  <c r="W39" i="8"/>
  <c r="W38" i="8"/>
  <c r="W37" i="8"/>
  <c r="W36" i="8"/>
  <c r="W35" i="8"/>
  <c r="W34" i="8"/>
  <c r="W30" i="8"/>
  <c r="S287" i="10"/>
  <c r="S283" i="10"/>
  <c r="W115" i="8"/>
  <c r="W89" i="8"/>
  <c r="W67" i="8"/>
  <c r="W66" i="8"/>
  <c r="W59" i="8"/>
  <c r="W58" i="8"/>
  <c r="W28" i="8"/>
  <c r="W25" i="8"/>
  <c r="W23" i="8"/>
  <c r="W21" i="8"/>
  <c r="W19" i="8"/>
  <c r="W17" i="8"/>
  <c r="W15" i="8"/>
  <c r="W13" i="8"/>
  <c r="W11" i="8"/>
  <c r="W9" i="8"/>
  <c r="W7" i="8"/>
  <c r="W5" i="8"/>
  <c r="W3" i="8"/>
  <c r="S280" i="10"/>
  <c r="S277" i="10"/>
  <c r="S275" i="10"/>
  <c r="S272" i="10"/>
  <c r="S269" i="10"/>
  <c r="S267" i="10"/>
  <c r="S264" i="10"/>
  <c r="S261" i="10"/>
  <c r="S259" i="10"/>
  <c r="S256" i="10"/>
  <c r="S253" i="10"/>
  <c r="S251" i="10"/>
  <c r="S248" i="10"/>
  <c r="S245" i="10"/>
  <c r="S243" i="10"/>
  <c r="S240" i="10"/>
  <c r="S238" i="10"/>
  <c r="S234" i="10"/>
  <c r="S230" i="10"/>
  <c r="S226" i="10"/>
  <c r="S222" i="10"/>
  <c r="S218" i="10"/>
  <c r="S214" i="10"/>
  <c r="S210" i="10"/>
  <c r="S206" i="10"/>
  <c r="S202" i="10"/>
  <c r="S198" i="10"/>
  <c r="S194" i="10"/>
  <c r="S190" i="10"/>
  <c r="S186" i="10"/>
  <c r="S182" i="10"/>
  <c r="S178" i="10"/>
  <c r="S174" i="10"/>
  <c r="S170" i="10"/>
  <c r="S166" i="10"/>
  <c r="S162" i="10"/>
  <c r="S158" i="10"/>
  <c r="S154" i="10"/>
  <c r="S150" i="10"/>
  <c r="S146" i="10"/>
  <c r="S142" i="10"/>
  <c r="S138" i="10"/>
  <c r="S134" i="10"/>
  <c r="S130" i="10"/>
  <c r="S126" i="10"/>
  <c r="S122" i="10"/>
  <c r="W124" i="8"/>
  <c r="W94" i="8"/>
  <c r="W76" i="8"/>
  <c r="W69" i="8"/>
  <c r="S235" i="10"/>
  <c r="S231" i="10"/>
  <c r="S227" i="10"/>
  <c r="S223" i="10"/>
  <c r="S219" i="10"/>
  <c r="S215" i="10"/>
  <c r="S211" i="10"/>
  <c r="S207" i="10"/>
  <c r="S203" i="10"/>
  <c r="S199" i="10"/>
  <c r="S195" i="10"/>
  <c r="S191" i="10"/>
  <c r="S187" i="10"/>
  <c r="W135" i="8"/>
  <c r="W98" i="8"/>
  <c r="W63" i="8"/>
  <c r="W62" i="8"/>
  <c r="W29" i="8"/>
  <c r="W26" i="8"/>
  <c r="W24" i="8"/>
  <c r="W22" i="8"/>
  <c r="W20" i="8"/>
  <c r="W18" i="8"/>
  <c r="W16" i="8"/>
  <c r="W14" i="8"/>
  <c r="W12" i="8"/>
  <c r="W10" i="8"/>
  <c r="W8" i="8"/>
  <c r="W6" i="8"/>
  <c r="W4" i="8"/>
  <c r="S284" i="10"/>
  <c r="S271" i="10"/>
  <c r="S255" i="10"/>
  <c r="S239" i="10"/>
  <c r="S118" i="10"/>
  <c r="S114" i="10"/>
  <c r="W103" i="8"/>
  <c r="W70" i="8"/>
  <c r="S281" i="10"/>
  <c r="S268" i="10"/>
  <c r="S265" i="10"/>
  <c r="S252" i="10"/>
  <c r="S249" i="10"/>
  <c r="S183" i="10"/>
  <c r="S180" i="10"/>
  <c r="S177" i="10"/>
  <c r="S175" i="10"/>
  <c r="S172" i="10"/>
  <c r="S169" i="10"/>
  <c r="S167" i="10"/>
  <c r="S164" i="10"/>
  <c r="S161" i="10"/>
  <c r="S159" i="10"/>
  <c r="S156" i="10"/>
  <c r="S153" i="10"/>
  <c r="S151" i="10"/>
  <c r="S148" i="10"/>
  <c r="S145" i="10"/>
  <c r="S143" i="10"/>
  <c r="S140" i="10"/>
  <c r="S137" i="10"/>
  <c r="S135" i="10"/>
  <c r="S132" i="10"/>
  <c r="S129" i="10"/>
  <c r="S127" i="10"/>
  <c r="S124" i="10"/>
  <c r="S117" i="10"/>
  <c r="S113" i="10"/>
  <c r="S108" i="10"/>
  <c r="S104" i="10"/>
  <c r="S100" i="10"/>
  <c r="S96" i="10"/>
  <c r="S92" i="10"/>
  <c r="S88" i="10"/>
  <c r="S84" i="10"/>
  <c r="S80" i="10"/>
  <c r="S76" i="10"/>
  <c r="S72" i="10"/>
  <c r="S68" i="10"/>
  <c r="S64" i="10"/>
  <c r="S60" i="10"/>
  <c r="S56" i="10"/>
  <c r="S52" i="10"/>
  <c r="S48" i="10"/>
  <c r="W54" i="8"/>
  <c r="S263" i="10"/>
  <c r="S257" i="10"/>
  <c r="S236" i="10"/>
  <c r="S233" i="10"/>
  <c r="S228" i="10"/>
  <c r="S225" i="10"/>
  <c r="S220" i="10"/>
  <c r="S217" i="10"/>
  <c r="S212" i="10"/>
  <c r="S209" i="10"/>
  <c r="S204" i="10"/>
  <c r="S201" i="10"/>
  <c r="S196" i="10"/>
  <c r="S193" i="10"/>
  <c r="S188" i="10"/>
  <c r="S185" i="10"/>
  <c r="S179" i="10"/>
  <c r="S163" i="10"/>
  <c r="S147" i="10"/>
  <c r="S131" i="10"/>
  <c r="S109" i="10"/>
  <c r="S106" i="10"/>
  <c r="S103" i="10"/>
  <c r="S101" i="10"/>
  <c r="S98" i="10"/>
  <c r="S95" i="10"/>
  <c r="S93" i="10"/>
  <c r="S90" i="10"/>
  <c r="S87" i="10"/>
  <c r="S85" i="10"/>
  <c r="S82" i="10"/>
  <c r="S79" i="10"/>
  <c r="S77" i="10"/>
  <c r="S74" i="10"/>
  <c r="S71" i="10"/>
  <c r="S69" i="10"/>
  <c r="S66" i="10"/>
  <c r="S63" i="10"/>
  <c r="S61" i="10"/>
  <c r="S58" i="10"/>
  <c r="S55" i="10"/>
  <c r="S53" i="10"/>
  <c r="S50" i="10"/>
  <c r="S47" i="10"/>
  <c r="S45" i="10"/>
  <c r="S42" i="10"/>
  <c r="S38" i="10"/>
  <c r="S34" i="10"/>
  <c r="S30" i="10"/>
  <c r="S26" i="10"/>
  <c r="S22" i="10"/>
  <c r="S17" i="10"/>
  <c r="S13" i="10"/>
  <c r="S9" i="10"/>
  <c r="S5" i="10"/>
  <c r="W105" i="8"/>
  <c r="W55" i="8"/>
  <c r="S285" i="10"/>
  <c r="S260" i="10"/>
  <c r="S176" i="10"/>
  <c r="S173" i="10"/>
  <c r="S160" i="10"/>
  <c r="S157" i="10"/>
  <c r="S144" i="10"/>
  <c r="S141" i="10"/>
  <c r="S128" i="10"/>
  <c r="S125" i="10"/>
  <c r="S41" i="10"/>
  <c r="S37" i="10"/>
  <c r="S33" i="10"/>
  <c r="S29" i="10"/>
  <c r="S25" i="10"/>
  <c r="S21" i="10"/>
  <c r="S16" i="10"/>
  <c r="S12" i="10"/>
  <c r="S8" i="10"/>
  <c r="S4" i="10"/>
  <c r="E63" i="35"/>
  <c r="I63" i="35" s="1"/>
  <c r="K63" i="35" s="1"/>
  <c r="W79" i="8"/>
  <c r="S279" i="10"/>
  <c r="S273" i="10"/>
  <c r="S247" i="10"/>
  <c r="S241" i="10"/>
  <c r="S237" i="10"/>
  <c r="S232" i="10"/>
  <c r="S229" i="10"/>
  <c r="S224" i="10"/>
  <c r="S221" i="10"/>
  <c r="S216" i="10"/>
  <c r="S213" i="10"/>
  <c r="S208" i="10"/>
  <c r="S205" i="10"/>
  <c r="S200" i="10"/>
  <c r="S197" i="10"/>
  <c r="S192" i="10"/>
  <c r="S189" i="10"/>
  <c r="S171" i="10"/>
  <c r="S155" i="10"/>
  <c r="S139" i="10"/>
  <c r="S123" i="10"/>
  <c r="S119" i="10"/>
  <c r="S115" i="10"/>
  <c r="S111" i="10"/>
  <c r="S107" i="10"/>
  <c r="S105" i="10"/>
  <c r="S102" i="10"/>
  <c r="S99" i="10"/>
  <c r="S97" i="10"/>
  <c r="S94" i="10"/>
  <c r="S91" i="10"/>
  <c r="S89" i="10"/>
  <c r="S86" i="10"/>
  <c r="S83" i="10"/>
  <c r="S81" i="10"/>
  <c r="S78" i="10"/>
  <c r="S75" i="10"/>
  <c r="S73" i="10"/>
  <c r="S70" i="10"/>
  <c r="S67" i="10"/>
  <c r="S65" i="10"/>
  <c r="S62" i="10"/>
  <c r="S59" i="10"/>
  <c r="S57" i="10"/>
  <c r="S54" i="10"/>
  <c r="S51" i="10"/>
  <c r="S49" i="10"/>
  <c r="S46" i="10"/>
  <c r="S44" i="10"/>
  <c r="S40" i="10"/>
  <c r="S36" i="10"/>
  <c r="S32" i="10"/>
  <c r="S28" i="10"/>
  <c r="S24" i="10"/>
  <c r="S20" i="10"/>
  <c r="S15" i="10"/>
  <c r="S11" i="10"/>
  <c r="S7" i="10"/>
  <c r="E84" i="35"/>
  <c r="I84" i="35" s="1"/>
  <c r="K84" i="35" s="1"/>
  <c r="S184" i="10"/>
  <c r="S181" i="10"/>
  <c r="S152" i="10"/>
  <c r="S149" i="10"/>
  <c r="S120" i="10"/>
  <c r="W85" i="8"/>
  <c r="S244" i="10"/>
  <c r="S39" i="10"/>
  <c r="S31" i="10"/>
  <c r="S23" i="10"/>
  <c r="S14" i="10"/>
  <c r="S6" i="10"/>
  <c r="S276" i="10"/>
  <c r="S43" i="10"/>
  <c r="S35" i="10"/>
  <c r="S136" i="10"/>
  <c r="S133" i="10"/>
  <c r="S112" i="10"/>
  <c r="E88" i="29"/>
  <c r="I88" i="29" s="1"/>
  <c r="K88" i="29" s="1"/>
  <c r="E21" i="29"/>
  <c r="I21" i="29" s="1"/>
  <c r="K21" i="29" s="1"/>
  <c r="E66" i="29"/>
  <c r="I66" i="29" s="1"/>
  <c r="K66" i="29" s="1"/>
  <c r="E43" i="29"/>
  <c r="I43" i="29" s="1"/>
  <c r="K43" i="29" s="1"/>
  <c r="U284" i="10"/>
  <c r="U280" i="10"/>
  <c r="U276" i="10"/>
  <c r="U272" i="10"/>
  <c r="U268" i="10"/>
  <c r="U264" i="10"/>
  <c r="U260" i="10"/>
  <c r="U256" i="10"/>
  <c r="U252" i="10"/>
  <c r="U248" i="10"/>
  <c r="U244" i="10"/>
  <c r="U240" i="10"/>
  <c r="U285" i="10"/>
  <c r="U279" i="10"/>
  <c r="U271" i="10"/>
  <c r="U263" i="10"/>
  <c r="U255" i="10"/>
  <c r="U247" i="10"/>
  <c r="U239" i="10"/>
  <c r="U236" i="10"/>
  <c r="U232" i="10"/>
  <c r="U228" i="10"/>
  <c r="U224" i="10"/>
  <c r="U220" i="10"/>
  <c r="U216" i="10"/>
  <c r="U212" i="10"/>
  <c r="U208" i="10"/>
  <c r="U204" i="10"/>
  <c r="U200" i="10"/>
  <c r="U196" i="10"/>
  <c r="U192" i="10"/>
  <c r="U188" i="10"/>
  <c r="U184" i="10"/>
  <c r="U180" i="10"/>
  <c r="U176" i="10"/>
  <c r="U172" i="10"/>
  <c r="U168" i="10"/>
  <c r="U164" i="10"/>
  <c r="U160" i="10"/>
  <c r="U156" i="10"/>
  <c r="U152" i="10"/>
  <c r="U148" i="10"/>
  <c r="U144" i="10"/>
  <c r="U140" i="10"/>
  <c r="U136" i="10"/>
  <c r="U132" i="10"/>
  <c r="U128" i="10"/>
  <c r="U124" i="10"/>
  <c r="U286" i="10"/>
  <c r="U282" i="10"/>
  <c r="U277" i="10"/>
  <c r="U274" i="10"/>
  <c r="U269" i="10"/>
  <c r="U266" i="10"/>
  <c r="U261" i="10"/>
  <c r="U258" i="10"/>
  <c r="U253" i="10"/>
  <c r="U250" i="10"/>
  <c r="U245" i="10"/>
  <c r="U242" i="10"/>
  <c r="U237" i="10"/>
  <c r="U233" i="10"/>
  <c r="U229" i="10"/>
  <c r="U225" i="10"/>
  <c r="U221" i="10"/>
  <c r="U217" i="10"/>
  <c r="U213" i="10"/>
  <c r="U209" i="10"/>
  <c r="U205" i="10"/>
  <c r="U201" i="10"/>
  <c r="U197" i="10"/>
  <c r="U193" i="10"/>
  <c r="U189" i="10"/>
  <c r="U185" i="10"/>
  <c r="U281" i="10"/>
  <c r="U265" i="10"/>
  <c r="U249" i="10"/>
  <c r="U238" i="10"/>
  <c r="U234" i="10"/>
  <c r="U230" i="10"/>
  <c r="U226" i="10"/>
  <c r="U222" i="10"/>
  <c r="U218" i="10"/>
  <c r="U214" i="10"/>
  <c r="U210" i="10"/>
  <c r="U206" i="10"/>
  <c r="U202" i="10"/>
  <c r="U198" i="10"/>
  <c r="U194" i="10"/>
  <c r="U190" i="10"/>
  <c r="U186" i="10"/>
  <c r="U182" i="10"/>
  <c r="U177" i="10"/>
  <c r="U174" i="10"/>
  <c r="U169" i="10"/>
  <c r="U166" i="10"/>
  <c r="U161" i="10"/>
  <c r="U158" i="10"/>
  <c r="U153" i="10"/>
  <c r="U150" i="10"/>
  <c r="U145" i="10"/>
  <c r="U142" i="10"/>
  <c r="U137" i="10"/>
  <c r="U134" i="10"/>
  <c r="U129" i="10"/>
  <c r="U126" i="10"/>
  <c r="U120" i="10"/>
  <c r="U116" i="10"/>
  <c r="U112" i="10"/>
  <c r="U283" i="10"/>
  <c r="U278" i="10"/>
  <c r="U267" i="10"/>
  <c r="U262" i="10"/>
  <c r="U251" i="10"/>
  <c r="U246" i="10"/>
  <c r="U179" i="10"/>
  <c r="U171" i="10"/>
  <c r="U163" i="10"/>
  <c r="U155" i="10"/>
  <c r="U147" i="10"/>
  <c r="U139" i="10"/>
  <c r="U131" i="10"/>
  <c r="U123" i="10"/>
  <c r="U119" i="10"/>
  <c r="U115" i="10"/>
  <c r="U111" i="10"/>
  <c r="U106" i="10"/>
  <c r="U102" i="10"/>
  <c r="U98" i="10"/>
  <c r="U94" i="10"/>
  <c r="U90" i="10"/>
  <c r="U86" i="10"/>
  <c r="U82" i="10"/>
  <c r="U78" i="10"/>
  <c r="U74" i="10"/>
  <c r="U70" i="10"/>
  <c r="U66" i="10"/>
  <c r="U62" i="10"/>
  <c r="U58" i="10"/>
  <c r="U54" i="10"/>
  <c r="U50" i="10"/>
  <c r="U46" i="10"/>
  <c r="U275" i="10"/>
  <c r="U254" i="10"/>
  <c r="U243" i="10"/>
  <c r="U173" i="10"/>
  <c r="U157" i="10"/>
  <c r="U141" i="10"/>
  <c r="U125" i="10"/>
  <c r="U117" i="10"/>
  <c r="U113" i="10"/>
  <c r="U105" i="10"/>
  <c r="U97" i="10"/>
  <c r="U89" i="10"/>
  <c r="U81" i="10"/>
  <c r="U73" i="10"/>
  <c r="U65" i="10"/>
  <c r="U57" i="10"/>
  <c r="U49" i="10"/>
  <c r="U44" i="10"/>
  <c r="U40" i="10"/>
  <c r="U36" i="10"/>
  <c r="U32" i="10"/>
  <c r="U28" i="10"/>
  <c r="U24" i="10"/>
  <c r="U20" i="10"/>
  <c r="U15" i="10"/>
  <c r="U11" i="10"/>
  <c r="U7" i="10"/>
  <c r="U273" i="10"/>
  <c r="U241" i="10"/>
  <c r="U235" i="10"/>
  <c r="U227" i="10"/>
  <c r="U219" i="10"/>
  <c r="U211" i="10"/>
  <c r="U203" i="10"/>
  <c r="U195" i="10"/>
  <c r="U187" i="10"/>
  <c r="U175" i="10"/>
  <c r="U170" i="10"/>
  <c r="U159" i="10"/>
  <c r="U154" i="10"/>
  <c r="U143" i="10"/>
  <c r="U138" i="10"/>
  <c r="U127" i="10"/>
  <c r="U122" i="10"/>
  <c r="U107" i="10"/>
  <c r="U104" i="10"/>
  <c r="U99" i="10"/>
  <c r="U96" i="10"/>
  <c r="U91" i="10"/>
  <c r="U88" i="10"/>
  <c r="U83" i="10"/>
  <c r="U80" i="10"/>
  <c r="U75" i="10"/>
  <c r="U72" i="10"/>
  <c r="U67" i="10"/>
  <c r="U64" i="10"/>
  <c r="U59" i="10"/>
  <c r="U56" i="10"/>
  <c r="U51" i="10"/>
  <c r="U48" i="10"/>
  <c r="U43" i="10"/>
  <c r="U39" i="10"/>
  <c r="U35" i="10"/>
  <c r="U31" i="10"/>
  <c r="U27" i="10"/>
  <c r="U23" i="10"/>
  <c r="U18" i="10"/>
  <c r="U14" i="10"/>
  <c r="U10" i="10"/>
  <c r="U6" i="10"/>
  <c r="E107" i="35"/>
  <c r="I107" i="35" s="1"/>
  <c r="K107" i="35" s="1"/>
  <c r="U270" i="10"/>
  <c r="U259" i="10"/>
  <c r="U181" i="10"/>
  <c r="U165" i="10"/>
  <c r="U149" i="10"/>
  <c r="U133" i="10"/>
  <c r="U118" i="10"/>
  <c r="U114" i="10"/>
  <c r="U109" i="10"/>
  <c r="U101" i="10"/>
  <c r="U93" i="10"/>
  <c r="U85" i="10"/>
  <c r="U77" i="10"/>
  <c r="U69" i="10"/>
  <c r="U61" i="10"/>
  <c r="U53" i="10"/>
  <c r="U45" i="10"/>
  <c r="U42" i="10"/>
  <c r="U38" i="10"/>
  <c r="U34" i="10"/>
  <c r="U30" i="10"/>
  <c r="U26" i="10"/>
  <c r="U22" i="10"/>
  <c r="U17" i="10"/>
  <c r="U13" i="10"/>
  <c r="U9" i="10"/>
  <c r="U5" i="10"/>
  <c r="E86" i="35"/>
  <c r="I86" i="35" s="1"/>
  <c r="K86" i="35" s="1"/>
  <c r="U215" i="10"/>
  <c r="U183" i="10"/>
  <c r="U178" i="10"/>
  <c r="U151" i="10"/>
  <c r="U146" i="10"/>
  <c r="U287" i="10"/>
  <c r="U257" i="10"/>
  <c r="U207" i="10"/>
  <c r="U108" i="10"/>
  <c r="U103" i="10"/>
  <c r="U100" i="10"/>
  <c r="U95" i="10"/>
  <c r="U92" i="10"/>
  <c r="U87" i="10"/>
  <c r="U84" i="10"/>
  <c r="U79" i="10"/>
  <c r="U76" i="10"/>
  <c r="U71" i="10"/>
  <c r="U68" i="10"/>
  <c r="U63" i="10"/>
  <c r="U37" i="10"/>
  <c r="U29" i="10"/>
  <c r="U21" i="10"/>
  <c r="U12" i="10"/>
  <c r="U4" i="10"/>
  <c r="U55" i="10"/>
  <c r="U47" i="10"/>
  <c r="U41" i="10"/>
  <c r="U199" i="10"/>
  <c r="U191" i="10"/>
  <c r="U135" i="10"/>
  <c r="U130" i="10"/>
  <c r="U52" i="10"/>
  <c r="U60" i="10"/>
  <c r="E37" i="35"/>
  <c r="I37" i="35" s="1"/>
  <c r="K37" i="35" s="1"/>
  <c r="U25" i="10"/>
  <c r="U223" i="10"/>
  <c r="V225" i="10"/>
  <c r="L227" i="10"/>
  <c r="U231" i="10"/>
  <c r="V233" i="10"/>
  <c r="S11" i="8"/>
  <c r="K17" i="35"/>
  <c r="K18" i="35"/>
  <c r="K19" i="35"/>
  <c r="K20" i="35"/>
  <c r="K21" i="35"/>
  <c r="E36" i="35"/>
  <c r="I36" i="35" s="1"/>
  <c r="K36" i="35" s="1"/>
  <c r="E178" i="35"/>
  <c r="I178" i="35" s="1"/>
  <c r="K178" i="35" s="1"/>
  <c r="L181" i="35" s="1"/>
  <c r="K58" i="35"/>
  <c r="E65" i="35"/>
  <c r="I65" i="35" s="1"/>
  <c r="K65" i="35" s="1"/>
  <c r="E236" i="35"/>
  <c r="I236" i="35" s="1"/>
  <c r="K236" i="35" s="1"/>
  <c r="L4" i="10"/>
  <c r="S10" i="10"/>
  <c r="V20" i="10"/>
  <c r="L21" i="10"/>
  <c r="S27" i="10"/>
  <c r="T30" i="10"/>
  <c r="U33" i="10"/>
  <c r="X34" i="10"/>
  <c r="X42" i="10"/>
  <c r="X104" i="10"/>
  <c r="X142" i="10"/>
  <c r="S19" i="8"/>
  <c r="E239" i="35"/>
  <c r="I239" i="35" s="1"/>
  <c r="K239" i="35" s="1"/>
  <c r="E14" i="35"/>
  <c r="I12" i="35"/>
  <c r="E39" i="35"/>
  <c r="I39" i="35" s="1"/>
  <c r="K39" i="35" s="1"/>
  <c r="E77" i="35"/>
  <c r="I77" i="35" s="1"/>
  <c r="K77" i="35" s="1"/>
  <c r="E83" i="35"/>
  <c r="I83" i="35" s="1"/>
  <c r="K83" i="35" s="1"/>
  <c r="F208" i="35"/>
  <c r="F229" i="35"/>
  <c r="E242" i="35"/>
  <c r="I242" i="35" s="1"/>
  <c r="K242" i="35" s="1"/>
  <c r="I15" i="35"/>
  <c r="E38" i="35"/>
  <c r="I38" i="35" s="1"/>
  <c r="K38" i="35" s="1"/>
  <c r="I59" i="35"/>
  <c r="K59" i="35" s="1"/>
  <c r="J94" i="35"/>
  <c r="K92" i="35"/>
  <c r="T5" i="10"/>
  <c r="V11" i="10"/>
  <c r="L12" i="10"/>
  <c r="S18" i="10"/>
  <c r="T22" i="10"/>
  <c r="V28" i="10"/>
  <c r="L29" i="10"/>
  <c r="X72" i="10"/>
  <c r="U162" i="10"/>
  <c r="T163" i="10"/>
  <c r="V164" i="10"/>
  <c r="S165" i="10"/>
  <c r="U167" i="10"/>
  <c r="S168" i="10"/>
  <c r="S3" i="8"/>
  <c r="I246" i="35"/>
  <c r="K246" i="35" s="1"/>
  <c r="I194" i="35"/>
  <c r="K194" i="35" s="1"/>
  <c r="I220" i="35"/>
  <c r="K220" i="35" s="1"/>
  <c r="I228" i="35"/>
  <c r="K228" i="35" s="1"/>
  <c r="W10" i="10"/>
  <c r="W18" i="10"/>
  <c r="W27" i="10"/>
  <c r="W35" i="10"/>
  <c r="W43" i="10"/>
  <c r="W62" i="10"/>
  <c r="W78" i="10"/>
  <c r="W94" i="10"/>
  <c r="G21" i="34"/>
  <c r="I21" i="34" s="1"/>
  <c r="K21" i="34" s="1"/>
  <c r="I20" i="34"/>
  <c r="K20" i="34" s="1"/>
  <c r="G55" i="29"/>
  <c r="I55" i="29" s="1"/>
  <c r="K55" i="29" s="1"/>
  <c r="G56" i="29"/>
  <c r="I56" i="29" s="1"/>
  <c r="K56" i="29" s="1"/>
  <c r="G25" i="34"/>
  <c r="I25" i="34" s="1"/>
  <c r="K25" i="34" s="1"/>
  <c r="L27" i="34" s="1"/>
  <c r="E8" i="35"/>
  <c r="I3" i="35"/>
  <c r="E90" i="29"/>
  <c r="I90" i="29" s="1"/>
  <c r="K90" i="29" s="1"/>
  <c r="E45" i="29"/>
  <c r="I45" i="29" s="1"/>
  <c r="K45" i="29" s="1"/>
  <c r="E23" i="29"/>
  <c r="I23" i="29" s="1"/>
  <c r="K23" i="29" s="1"/>
  <c r="Z145" i="8"/>
  <c r="Z144" i="8"/>
  <c r="Z143" i="8"/>
  <c r="Z141" i="8"/>
  <c r="Z140" i="8"/>
  <c r="Z139" i="8"/>
  <c r="Z138" i="8"/>
  <c r="Z137" i="8"/>
  <c r="Z136" i="8"/>
  <c r="Z135" i="8"/>
  <c r="Z134" i="8"/>
  <c r="Z133" i="8"/>
  <c r="Z131" i="8"/>
  <c r="Z130" i="8"/>
  <c r="Z129" i="8"/>
  <c r="Z127" i="8"/>
  <c r="Z126" i="8"/>
  <c r="Z125" i="8"/>
  <c r="Z124" i="8"/>
  <c r="Z123" i="8"/>
  <c r="Z121" i="8"/>
  <c r="Z120" i="8"/>
  <c r="Z119" i="8"/>
  <c r="Z118" i="8"/>
  <c r="Z117" i="8"/>
  <c r="Z115" i="8"/>
  <c r="Z114" i="8"/>
  <c r="Z113" i="8"/>
  <c r="Z112" i="8"/>
  <c r="Z111" i="8"/>
  <c r="Z110" i="8"/>
  <c r="Z109" i="8"/>
  <c r="Z107" i="8"/>
  <c r="Z106" i="8"/>
  <c r="Z105" i="8"/>
  <c r="E68" i="29"/>
  <c r="I68" i="29" s="1"/>
  <c r="K68" i="29" s="1"/>
  <c r="Z102" i="8"/>
  <c r="Z98" i="8"/>
  <c r="Z93" i="8"/>
  <c r="Z89" i="8"/>
  <c r="Z84" i="8"/>
  <c r="Z79" i="8"/>
  <c r="Z75" i="8"/>
  <c r="Z71" i="8"/>
  <c r="Z70" i="8"/>
  <c r="Z69" i="8"/>
  <c r="Z67" i="8"/>
  <c r="Z66" i="8"/>
  <c r="Z65" i="8"/>
  <c r="Z64" i="8"/>
  <c r="Z63" i="8"/>
  <c r="Z62" i="8"/>
  <c r="Z61" i="8"/>
  <c r="Z60" i="8"/>
  <c r="Z59" i="8"/>
  <c r="Z58" i="8"/>
  <c r="Z57" i="8"/>
  <c r="Z56" i="8"/>
  <c r="Z55" i="8"/>
  <c r="Z54" i="8"/>
  <c r="Z53" i="8"/>
  <c r="Z52" i="8"/>
  <c r="Z48" i="8"/>
  <c r="Z31" i="8"/>
  <c r="Z30" i="8"/>
  <c r="Z101" i="8"/>
  <c r="Z97" i="8"/>
  <c r="Z92" i="8"/>
  <c r="Z88" i="8"/>
  <c r="Z82" i="8"/>
  <c r="Z78" i="8"/>
  <c r="Z74" i="8"/>
  <c r="Z103" i="8"/>
  <c r="Z94" i="8"/>
  <c r="Z85" i="8"/>
  <c r="Z76" i="8"/>
  <c r="W286" i="10"/>
  <c r="W282" i="10"/>
  <c r="W278" i="10"/>
  <c r="W274" i="10"/>
  <c r="W270" i="10"/>
  <c r="W266" i="10"/>
  <c r="W262" i="10"/>
  <c r="W258" i="10"/>
  <c r="W254" i="10"/>
  <c r="W250" i="10"/>
  <c r="W246" i="10"/>
  <c r="W242" i="10"/>
  <c r="Z100" i="8"/>
  <c r="Z91" i="8"/>
  <c r="Z81" i="8"/>
  <c r="Z73" i="8"/>
  <c r="Z29" i="8"/>
  <c r="Z28" i="8"/>
  <c r="Z26" i="8"/>
  <c r="Z25" i="8"/>
  <c r="Z24" i="8"/>
  <c r="Z23" i="8"/>
  <c r="Z22" i="8"/>
  <c r="Z21" i="8"/>
  <c r="Z20" i="8"/>
  <c r="Z19" i="8"/>
  <c r="Z18" i="8"/>
  <c r="Z17" i="8"/>
  <c r="Z16" i="8"/>
  <c r="Z15" i="8"/>
  <c r="Z14" i="8"/>
  <c r="Z13" i="8"/>
  <c r="Z12" i="8"/>
  <c r="Z11" i="8"/>
  <c r="Z10" i="8"/>
  <c r="Z9" i="8"/>
  <c r="Z8" i="8"/>
  <c r="Z7" i="8"/>
  <c r="Z6" i="8"/>
  <c r="Z5" i="8"/>
  <c r="Z4" i="8"/>
  <c r="Z3" i="8"/>
  <c r="W287" i="10"/>
  <c r="W283" i="10"/>
  <c r="Z104" i="8"/>
  <c r="Z87" i="8"/>
  <c r="Z50" i="8"/>
  <c r="Z45" i="8"/>
  <c r="Z33" i="8"/>
  <c r="W285" i="10"/>
  <c r="W238" i="10"/>
  <c r="W234" i="10"/>
  <c r="W230" i="10"/>
  <c r="W226" i="10"/>
  <c r="W222" i="10"/>
  <c r="W218" i="10"/>
  <c r="W214" i="10"/>
  <c r="W210" i="10"/>
  <c r="W206" i="10"/>
  <c r="W202" i="10"/>
  <c r="W198" i="10"/>
  <c r="W194" i="10"/>
  <c r="W190" i="10"/>
  <c r="W186" i="10"/>
  <c r="W182" i="10"/>
  <c r="W178" i="10"/>
  <c r="W174" i="10"/>
  <c r="W170" i="10"/>
  <c r="W166" i="10"/>
  <c r="W162" i="10"/>
  <c r="W158" i="10"/>
  <c r="W154" i="10"/>
  <c r="W150" i="10"/>
  <c r="W146" i="10"/>
  <c r="W142" i="10"/>
  <c r="W138" i="10"/>
  <c r="W134" i="10"/>
  <c r="W130" i="10"/>
  <c r="W126" i="10"/>
  <c r="W122" i="10"/>
  <c r="Z99" i="8"/>
  <c r="Z80" i="8"/>
  <c r="Z44" i="8"/>
  <c r="Z43" i="8"/>
  <c r="Z42" i="8"/>
  <c r="Z41" i="8"/>
  <c r="Z40" i="8"/>
  <c r="Z39" i="8"/>
  <c r="Z38" i="8"/>
  <c r="Z37" i="8"/>
  <c r="Z36" i="8"/>
  <c r="Z35" i="8"/>
  <c r="Z34" i="8"/>
  <c r="W284" i="10"/>
  <c r="W281" i="10"/>
  <c r="W279" i="10"/>
  <c r="W276" i="10"/>
  <c r="W273" i="10"/>
  <c r="W271" i="10"/>
  <c r="W268" i="10"/>
  <c r="W265" i="10"/>
  <c r="W263" i="10"/>
  <c r="W260" i="10"/>
  <c r="W257" i="10"/>
  <c r="W255" i="10"/>
  <c r="W252" i="10"/>
  <c r="W249" i="10"/>
  <c r="W247" i="10"/>
  <c r="W244" i="10"/>
  <c r="W241" i="10"/>
  <c r="W239" i="10"/>
  <c r="W235" i="10"/>
  <c r="W231" i="10"/>
  <c r="W227" i="10"/>
  <c r="W223" i="10"/>
  <c r="W219" i="10"/>
  <c r="W215" i="10"/>
  <c r="W211" i="10"/>
  <c r="W207" i="10"/>
  <c r="W203" i="10"/>
  <c r="W199" i="10"/>
  <c r="W195" i="10"/>
  <c r="W191" i="10"/>
  <c r="W187" i="10"/>
  <c r="Z77" i="8"/>
  <c r="Z47" i="8"/>
  <c r="W280" i="10"/>
  <c r="W267" i="10"/>
  <c r="W264" i="10"/>
  <c r="W251" i="10"/>
  <c r="W248" i="10"/>
  <c r="W236" i="10"/>
  <c r="W232" i="10"/>
  <c r="W228" i="10"/>
  <c r="W224" i="10"/>
  <c r="W220" i="10"/>
  <c r="W216" i="10"/>
  <c r="W212" i="10"/>
  <c r="W208" i="10"/>
  <c r="W204" i="10"/>
  <c r="W200" i="10"/>
  <c r="W196" i="10"/>
  <c r="W192" i="10"/>
  <c r="W188" i="10"/>
  <c r="W184" i="10"/>
  <c r="W181" i="10"/>
  <c r="W179" i="10"/>
  <c r="W176" i="10"/>
  <c r="W173" i="10"/>
  <c r="W171" i="10"/>
  <c r="W168" i="10"/>
  <c r="W165" i="10"/>
  <c r="W163" i="10"/>
  <c r="W160" i="10"/>
  <c r="W157" i="10"/>
  <c r="W155" i="10"/>
  <c r="W152" i="10"/>
  <c r="W149" i="10"/>
  <c r="W147" i="10"/>
  <c r="W144" i="10"/>
  <c r="W141" i="10"/>
  <c r="W139" i="10"/>
  <c r="W136" i="10"/>
  <c r="W133" i="10"/>
  <c r="W131" i="10"/>
  <c r="W128" i="10"/>
  <c r="W125" i="10"/>
  <c r="W123" i="10"/>
  <c r="W118" i="10"/>
  <c r="W114" i="10"/>
  <c r="Z72" i="8"/>
  <c r="W277" i="10"/>
  <c r="W261" i="10"/>
  <c r="W245" i="10"/>
  <c r="W237" i="10"/>
  <c r="W233" i="10"/>
  <c r="W229" i="10"/>
  <c r="W225" i="10"/>
  <c r="W221" i="10"/>
  <c r="W217" i="10"/>
  <c r="W213" i="10"/>
  <c r="W209" i="10"/>
  <c r="W205" i="10"/>
  <c r="W201" i="10"/>
  <c r="W197" i="10"/>
  <c r="W193" i="10"/>
  <c r="W189" i="10"/>
  <c r="W185" i="10"/>
  <c r="W117" i="10"/>
  <c r="W113" i="10"/>
  <c r="W108" i="10"/>
  <c r="W104" i="10"/>
  <c r="W100" i="10"/>
  <c r="W96" i="10"/>
  <c r="W92" i="10"/>
  <c r="W88" i="10"/>
  <c r="W84" i="10"/>
  <c r="W80" i="10"/>
  <c r="W76" i="10"/>
  <c r="W72" i="10"/>
  <c r="W68" i="10"/>
  <c r="W64" i="10"/>
  <c r="W60" i="10"/>
  <c r="W56" i="10"/>
  <c r="W52" i="10"/>
  <c r="W48" i="10"/>
  <c r="W256" i="10"/>
  <c r="W175" i="10"/>
  <c r="W172" i="10"/>
  <c r="W159" i="10"/>
  <c r="W156" i="10"/>
  <c r="W143" i="10"/>
  <c r="W140" i="10"/>
  <c r="W127" i="10"/>
  <c r="W124" i="10"/>
  <c r="W119" i="10"/>
  <c r="W115" i="10"/>
  <c r="W111" i="10"/>
  <c r="W42" i="10"/>
  <c r="W38" i="10"/>
  <c r="W34" i="10"/>
  <c r="W30" i="10"/>
  <c r="W26" i="10"/>
  <c r="W22" i="10"/>
  <c r="W17" i="10"/>
  <c r="W13" i="10"/>
  <c r="W9" i="10"/>
  <c r="W5" i="10"/>
  <c r="Z90" i="8"/>
  <c r="W259" i="10"/>
  <c r="W253" i="10"/>
  <c r="W169" i="10"/>
  <c r="W153" i="10"/>
  <c r="W137" i="10"/>
  <c r="W120" i="10"/>
  <c r="W116" i="10"/>
  <c r="W112" i="10"/>
  <c r="W109" i="10"/>
  <c r="W106" i="10"/>
  <c r="W103" i="10"/>
  <c r="W101" i="10"/>
  <c r="W98" i="10"/>
  <c r="W95" i="10"/>
  <c r="W93" i="10"/>
  <c r="W90" i="10"/>
  <c r="W87" i="10"/>
  <c r="W85" i="10"/>
  <c r="W82" i="10"/>
  <c r="W79" i="10"/>
  <c r="W77" i="10"/>
  <c r="W74" i="10"/>
  <c r="W71" i="10"/>
  <c r="W69" i="10"/>
  <c r="W66" i="10"/>
  <c r="W63" i="10"/>
  <c r="W61" i="10"/>
  <c r="W58" i="10"/>
  <c r="W55" i="10"/>
  <c r="W53" i="10"/>
  <c r="W50" i="10"/>
  <c r="W47" i="10"/>
  <c r="W45" i="10"/>
  <c r="W41" i="10"/>
  <c r="W37" i="10"/>
  <c r="W33" i="10"/>
  <c r="W29" i="10"/>
  <c r="W25" i="10"/>
  <c r="W21" i="10"/>
  <c r="W16" i="10"/>
  <c r="W12" i="10"/>
  <c r="W8" i="10"/>
  <c r="W4" i="10"/>
  <c r="E67" i="35"/>
  <c r="I67" i="35" s="1"/>
  <c r="K67" i="35" s="1"/>
  <c r="Z95" i="8"/>
  <c r="W272" i="10"/>
  <c r="W240" i="10"/>
  <c r="W183" i="10"/>
  <c r="W180" i="10"/>
  <c r="W167" i="10"/>
  <c r="W164" i="10"/>
  <c r="W151" i="10"/>
  <c r="W148" i="10"/>
  <c r="W135" i="10"/>
  <c r="W132" i="10"/>
  <c r="W44" i="10"/>
  <c r="W40" i="10"/>
  <c r="W36" i="10"/>
  <c r="W32" i="10"/>
  <c r="W28" i="10"/>
  <c r="W24" i="10"/>
  <c r="W20" i="10"/>
  <c r="W15" i="10"/>
  <c r="W11" i="10"/>
  <c r="W7" i="10"/>
  <c r="E88" i="35"/>
  <c r="I88" i="35" s="1"/>
  <c r="K88" i="35" s="1"/>
  <c r="W177" i="10"/>
  <c r="W145" i="10"/>
  <c r="W269" i="10"/>
  <c r="I46" i="35"/>
  <c r="E109" i="35"/>
  <c r="I109" i="35" s="1"/>
  <c r="K109" i="35" s="1"/>
  <c r="E230" i="35"/>
  <c r="I230" i="35" s="1"/>
  <c r="K230" i="35" s="1"/>
  <c r="I155" i="35"/>
  <c r="K155" i="35" s="1"/>
  <c r="E134" i="35"/>
  <c r="E156" i="35"/>
  <c r="I214" i="35"/>
  <c r="K214" i="35" s="1"/>
  <c r="I222" i="35"/>
  <c r="K222" i="35" s="1"/>
  <c r="W57" i="10"/>
  <c r="W65" i="10"/>
  <c r="W67" i="10"/>
  <c r="W81" i="10"/>
  <c r="W83" i="10"/>
  <c r="W97" i="10"/>
  <c r="W99" i="10"/>
  <c r="W243" i="10"/>
  <c r="E23" i="2"/>
  <c r="E27" i="2"/>
  <c r="C29" i="20"/>
  <c r="E29" i="20" s="1"/>
  <c r="E28" i="2"/>
  <c r="C32" i="20"/>
  <c r="E32" i="20" s="1"/>
  <c r="E83" i="2"/>
  <c r="G8" i="34"/>
  <c r="G16" i="34" s="1"/>
  <c r="I16" i="34" s="1"/>
  <c r="K16" i="34" s="1"/>
  <c r="L17" i="34" s="1"/>
  <c r="E11" i="34"/>
  <c r="I11" i="34" s="1"/>
  <c r="K11" i="34" s="1"/>
  <c r="L13" i="34" s="1"/>
  <c r="F155" i="35"/>
  <c r="F177" i="35" s="1"/>
  <c r="I52" i="29"/>
  <c r="K52" i="29" s="1"/>
  <c r="G26" i="20"/>
  <c r="E26" i="20"/>
  <c r="L98" i="29"/>
  <c r="O145" i="8"/>
  <c r="O144" i="8"/>
  <c r="O143" i="8"/>
  <c r="O141" i="8"/>
  <c r="O140" i="8"/>
  <c r="L103" i="29"/>
  <c r="G32" i="20"/>
  <c r="K106" i="29"/>
  <c r="L107" i="29" s="1"/>
  <c r="E304" i="9"/>
  <c r="G125" i="9" s="1"/>
  <c r="F8" i="9"/>
  <c r="G15" i="9"/>
  <c r="M22" i="9"/>
  <c r="M30" i="9"/>
  <c r="F36" i="9"/>
  <c r="M43" i="9"/>
  <c r="M47" i="9"/>
  <c r="G49" i="9"/>
  <c r="M53" i="9"/>
  <c r="M57" i="9"/>
  <c r="F61" i="9"/>
  <c r="F63" i="9"/>
  <c r="G149" i="9"/>
  <c r="M165" i="9"/>
  <c r="M204" i="9"/>
  <c r="G112" i="9"/>
  <c r="M120" i="9"/>
  <c r="G132" i="9"/>
  <c r="G144" i="9"/>
  <c r="M150" i="9"/>
  <c r="M156" i="9"/>
  <c r="F162" i="9"/>
  <c r="M166" i="9"/>
  <c r="M172" i="9"/>
  <c r="F178" i="9"/>
  <c r="G186" i="9"/>
  <c r="F267" i="9"/>
  <c r="M75" i="9"/>
  <c r="F81" i="9"/>
  <c r="G88" i="9"/>
  <c r="G96" i="9"/>
  <c r="M103" i="9"/>
  <c r="M115" i="9"/>
  <c r="M139" i="9"/>
  <c r="M200" i="9"/>
  <c r="F216" i="9"/>
  <c r="F232" i="9"/>
  <c r="G271" i="9"/>
  <c r="F279" i="9"/>
  <c r="F295" i="9"/>
  <c r="M195" i="9"/>
  <c r="M197" i="9"/>
  <c r="M201" i="9"/>
  <c r="G205" i="9"/>
  <c r="F209" i="9"/>
  <c r="F213" i="9"/>
  <c r="G215" i="9"/>
  <c r="F219" i="9"/>
  <c r="F223" i="9"/>
  <c r="M227" i="9"/>
  <c r="M229" i="9"/>
  <c r="M233" i="9"/>
  <c r="F241" i="9"/>
  <c r="G249" i="9"/>
  <c r="G257" i="9"/>
  <c r="M17" i="12"/>
  <c r="M251" i="9"/>
  <c r="M260" i="9"/>
  <c r="F264" i="9"/>
  <c r="F266" i="9"/>
  <c r="F270" i="9"/>
  <c r="G274" i="9"/>
  <c r="M278" i="9"/>
  <c r="M282" i="9"/>
  <c r="G284" i="9"/>
  <c r="M288" i="9"/>
  <c r="M292" i="9"/>
  <c r="F296" i="9"/>
  <c r="G236" i="9"/>
  <c r="G244" i="9"/>
  <c r="M248" i="9"/>
  <c r="M256" i="9"/>
  <c r="G256" i="9"/>
  <c r="G7" i="32"/>
  <c r="M16" i="12"/>
  <c r="F300" i="9"/>
  <c r="G8" i="32"/>
  <c r="G12" i="32"/>
  <c r="G14" i="32"/>
  <c r="G5" i="32"/>
  <c r="G4" i="32"/>
  <c r="G6" i="32"/>
  <c r="G9" i="32"/>
  <c r="G11" i="32"/>
  <c r="G10" i="32"/>
  <c r="G13" i="32"/>
  <c r="L22" i="34" l="1"/>
  <c r="M302" i="9"/>
  <c r="F294" i="9"/>
  <c r="F290" i="9"/>
  <c r="F288" i="9"/>
  <c r="M284" i="9"/>
  <c r="M280" i="9"/>
  <c r="G276" i="9"/>
  <c r="M274" i="9"/>
  <c r="M270" i="9"/>
  <c r="G266" i="9"/>
  <c r="F262" i="9"/>
  <c r="F258" i="9"/>
  <c r="M247" i="9"/>
  <c r="G303" i="9"/>
  <c r="F253" i="9"/>
  <c r="M245" i="9"/>
  <c r="G241" i="9"/>
  <c r="N241" i="9" s="1"/>
  <c r="G233" i="9"/>
  <c r="G229" i="9"/>
  <c r="M225" i="9"/>
  <c r="M221" i="9"/>
  <c r="M219" i="9"/>
  <c r="F215" i="9"/>
  <c r="F211" i="9"/>
  <c r="G207" i="9"/>
  <c r="F205" i="9"/>
  <c r="F201" i="9"/>
  <c r="G197" i="9"/>
  <c r="M192" i="9"/>
  <c r="G295" i="9"/>
  <c r="M279" i="9"/>
  <c r="F263" i="9"/>
  <c r="M224" i="9"/>
  <c r="G216" i="9"/>
  <c r="F200" i="9"/>
  <c r="M131" i="9"/>
  <c r="M111" i="9"/>
  <c r="F101" i="9"/>
  <c r="F93" i="9"/>
  <c r="M87" i="9"/>
  <c r="G80" i="9"/>
  <c r="F68" i="9"/>
  <c r="M267" i="9"/>
  <c r="F186" i="9"/>
  <c r="M176" i="9"/>
  <c r="M170" i="9"/>
  <c r="F166" i="9"/>
  <c r="M160" i="9"/>
  <c r="M154" i="9"/>
  <c r="F150" i="9"/>
  <c r="G140" i="9"/>
  <c r="M128" i="9"/>
  <c r="G120" i="9"/>
  <c r="G108" i="9"/>
  <c r="F204" i="9"/>
  <c r="G165" i="9"/>
  <c r="G67" i="9"/>
  <c r="G63" i="9"/>
  <c r="F59" i="9"/>
  <c r="F55" i="9"/>
  <c r="F53" i="9"/>
  <c r="M49" i="9"/>
  <c r="M45" i="9"/>
  <c r="G41" i="9"/>
  <c r="G35" i="9"/>
  <c r="G27" i="9"/>
  <c r="F20" i="9"/>
  <c r="M14" i="9"/>
  <c r="M6" i="9"/>
  <c r="M185" i="9"/>
  <c r="G39" i="9"/>
  <c r="F189" i="9"/>
  <c r="F137" i="9"/>
  <c r="G113" i="9"/>
  <c r="F169" i="9"/>
  <c r="G60" i="9"/>
  <c r="M133" i="9"/>
  <c r="M299" i="9"/>
  <c r="M40" i="9"/>
  <c r="G161" i="9"/>
  <c r="M48" i="9"/>
  <c r="M64" i="9"/>
  <c r="G252" i="9"/>
  <c r="G240" i="9"/>
  <c r="M298" i="9"/>
  <c r="M294" i="9"/>
  <c r="G290" i="9"/>
  <c r="F286" i="9"/>
  <c r="F282" i="9"/>
  <c r="F280" i="9"/>
  <c r="M276" i="9"/>
  <c r="M272" i="9"/>
  <c r="G268" i="9"/>
  <c r="M266" i="9"/>
  <c r="M262" i="9"/>
  <c r="G258" i="9"/>
  <c r="M243" i="9"/>
  <c r="M257" i="9"/>
  <c r="G253" i="9"/>
  <c r="F245" i="9"/>
  <c r="F237" i="9"/>
  <c r="G231" i="9"/>
  <c r="F229" i="9"/>
  <c r="F225" i="9"/>
  <c r="G221" i="9"/>
  <c r="M217" i="9"/>
  <c r="M213" i="9"/>
  <c r="M211" i="9"/>
  <c r="F207" i="9"/>
  <c r="F203" i="9"/>
  <c r="G199" i="9"/>
  <c r="F197" i="9"/>
  <c r="M184" i="9"/>
  <c r="F287" i="9"/>
  <c r="G279" i="9"/>
  <c r="G263" i="9"/>
  <c r="F224" i="9"/>
  <c r="M208" i="9"/>
  <c r="M147" i="9"/>
  <c r="M127" i="9"/>
  <c r="M107" i="9"/>
  <c r="M99" i="9"/>
  <c r="G92" i="9"/>
  <c r="F85" i="9"/>
  <c r="F77" i="9"/>
  <c r="F283" i="9"/>
  <c r="G267" i="9"/>
  <c r="F182" i="9"/>
  <c r="M174" i="9"/>
  <c r="F170" i="9"/>
  <c r="M164" i="9"/>
  <c r="M158" i="9"/>
  <c r="F154" i="9"/>
  <c r="M148" i="9"/>
  <c r="M136" i="9"/>
  <c r="G128" i="9"/>
  <c r="G116" i="9"/>
  <c r="M220" i="9"/>
  <c r="G204" i="9"/>
  <c r="G157" i="9"/>
  <c r="G65" i="9"/>
  <c r="M63" i="9"/>
  <c r="M59" i="9"/>
  <c r="G55" i="9"/>
  <c r="F51" i="9"/>
  <c r="F47" i="9"/>
  <c r="F45" i="9"/>
  <c r="M41" i="9"/>
  <c r="F32" i="9"/>
  <c r="M26" i="9"/>
  <c r="G19" i="9"/>
  <c r="G11" i="9"/>
  <c r="F4" i="9"/>
  <c r="F275" i="9"/>
  <c r="G185" i="9"/>
  <c r="M39" i="9"/>
  <c r="M189" i="9"/>
  <c r="M129" i="9"/>
  <c r="F113" i="9"/>
  <c r="M169" i="9"/>
  <c r="F52" i="9"/>
  <c r="G133" i="9"/>
  <c r="G291" i="9"/>
  <c r="M141" i="9"/>
  <c r="G48" i="9"/>
  <c r="M125" i="9"/>
  <c r="I8" i="34"/>
  <c r="K8" i="34" s="1"/>
  <c r="L9" i="34" s="1"/>
  <c r="W129" i="10"/>
  <c r="W275" i="10"/>
  <c r="W102" i="10"/>
  <c r="W73" i="10"/>
  <c r="W59" i="10"/>
  <c r="W54" i="10"/>
  <c r="W23" i="10"/>
  <c r="W161" i="10"/>
  <c r="W89" i="10"/>
  <c r="W75" i="10"/>
  <c r="W49" i="10"/>
  <c r="W39" i="10"/>
  <c r="W14" i="10"/>
  <c r="W105" i="10"/>
  <c r="W91" i="10"/>
  <c r="W70" i="10"/>
  <c r="W51" i="10"/>
  <c r="W31" i="10"/>
  <c r="W6" i="10"/>
  <c r="E40" i="35"/>
  <c r="I40" i="35" s="1"/>
  <c r="K40" i="35" s="1"/>
  <c r="W107" i="10"/>
  <c r="W86" i="10"/>
  <c r="W46" i="10"/>
  <c r="K22" i="35"/>
  <c r="G248" i="9"/>
  <c r="M240" i="9"/>
  <c r="M296" i="9"/>
  <c r="G292" i="9"/>
  <c r="M290" i="9"/>
  <c r="M286" i="9"/>
  <c r="G282" i="9"/>
  <c r="F278" i="9"/>
  <c r="F274" i="9"/>
  <c r="F272" i="9"/>
  <c r="M268" i="9"/>
  <c r="M264" i="9"/>
  <c r="G260" i="9"/>
  <c r="M258" i="9"/>
  <c r="M235" i="9"/>
  <c r="F257" i="9"/>
  <c r="N257" i="9" s="1"/>
  <c r="M249" i="9"/>
  <c r="M241" i="9"/>
  <c r="G237" i="9"/>
  <c r="F231" i="9"/>
  <c r="F227" i="9"/>
  <c r="G223" i="9"/>
  <c r="F221" i="9"/>
  <c r="F217" i="9"/>
  <c r="G213" i="9"/>
  <c r="M209" i="9"/>
  <c r="M205" i="9"/>
  <c r="M203" i="9"/>
  <c r="F199" i="9"/>
  <c r="F195" i="9"/>
  <c r="M180" i="9"/>
  <c r="M287" i="9"/>
  <c r="M271" i="9"/>
  <c r="M232" i="9"/>
  <c r="G224" i="9"/>
  <c r="G208" i="9"/>
  <c r="M143" i="9"/>
  <c r="M123" i="9"/>
  <c r="G104" i="9"/>
  <c r="F97" i="9"/>
  <c r="M91" i="9"/>
  <c r="M83" i="9"/>
  <c r="G76" i="9"/>
  <c r="M283" i="9"/>
  <c r="F190" i="9"/>
  <c r="G178" i="9"/>
  <c r="F174" i="9"/>
  <c r="M168" i="9"/>
  <c r="M162" i="9"/>
  <c r="F158" i="9"/>
  <c r="M152" i="9"/>
  <c r="M144" i="9"/>
  <c r="G136" i="9"/>
  <c r="G124" i="9"/>
  <c r="M112" i="9"/>
  <c r="F220" i="9"/>
  <c r="G173" i="9"/>
  <c r="M149" i="9"/>
  <c r="M65" i="9"/>
  <c r="M61" i="9"/>
  <c r="G57" i="9"/>
  <c r="M55" i="9"/>
  <c r="M51" i="9"/>
  <c r="G47" i="9"/>
  <c r="F43" i="9"/>
  <c r="M38" i="9"/>
  <c r="G31" i="9"/>
  <c r="F24" i="9"/>
  <c r="F16" i="9"/>
  <c r="M10" i="9"/>
  <c r="G3" i="9"/>
  <c r="F193" i="9"/>
  <c r="G70" i="9"/>
  <c r="G228" i="9"/>
  <c r="G145" i="9"/>
  <c r="M121" i="9"/>
  <c r="M153" i="9"/>
  <c r="F44" i="9"/>
  <c r="G181" i="9"/>
  <c r="G117" i="9"/>
  <c r="F56" i="9"/>
  <c r="F212" i="9"/>
  <c r="M109" i="9"/>
  <c r="M69" i="9"/>
  <c r="M193" i="9"/>
  <c r="M70" i="9"/>
  <c r="M196" i="9"/>
  <c r="F145" i="9"/>
  <c r="G121" i="9"/>
  <c r="F259" i="9"/>
  <c r="G153" i="9"/>
  <c r="M44" i="9"/>
  <c r="F177" i="9"/>
  <c r="F117" i="9"/>
  <c r="G299" i="9"/>
  <c r="F40" i="9"/>
  <c r="N40" i="9" s="1"/>
  <c r="G212" i="9"/>
  <c r="G109" i="9"/>
  <c r="F64" i="9"/>
  <c r="I154" i="35"/>
  <c r="K154" i="35" s="1"/>
  <c r="E229" i="35"/>
  <c r="I229" i="35" s="1"/>
  <c r="K229" i="35" s="1"/>
  <c r="E31" i="35"/>
  <c r="I31" i="35" s="1"/>
  <c r="E36" i="29"/>
  <c r="I36" i="29" s="1"/>
  <c r="K36" i="29" s="1"/>
  <c r="E14" i="29"/>
  <c r="I14" i="29" s="1"/>
  <c r="K14" i="29" s="1"/>
  <c r="E81" i="29"/>
  <c r="I81" i="29" s="1"/>
  <c r="K81" i="29" s="1"/>
  <c r="N145" i="8"/>
  <c r="N144" i="8"/>
  <c r="N143" i="8"/>
  <c r="N141" i="8"/>
  <c r="N140" i="8"/>
  <c r="N139" i="8"/>
  <c r="N138" i="8"/>
  <c r="N137" i="8"/>
  <c r="N136" i="8"/>
  <c r="N135" i="8"/>
  <c r="N134" i="8"/>
  <c r="N133" i="8"/>
  <c r="N131" i="8"/>
  <c r="N130" i="8"/>
  <c r="N129" i="8"/>
  <c r="N127" i="8"/>
  <c r="N126" i="8"/>
  <c r="N125" i="8"/>
  <c r="N124" i="8"/>
  <c r="N123" i="8"/>
  <c r="N121" i="8"/>
  <c r="N120" i="8"/>
  <c r="N119" i="8"/>
  <c r="N118" i="8"/>
  <c r="N117" i="8"/>
  <c r="N115" i="8"/>
  <c r="N114" i="8"/>
  <c r="N113" i="8"/>
  <c r="N112" i="8"/>
  <c r="N111" i="8"/>
  <c r="N110" i="8"/>
  <c r="N109" i="8"/>
  <c r="N107" i="8"/>
  <c r="N106" i="8"/>
  <c r="N105" i="8"/>
  <c r="N103" i="8"/>
  <c r="N99" i="8"/>
  <c r="N94" i="8"/>
  <c r="N90" i="8"/>
  <c r="N85" i="8"/>
  <c r="N80" i="8"/>
  <c r="N76" i="8"/>
  <c r="N47" i="8"/>
  <c r="N31" i="8"/>
  <c r="N102" i="8"/>
  <c r="N98" i="8"/>
  <c r="N93" i="8"/>
  <c r="N89" i="8"/>
  <c r="N84" i="8"/>
  <c r="N79" i="8"/>
  <c r="N75" i="8"/>
  <c r="N100" i="8"/>
  <c r="N91" i="8"/>
  <c r="N81" i="8"/>
  <c r="N73" i="8"/>
  <c r="N72" i="8"/>
  <c r="N67" i="8"/>
  <c r="N63" i="8"/>
  <c r="N59" i="8"/>
  <c r="N55" i="8"/>
  <c r="N45" i="8"/>
  <c r="N286" i="10"/>
  <c r="N282" i="10"/>
  <c r="N278" i="10"/>
  <c r="N274" i="10"/>
  <c r="N270" i="10"/>
  <c r="N266" i="10"/>
  <c r="N262" i="10"/>
  <c r="N258" i="10"/>
  <c r="N254" i="10"/>
  <c r="N250" i="10"/>
  <c r="N246" i="10"/>
  <c r="N242" i="10"/>
  <c r="N97" i="8"/>
  <c r="N88" i="8"/>
  <c r="N78" i="8"/>
  <c r="N69" i="8"/>
  <c r="N64" i="8"/>
  <c r="N60" i="8"/>
  <c r="N56" i="8"/>
  <c r="N52" i="8"/>
  <c r="N44" i="8"/>
  <c r="N43" i="8"/>
  <c r="N42" i="8"/>
  <c r="N41" i="8"/>
  <c r="N40" i="8"/>
  <c r="N39" i="8"/>
  <c r="N38" i="8"/>
  <c r="N37" i="8"/>
  <c r="N36" i="8"/>
  <c r="N35" i="8"/>
  <c r="N34" i="8"/>
  <c r="N33" i="8"/>
  <c r="N30" i="8"/>
  <c r="N29" i="8"/>
  <c r="N28" i="8"/>
  <c r="N26" i="8"/>
  <c r="N25" i="8"/>
  <c r="N24" i="8"/>
  <c r="N23" i="8"/>
  <c r="N22" i="8"/>
  <c r="N21" i="8"/>
  <c r="N20" i="8"/>
  <c r="N19" i="8"/>
  <c r="N18" i="8"/>
  <c r="N17" i="8"/>
  <c r="N16" i="8"/>
  <c r="N15" i="8"/>
  <c r="N14" i="8"/>
  <c r="N13" i="8"/>
  <c r="N12" i="8"/>
  <c r="N11" i="8"/>
  <c r="N10" i="8"/>
  <c r="N9" i="8"/>
  <c r="N8" i="8"/>
  <c r="N7" i="8"/>
  <c r="N6" i="8"/>
  <c r="N5" i="8"/>
  <c r="N4" i="8"/>
  <c r="N3" i="8"/>
  <c r="N287" i="10"/>
  <c r="N283" i="10"/>
  <c r="E59" i="29"/>
  <c r="I59" i="29" s="1"/>
  <c r="K59" i="29" s="1"/>
  <c r="N104" i="8"/>
  <c r="N87" i="8"/>
  <c r="N285" i="10"/>
  <c r="N238" i="10"/>
  <c r="N234" i="10"/>
  <c r="N230" i="10"/>
  <c r="N226" i="10"/>
  <c r="N222" i="10"/>
  <c r="N218" i="10"/>
  <c r="N214" i="10"/>
  <c r="N210" i="10"/>
  <c r="N206" i="10"/>
  <c r="N202" i="10"/>
  <c r="N198" i="10"/>
  <c r="N194" i="10"/>
  <c r="N190" i="10"/>
  <c r="N186" i="10"/>
  <c r="N182" i="10"/>
  <c r="N178" i="10"/>
  <c r="N174" i="10"/>
  <c r="N170" i="10"/>
  <c r="N166" i="10"/>
  <c r="N162" i="10"/>
  <c r="N158" i="10"/>
  <c r="N154" i="10"/>
  <c r="N150" i="10"/>
  <c r="N146" i="10"/>
  <c r="N142" i="10"/>
  <c r="N138" i="10"/>
  <c r="N134" i="10"/>
  <c r="N130" i="10"/>
  <c r="N126" i="10"/>
  <c r="N122" i="10"/>
  <c r="N92" i="8"/>
  <c r="N74" i="8"/>
  <c r="N71" i="8"/>
  <c r="N62" i="8"/>
  <c r="N61" i="8"/>
  <c r="N54" i="8"/>
  <c r="N53" i="8"/>
  <c r="N284" i="10"/>
  <c r="N280" i="10"/>
  <c r="N277" i="10"/>
  <c r="N275" i="10"/>
  <c r="N272" i="10"/>
  <c r="N269" i="10"/>
  <c r="N267" i="10"/>
  <c r="N264" i="10"/>
  <c r="N261" i="10"/>
  <c r="N259" i="10"/>
  <c r="N256" i="10"/>
  <c r="N253" i="10"/>
  <c r="N251" i="10"/>
  <c r="N248" i="10"/>
  <c r="N245" i="10"/>
  <c r="N243" i="10"/>
  <c r="N240" i="10"/>
  <c r="N235" i="10"/>
  <c r="N231" i="10"/>
  <c r="N227" i="10"/>
  <c r="N223" i="10"/>
  <c r="N219" i="10"/>
  <c r="N215" i="10"/>
  <c r="N211" i="10"/>
  <c r="N207" i="10"/>
  <c r="N203" i="10"/>
  <c r="N199" i="10"/>
  <c r="N195" i="10"/>
  <c r="N191" i="10"/>
  <c r="N187" i="10"/>
  <c r="N66" i="8"/>
  <c r="N57" i="8"/>
  <c r="N276" i="10"/>
  <c r="N273" i="10"/>
  <c r="N260" i="10"/>
  <c r="N257" i="10"/>
  <c r="N244" i="10"/>
  <c r="N241" i="10"/>
  <c r="N236" i="10"/>
  <c r="N232" i="10"/>
  <c r="N228" i="10"/>
  <c r="N224" i="10"/>
  <c r="N220" i="10"/>
  <c r="N216" i="10"/>
  <c r="N212" i="10"/>
  <c r="N208" i="10"/>
  <c r="N204" i="10"/>
  <c r="N200" i="10"/>
  <c r="N196" i="10"/>
  <c r="N192" i="10"/>
  <c r="N188" i="10"/>
  <c r="N183" i="10"/>
  <c r="N180" i="10"/>
  <c r="N177" i="10"/>
  <c r="N175" i="10"/>
  <c r="N172" i="10"/>
  <c r="N169" i="10"/>
  <c r="N167" i="10"/>
  <c r="N164" i="10"/>
  <c r="N161" i="10"/>
  <c r="N159" i="10"/>
  <c r="N156" i="10"/>
  <c r="N153" i="10"/>
  <c r="N151" i="10"/>
  <c r="N148" i="10"/>
  <c r="N145" i="10"/>
  <c r="N143" i="10"/>
  <c r="N140" i="10"/>
  <c r="N137" i="10"/>
  <c r="N135" i="10"/>
  <c r="N132" i="10"/>
  <c r="N129" i="10"/>
  <c r="N127" i="10"/>
  <c r="N124" i="10"/>
  <c r="N118" i="10"/>
  <c r="N114" i="10"/>
  <c r="N101" i="8"/>
  <c r="N95" i="8"/>
  <c r="N70" i="8"/>
  <c r="N271" i="10"/>
  <c r="N255" i="10"/>
  <c r="N239" i="10"/>
  <c r="N237" i="10"/>
  <c r="N233" i="10"/>
  <c r="N229" i="10"/>
  <c r="N225" i="10"/>
  <c r="N221" i="10"/>
  <c r="N217" i="10"/>
  <c r="N213" i="10"/>
  <c r="N209" i="10"/>
  <c r="N205" i="10"/>
  <c r="N201" i="10"/>
  <c r="N197" i="10"/>
  <c r="N193" i="10"/>
  <c r="N189" i="10"/>
  <c r="N185" i="10"/>
  <c r="N117" i="10"/>
  <c r="N113" i="10"/>
  <c r="N108" i="10"/>
  <c r="N104" i="10"/>
  <c r="N100" i="10"/>
  <c r="N96" i="10"/>
  <c r="N92" i="10"/>
  <c r="N88" i="10"/>
  <c r="N84" i="10"/>
  <c r="N80" i="10"/>
  <c r="N76" i="10"/>
  <c r="N72" i="10"/>
  <c r="N68" i="10"/>
  <c r="N64" i="10"/>
  <c r="N60" i="10"/>
  <c r="N56" i="10"/>
  <c r="N52" i="10"/>
  <c r="N48" i="10"/>
  <c r="N82" i="8"/>
  <c r="N265" i="10"/>
  <c r="N252" i="10"/>
  <c r="N184" i="10"/>
  <c r="N181" i="10"/>
  <c r="N168" i="10"/>
  <c r="N165" i="10"/>
  <c r="N152" i="10"/>
  <c r="N149" i="10"/>
  <c r="N136" i="10"/>
  <c r="N133" i="10"/>
  <c r="N119" i="10"/>
  <c r="N115" i="10"/>
  <c r="N42" i="10"/>
  <c r="N38" i="10"/>
  <c r="N34" i="10"/>
  <c r="N30" i="10"/>
  <c r="N26" i="10"/>
  <c r="N22" i="10"/>
  <c r="N17" i="10"/>
  <c r="N13" i="10"/>
  <c r="N9" i="10"/>
  <c r="N5" i="10"/>
  <c r="N77" i="8"/>
  <c r="N263" i="10"/>
  <c r="N179" i="10"/>
  <c r="N163" i="10"/>
  <c r="N147" i="10"/>
  <c r="N131" i="10"/>
  <c r="N120" i="10"/>
  <c r="N116" i="10"/>
  <c r="N112" i="10"/>
  <c r="N111" i="10"/>
  <c r="N107" i="10"/>
  <c r="N105" i="10"/>
  <c r="N102" i="10"/>
  <c r="N99" i="10"/>
  <c r="N97" i="10"/>
  <c r="N94" i="10"/>
  <c r="N91" i="10"/>
  <c r="N89" i="10"/>
  <c r="N86" i="10"/>
  <c r="N83" i="10"/>
  <c r="N81" i="10"/>
  <c r="N78" i="10"/>
  <c r="N75" i="10"/>
  <c r="N73" i="10"/>
  <c r="N70" i="10"/>
  <c r="N67" i="10"/>
  <c r="N65" i="10"/>
  <c r="N62" i="10"/>
  <c r="N59" i="10"/>
  <c r="N57" i="10"/>
  <c r="N54" i="10"/>
  <c r="N51" i="10"/>
  <c r="N49" i="10"/>
  <c r="N46" i="10"/>
  <c r="N41" i="10"/>
  <c r="N37" i="10"/>
  <c r="N33" i="10"/>
  <c r="N29" i="10"/>
  <c r="N25" i="10"/>
  <c r="N21" i="10"/>
  <c r="N16" i="10"/>
  <c r="N12" i="10"/>
  <c r="N8" i="10"/>
  <c r="N4" i="10"/>
  <c r="N58" i="8"/>
  <c r="N50" i="8"/>
  <c r="N48" i="8"/>
  <c r="N281" i="10"/>
  <c r="N268" i="10"/>
  <c r="N249" i="10"/>
  <c r="N176" i="10"/>
  <c r="N173" i="10"/>
  <c r="N160" i="10"/>
  <c r="N157" i="10"/>
  <c r="N144" i="10"/>
  <c r="N141" i="10"/>
  <c r="N128" i="10"/>
  <c r="N125" i="10"/>
  <c r="N44" i="10"/>
  <c r="N40" i="10"/>
  <c r="N36" i="10"/>
  <c r="N32" i="10"/>
  <c r="N28" i="10"/>
  <c r="N24" i="10"/>
  <c r="N20" i="10"/>
  <c r="N15" i="10"/>
  <c r="N11" i="10"/>
  <c r="N7" i="10"/>
  <c r="E100" i="35"/>
  <c r="I100" i="35" s="1"/>
  <c r="K100" i="35" s="1"/>
  <c r="N171" i="10"/>
  <c r="N139" i="10"/>
  <c r="N109" i="10"/>
  <c r="N106" i="10"/>
  <c r="N101" i="10"/>
  <c r="N98" i="10"/>
  <c r="N93" i="10"/>
  <c r="N90" i="10"/>
  <c r="N85" i="10"/>
  <c r="N82" i="10"/>
  <c r="N77" i="10"/>
  <c r="N74" i="10"/>
  <c r="N69" i="10"/>
  <c r="N66" i="10"/>
  <c r="N61" i="10"/>
  <c r="N65" i="8"/>
  <c r="N247" i="10"/>
  <c r="N58" i="10"/>
  <c r="E52" i="35"/>
  <c r="I52" i="35" s="1"/>
  <c r="K52" i="35" s="1"/>
  <c r="K11" i="35"/>
  <c r="N45" i="10"/>
  <c r="N123" i="10"/>
  <c r="N95" i="10"/>
  <c r="N79" i="10"/>
  <c r="N63" i="10"/>
  <c r="N53" i="10"/>
  <c r="N39" i="10"/>
  <c r="N31" i="10"/>
  <c r="N23" i="10"/>
  <c r="N14" i="10"/>
  <c r="N6" i="10"/>
  <c r="N279" i="10"/>
  <c r="N71" i="10"/>
  <c r="N55" i="10"/>
  <c r="E79" i="35"/>
  <c r="I79" i="35" s="1"/>
  <c r="K79" i="35" s="1"/>
  <c r="N103" i="10"/>
  <c r="N47" i="10"/>
  <c r="N43" i="10"/>
  <c r="N35" i="10"/>
  <c r="N155" i="10"/>
  <c r="N50" i="10"/>
  <c r="N27" i="10"/>
  <c r="N10" i="10"/>
  <c r="N87" i="10"/>
  <c r="N18" i="10"/>
  <c r="N229" i="9"/>
  <c r="N221" i="9"/>
  <c r="N213" i="9"/>
  <c r="N205" i="9"/>
  <c r="N197" i="9"/>
  <c r="E33" i="35"/>
  <c r="I33" i="35" s="1"/>
  <c r="E83" i="29"/>
  <c r="I83" i="29" s="1"/>
  <c r="K83" i="29" s="1"/>
  <c r="U145" i="8"/>
  <c r="U143" i="8"/>
  <c r="U140" i="8"/>
  <c r="U139" i="8"/>
  <c r="U135" i="8"/>
  <c r="U130" i="8"/>
  <c r="U125" i="8"/>
  <c r="U120" i="8"/>
  <c r="U115" i="8"/>
  <c r="U111" i="8"/>
  <c r="U106" i="8"/>
  <c r="U104" i="8"/>
  <c r="U103" i="8"/>
  <c r="U102" i="8"/>
  <c r="U101" i="8"/>
  <c r="U100" i="8"/>
  <c r="U99" i="8"/>
  <c r="U98" i="8"/>
  <c r="U97" i="8"/>
  <c r="U95" i="8"/>
  <c r="U94" i="8"/>
  <c r="U93" i="8"/>
  <c r="U92" i="8"/>
  <c r="U91" i="8"/>
  <c r="U90" i="8"/>
  <c r="U89" i="8"/>
  <c r="U88" i="8"/>
  <c r="U87" i="8"/>
  <c r="U85" i="8"/>
  <c r="U84" i="8"/>
  <c r="U82" i="8"/>
  <c r="U81" i="8"/>
  <c r="U80" i="8"/>
  <c r="U79" i="8"/>
  <c r="U78" i="8"/>
  <c r="U77" i="8"/>
  <c r="U76" i="8"/>
  <c r="U75" i="8"/>
  <c r="U74" i="8"/>
  <c r="U73" i="8"/>
  <c r="E61" i="29"/>
  <c r="I61" i="29" s="1"/>
  <c r="K61" i="29" s="1"/>
  <c r="U136" i="8"/>
  <c r="U131" i="8"/>
  <c r="U126" i="8"/>
  <c r="U121" i="8"/>
  <c r="U117" i="8"/>
  <c r="U112" i="8"/>
  <c r="U107" i="8"/>
  <c r="U50" i="8"/>
  <c r="U48" i="8"/>
  <c r="U47" i="8"/>
  <c r="U45" i="8"/>
  <c r="U144" i="8"/>
  <c r="U72" i="8"/>
  <c r="U71" i="8"/>
  <c r="U70" i="8"/>
  <c r="U69" i="8"/>
  <c r="U67" i="8"/>
  <c r="U66" i="8"/>
  <c r="U65" i="8"/>
  <c r="U64" i="8"/>
  <c r="U63" i="8"/>
  <c r="U62" i="8"/>
  <c r="U61" i="8"/>
  <c r="U60" i="8"/>
  <c r="U59" i="8"/>
  <c r="U58" i="8"/>
  <c r="U57" i="8"/>
  <c r="U56" i="8"/>
  <c r="U55" i="8"/>
  <c r="U54" i="8"/>
  <c r="U53" i="8"/>
  <c r="U52" i="8"/>
  <c r="U33" i="8"/>
  <c r="E38" i="29"/>
  <c r="I38" i="29" s="1"/>
  <c r="K38" i="29" s="1"/>
  <c r="E16" i="29"/>
  <c r="I16" i="29" s="1"/>
  <c r="K16" i="29" s="1"/>
  <c r="U141" i="8"/>
  <c r="U134" i="8"/>
  <c r="U133" i="8"/>
  <c r="U124" i="8"/>
  <c r="U123" i="8"/>
  <c r="U114" i="8"/>
  <c r="U113" i="8"/>
  <c r="U105" i="8"/>
  <c r="U30" i="8"/>
  <c r="U29" i="8"/>
  <c r="U28" i="8"/>
  <c r="U26" i="8"/>
  <c r="U25" i="8"/>
  <c r="U24" i="8"/>
  <c r="U23" i="8"/>
  <c r="U22" i="8"/>
  <c r="U21" i="8"/>
  <c r="U20" i="8"/>
  <c r="U19" i="8"/>
  <c r="U18" i="8"/>
  <c r="U17" i="8"/>
  <c r="U16" i="8"/>
  <c r="U15" i="8"/>
  <c r="U14" i="8"/>
  <c r="U13" i="8"/>
  <c r="U12" i="8"/>
  <c r="U11" i="8"/>
  <c r="U10" i="8"/>
  <c r="U9" i="8"/>
  <c r="U8" i="8"/>
  <c r="U7" i="8"/>
  <c r="U6" i="8"/>
  <c r="U5" i="8"/>
  <c r="U4" i="8"/>
  <c r="U3" i="8"/>
  <c r="P284" i="10"/>
  <c r="P280" i="10"/>
  <c r="P276" i="10"/>
  <c r="P272" i="10"/>
  <c r="P268" i="10"/>
  <c r="P264" i="10"/>
  <c r="P260" i="10"/>
  <c r="P256" i="10"/>
  <c r="P252" i="10"/>
  <c r="P248" i="10"/>
  <c r="P244" i="10"/>
  <c r="P240" i="10"/>
  <c r="U138" i="8"/>
  <c r="U127" i="8"/>
  <c r="U119" i="8"/>
  <c r="U109" i="8"/>
  <c r="P285" i="10"/>
  <c r="U118" i="8"/>
  <c r="P281" i="10"/>
  <c r="P278" i="10"/>
  <c r="P273" i="10"/>
  <c r="P270" i="10"/>
  <c r="P265" i="10"/>
  <c r="P262" i="10"/>
  <c r="P257" i="10"/>
  <c r="P254" i="10"/>
  <c r="P249" i="10"/>
  <c r="P246" i="10"/>
  <c r="P241" i="10"/>
  <c r="P236" i="10"/>
  <c r="P232" i="10"/>
  <c r="P228" i="10"/>
  <c r="P224" i="10"/>
  <c r="P220" i="10"/>
  <c r="P216" i="10"/>
  <c r="P212" i="10"/>
  <c r="P208" i="10"/>
  <c r="P204" i="10"/>
  <c r="P200" i="10"/>
  <c r="P196" i="10"/>
  <c r="P192" i="10"/>
  <c r="P188" i="10"/>
  <c r="P184" i="10"/>
  <c r="P180" i="10"/>
  <c r="P176" i="10"/>
  <c r="P172" i="10"/>
  <c r="P168" i="10"/>
  <c r="P164" i="10"/>
  <c r="P160" i="10"/>
  <c r="P156" i="10"/>
  <c r="P152" i="10"/>
  <c r="P148" i="10"/>
  <c r="P144" i="10"/>
  <c r="P140" i="10"/>
  <c r="P136" i="10"/>
  <c r="P132" i="10"/>
  <c r="P128" i="10"/>
  <c r="P124" i="10"/>
  <c r="U129" i="8"/>
  <c r="P287" i="10"/>
  <c r="P283" i="10"/>
  <c r="P279" i="10"/>
  <c r="P271" i="10"/>
  <c r="P263" i="10"/>
  <c r="P255" i="10"/>
  <c r="P247" i="10"/>
  <c r="P239" i="10"/>
  <c r="P237" i="10"/>
  <c r="P233" i="10"/>
  <c r="P229" i="10"/>
  <c r="P225" i="10"/>
  <c r="P221" i="10"/>
  <c r="P217" i="10"/>
  <c r="P213" i="10"/>
  <c r="P209" i="10"/>
  <c r="P205" i="10"/>
  <c r="P201" i="10"/>
  <c r="P197" i="10"/>
  <c r="P193" i="10"/>
  <c r="P189" i="10"/>
  <c r="P185" i="10"/>
  <c r="P277" i="10"/>
  <c r="P275" i="10"/>
  <c r="P274" i="10"/>
  <c r="P261" i="10"/>
  <c r="P259" i="10"/>
  <c r="P258" i="10"/>
  <c r="P245" i="10"/>
  <c r="P243" i="10"/>
  <c r="P242" i="10"/>
  <c r="P235" i="10"/>
  <c r="P231" i="10"/>
  <c r="P227" i="10"/>
  <c r="P223" i="10"/>
  <c r="P219" i="10"/>
  <c r="P215" i="10"/>
  <c r="P211" i="10"/>
  <c r="P207" i="10"/>
  <c r="P203" i="10"/>
  <c r="P199" i="10"/>
  <c r="P195" i="10"/>
  <c r="P191" i="10"/>
  <c r="P187" i="10"/>
  <c r="P179" i="10"/>
  <c r="P171" i="10"/>
  <c r="P163" i="10"/>
  <c r="P155" i="10"/>
  <c r="P147" i="10"/>
  <c r="P139" i="10"/>
  <c r="P131" i="10"/>
  <c r="P123" i="10"/>
  <c r="P120" i="10"/>
  <c r="P116" i="10"/>
  <c r="P112" i="10"/>
  <c r="U43" i="8"/>
  <c r="U41" i="8"/>
  <c r="U39" i="8"/>
  <c r="U37" i="8"/>
  <c r="U35" i="8"/>
  <c r="P181" i="10"/>
  <c r="P178" i="10"/>
  <c r="P173" i="10"/>
  <c r="P170" i="10"/>
  <c r="P165" i="10"/>
  <c r="P162" i="10"/>
  <c r="P157" i="10"/>
  <c r="P154" i="10"/>
  <c r="P149" i="10"/>
  <c r="P146" i="10"/>
  <c r="P141" i="10"/>
  <c r="P138" i="10"/>
  <c r="P133" i="10"/>
  <c r="P130" i="10"/>
  <c r="P125" i="10"/>
  <c r="P122" i="10"/>
  <c r="P119" i="10"/>
  <c r="P115" i="10"/>
  <c r="P111" i="10"/>
  <c r="P106" i="10"/>
  <c r="P102" i="10"/>
  <c r="P98" i="10"/>
  <c r="P94" i="10"/>
  <c r="P90" i="10"/>
  <c r="P86" i="10"/>
  <c r="P82" i="10"/>
  <c r="P78" i="10"/>
  <c r="P74" i="10"/>
  <c r="P70" i="10"/>
  <c r="P66" i="10"/>
  <c r="P62" i="10"/>
  <c r="P58" i="10"/>
  <c r="P54" i="10"/>
  <c r="P50" i="10"/>
  <c r="P46" i="10"/>
  <c r="U137" i="8"/>
  <c r="P286" i="10"/>
  <c r="P282" i="10"/>
  <c r="P269" i="10"/>
  <c r="P267" i="10"/>
  <c r="P250" i="10"/>
  <c r="P183" i="10"/>
  <c r="P182" i="10"/>
  <c r="P169" i="10"/>
  <c r="P167" i="10"/>
  <c r="P166" i="10"/>
  <c r="P153" i="10"/>
  <c r="P151" i="10"/>
  <c r="P150" i="10"/>
  <c r="P137" i="10"/>
  <c r="P135" i="10"/>
  <c r="P134" i="10"/>
  <c r="P118" i="10"/>
  <c r="P114" i="10"/>
  <c r="P107" i="10"/>
  <c r="P104" i="10"/>
  <c r="P99" i="10"/>
  <c r="P96" i="10"/>
  <c r="P91" i="10"/>
  <c r="P88" i="10"/>
  <c r="P83" i="10"/>
  <c r="P80" i="10"/>
  <c r="P75" i="10"/>
  <c r="P72" i="10"/>
  <c r="P67" i="10"/>
  <c r="P64" i="10"/>
  <c r="P59" i="10"/>
  <c r="P56" i="10"/>
  <c r="P51" i="10"/>
  <c r="P48" i="10"/>
  <c r="P44" i="10"/>
  <c r="P40" i="10"/>
  <c r="P36" i="10"/>
  <c r="P32" i="10"/>
  <c r="P28" i="10"/>
  <c r="P24" i="10"/>
  <c r="P20" i="10"/>
  <c r="P15" i="10"/>
  <c r="P11" i="10"/>
  <c r="P7" i="10"/>
  <c r="U110" i="8"/>
  <c r="P234" i="10"/>
  <c r="P226" i="10"/>
  <c r="P218" i="10"/>
  <c r="P210" i="10"/>
  <c r="P202" i="10"/>
  <c r="P194" i="10"/>
  <c r="P186" i="10"/>
  <c r="P109" i="10"/>
  <c r="P101" i="10"/>
  <c r="P93" i="10"/>
  <c r="P85" i="10"/>
  <c r="P77" i="10"/>
  <c r="P69" i="10"/>
  <c r="P61" i="10"/>
  <c r="P53" i="10"/>
  <c r="P45" i="10"/>
  <c r="P43" i="10"/>
  <c r="P39" i="10"/>
  <c r="P35" i="10"/>
  <c r="P31" i="10"/>
  <c r="P27" i="10"/>
  <c r="P23" i="10"/>
  <c r="P18" i="10"/>
  <c r="P14" i="10"/>
  <c r="P10" i="10"/>
  <c r="P6" i="10"/>
  <c r="K15" i="35"/>
  <c r="U44" i="8"/>
  <c r="U42" i="8"/>
  <c r="U40" i="8"/>
  <c r="U38" i="8"/>
  <c r="U36" i="8"/>
  <c r="U34" i="8"/>
  <c r="P266" i="10"/>
  <c r="P253" i="10"/>
  <c r="P251" i="10"/>
  <c r="P177" i="10"/>
  <c r="P175" i="10"/>
  <c r="P174" i="10"/>
  <c r="P161" i="10"/>
  <c r="P159" i="10"/>
  <c r="P158" i="10"/>
  <c r="P145" i="10"/>
  <c r="P143" i="10"/>
  <c r="P142" i="10"/>
  <c r="P129" i="10"/>
  <c r="P127" i="10"/>
  <c r="P126" i="10"/>
  <c r="P117" i="10"/>
  <c r="P113" i="10"/>
  <c r="P108" i="10"/>
  <c r="P103" i="10"/>
  <c r="P100" i="10"/>
  <c r="P95" i="10"/>
  <c r="P92" i="10"/>
  <c r="P87" i="10"/>
  <c r="P84" i="10"/>
  <c r="P79" i="10"/>
  <c r="P76" i="10"/>
  <c r="P71" i="10"/>
  <c r="P68" i="10"/>
  <c r="P63" i="10"/>
  <c r="P60" i="10"/>
  <c r="P55" i="10"/>
  <c r="P52" i="10"/>
  <c r="P47" i="10"/>
  <c r="P42" i="10"/>
  <c r="P38" i="10"/>
  <c r="P34" i="10"/>
  <c r="P30" i="10"/>
  <c r="P26" i="10"/>
  <c r="P22" i="10"/>
  <c r="P17" i="10"/>
  <c r="P13" i="10"/>
  <c r="P9" i="10"/>
  <c r="P5" i="10"/>
  <c r="P214" i="10"/>
  <c r="U31" i="8"/>
  <c r="P238" i="10"/>
  <c r="P206" i="10"/>
  <c r="P49" i="10"/>
  <c r="E55" i="35"/>
  <c r="I55" i="35" s="1"/>
  <c r="K55" i="35" s="1"/>
  <c r="P198" i="10"/>
  <c r="P190" i="10"/>
  <c r="P97" i="10"/>
  <c r="P81" i="10"/>
  <c r="P65" i="10"/>
  <c r="P57" i="10"/>
  <c r="P37" i="10"/>
  <c r="P29" i="10"/>
  <c r="P21" i="10"/>
  <c r="P12" i="10"/>
  <c r="P4" i="10"/>
  <c r="P73" i="10"/>
  <c r="P25" i="10"/>
  <c r="P8" i="10"/>
  <c r="E102" i="35"/>
  <c r="I102" i="35" s="1"/>
  <c r="K102" i="35" s="1"/>
  <c r="P105" i="10"/>
  <c r="P16" i="10"/>
  <c r="P230" i="10"/>
  <c r="P222" i="10"/>
  <c r="P33" i="10"/>
  <c r="P89" i="10"/>
  <c r="E81" i="35"/>
  <c r="I81" i="35" s="1"/>
  <c r="K81" i="35" s="1"/>
  <c r="P41" i="10"/>
  <c r="E54" i="35"/>
  <c r="I54" i="35" s="1"/>
  <c r="K54" i="35" s="1"/>
  <c r="E32" i="35"/>
  <c r="I32" i="35" s="1"/>
  <c r="J14" i="35"/>
  <c r="K12" i="35"/>
  <c r="E84" i="29"/>
  <c r="I84" i="29" s="1"/>
  <c r="K84" i="29" s="1"/>
  <c r="V145" i="8"/>
  <c r="V144" i="8"/>
  <c r="V143" i="8"/>
  <c r="V141" i="8"/>
  <c r="V140" i="8"/>
  <c r="V139" i="8"/>
  <c r="V138" i="8"/>
  <c r="V137" i="8"/>
  <c r="V136" i="8"/>
  <c r="V135" i="8"/>
  <c r="V134" i="8"/>
  <c r="V133" i="8"/>
  <c r="V131" i="8"/>
  <c r="V130" i="8"/>
  <c r="V129" i="8"/>
  <c r="V127" i="8"/>
  <c r="V126" i="8"/>
  <c r="V125" i="8"/>
  <c r="V124" i="8"/>
  <c r="V123" i="8"/>
  <c r="V121" i="8"/>
  <c r="V120" i="8"/>
  <c r="V119" i="8"/>
  <c r="V118" i="8"/>
  <c r="V117" i="8"/>
  <c r="V115" i="8"/>
  <c r="V114" i="8"/>
  <c r="V113" i="8"/>
  <c r="V112" i="8"/>
  <c r="V111" i="8"/>
  <c r="V110" i="8"/>
  <c r="V109" i="8"/>
  <c r="V107" i="8"/>
  <c r="V106" i="8"/>
  <c r="V105" i="8"/>
  <c r="E39" i="29"/>
  <c r="I39" i="29" s="1"/>
  <c r="K39" i="29" s="1"/>
  <c r="E62" i="29"/>
  <c r="I62" i="29" s="1"/>
  <c r="K62" i="29" s="1"/>
  <c r="V104" i="8"/>
  <c r="V100" i="8"/>
  <c r="V95" i="8"/>
  <c r="V91" i="8"/>
  <c r="V87" i="8"/>
  <c r="V81" i="8"/>
  <c r="V77" i="8"/>
  <c r="V73" i="8"/>
  <c r="V50" i="8"/>
  <c r="V31" i="8"/>
  <c r="V30" i="8"/>
  <c r="V103" i="8"/>
  <c r="V99" i="8"/>
  <c r="V94" i="8"/>
  <c r="V90" i="8"/>
  <c r="V85" i="8"/>
  <c r="V80" i="8"/>
  <c r="V76" i="8"/>
  <c r="V72" i="8"/>
  <c r="V71" i="8"/>
  <c r="V70" i="8"/>
  <c r="V69" i="8"/>
  <c r="E17" i="29"/>
  <c r="I17" i="29" s="1"/>
  <c r="K17" i="29" s="1"/>
  <c r="V102" i="8"/>
  <c r="V93" i="8"/>
  <c r="V84" i="8"/>
  <c r="V75" i="8"/>
  <c r="V65" i="8"/>
  <c r="V61" i="8"/>
  <c r="V57" i="8"/>
  <c r="V53" i="8"/>
  <c r="V48" i="8"/>
  <c r="V47" i="8"/>
  <c r="V44" i="8"/>
  <c r="V43" i="8"/>
  <c r="V42" i="8"/>
  <c r="V41" i="8"/>
  <c r="V40" i="8"/>
  <c r="V39" i="8"/>
  <c r="V38" i="8"/>
  <c r="V37" i="8"/>
  <c r="V36" i="8"/>
  <c r="V35" i="8"/>
  <c r="V34" i="8"/>
  <c r="R287" i="10"/>
  <c r="R283" i="10"/>
  <c r="R279" i="10"/>
  <c r="R275" i="10"/>
  <c r="R271" i="10"/>
  <c r="R267" i="10"/>
  <c r="R263" i="10"/>
  <c r="R259" i="10"/>
  <c r="R255" i="10"/>
  <c r="R251" i="10"/>
  <c r="R247" i="10"/>
  <c r="R243" i="10"/>
  <c r="R239" i="10"/>
  <c r="V97" i="8"/>
  <c r="V88" i="8"/>
  <c r="V78" i="8"/>
  <c r="V66" i="8"/>
  <c r="V62" i="8"/>
  <c r="V58" i="8"/>
  <c r="V54" i="8"/>
  <c r="V45" i="8"/>
  <c r="V29" i="8"/>
  <c r="V28" i="8"/>
  <c r="V26" i="8"/>
  <c r="V25" i="8"/>
  <c r="V24" i="8"/>
  <c r="V23" i="8"/>
  <c r="V22" i="8"/>
  <c r="V21" i="8"/>
  <c r="V20" i="8"/>
  <c r="V19" i="8"/>
  <c r="V18" i="8"/>
  <c r="V17" i="8"/>
  <c r="V16" i="8"/>
  <c r="V15" i="8"/>
  <c r="V14" i="8"/>
  <c r="V13" i="8"/>
  <c r="V12" i="8"/>
  <c r="V11" i="8"/>
  <c r="V10" i="8"/>
  <c r="V9" i="8"/>
  <c r="V8" i="8"/>
  <c r="V7" i="8"/>
  <c r="V6" i="8"/>
  <c r="V5" i="8"/>
  <c r="V4" i="8"/>
  <c r="V3" i="8"/>
  <c r="R284" i="10"/>
  <c r="V64" i="8"/>
  <c r="V56" i="8"/>
  <c r="R286" i="10"/>
  <c r="R235" i="10"/>
  <c r="R231" i="10"/>
  <c r="R227" i="10"/>
  <c r="R223" i="10"/>
  <c r="R219" i="10"/>
  <c r="R215" i="10"/>
  <c r="R211" i="10"/>
  <c r="R207" i="10"/>
  <c r="R203" i="10"/>
  <c r="R199" i="10"/>
  <c r="R195" i="10"/>
  <c r="R191" i="10"/>
  <c r="R187" i="10"/>
  <c r="R183" i="10"/>
  <c r="R179" i="10"/>
  <c r="R175" i="10"/>
  <c r="R171" i="10"/>
  <c r="R167" i="10"/>
  <c r="R163" i="10"/>
  <c r="R159" i="10"/>
  <c r="R155" i="10"/>
  <c r="R151" i="10"/>
  <c r="R147" i="10"/>
  <c r="R143" i="10"/>
  <c r="R139" i="10"/>
  <c r="R135" i="10"/>
  <c r="R131" i="10"/>
  <c r="R127" i="10"/>
  <c r="R123" i="10"/>
  <c r="V98" i="8"/>
  <c r="V92" i="8"/>
  <c r="V79" i="8"/>
  <c r="V74" i="8"/>
  <c r="V63" i="8"/>
  <c r="V55" i="8"/>
  <c r="R285" i="10"/>
  <c r="R281" i="10"/>
  <c r="R278" i="10"/>
  <c r="R276" i="10"/>
  <c r="R273" i="10"/>
  <c r="R270" i="10"/>
  <c r="R268" i="10"/>
  <c r="R265" i="10"/>
  <c r="R262" i="10"/>
  <c r="R260" i="10"/>
  <c r="R257" i="10"/>
  <c r="R254" i="10"/>
  <c r="R252" i="10"/>
  <c r="R249" i="10"/>
  <c r="R246" i="10"/>
  <c r="R244" i="10"/>
  <c r="R241" i="10"/>
  <c r="R236" i="10"/>
  <c r="R232" i="10"/>
  <c r="R228" i="10"/>
  <c r="R224" i="10"/>
  <c r="R220" i="10"/>
  <c r="R216" i="10"/>
  <c r="R212" i="10"/>
  <c r="R208" i="10"/>
  <c r="R204" i="10"/>
  <c r="R200" i="10"/>
  <c r="R196" i="10"/>
  <c r="R192" i="10"/>
  <c r="R188" i="10"/>
  <c r="V60" i="8"/>
  <c r="V59" i="8"/>
  <c r="R272" i="10"/>
  <c r="R256" i="10"/>
  <c r="R240" i="10"/>
  <c r="R237" i="10"/>
  <c r="R233" i="10"/>
  <c r="R229" i="10"/>
  <c r="R225" i="10"/>
  <c r="R221" i="10"/>
  <c r="R217" i="10"/>
  <c r="R213" i="10"/>
  <c r="R209" i="10"/>
  <c r="R205" i="10"/>
  <c r="R201" i="10"/>
  <c r="R197" i="10"/>
  <c r="R193" i="10"/>
  <c r="R189" i="10"/>
  <c r="R185" i="10"/>
  <c r="R184" i="10"/>
  <c r="R181" i="10"/>
  <c r="R178" i="10"/>
  <c r="R176" i="10"/>
  <c r="R173" i="10"/>
  <c r="R170" i="10"/>
  <c r="R168" i="10"/>
  <c r="R165" i="10"/>
  <c r="R162" i="10"/>
  <c r="R160" i="10"/>
  <c r="R157" i="10"/>
  <c r="R154" i="10"/>
  <c r="R152" i="10"/>
  <c r="R149" i="10"/>
  <c r="R146" i="10"/>
  <c r="R144" i="10"/>
  <c r="R141" i="10"/>
  <c r="R138" i="10"/>
  <c r="R136" i="10"/>
  <c r="R133" i="10"/>
  <c r="R130" i="10"/>
  <c r="R128" i="10"/>
  <c r="R125" i="10"/>
  <c r="R122" i="10"/>
  <c r="R119" i="10"/>
  <c r="R115" i="10"/>
  <c r="V101" i="8"/>
  <c r="V33" i="8"/>
  <c r="R282" i="10"/>
  <c r="R269" i="10"/>
  <c r="R266" i="10"/>
  <c r="R253" i="10"/>
  <c r="R250" i="10"/>
  <c r="R238" i="10"/>
  <c r="R234" i="10"/>
  <c r="R230" i="10"/>
  <c r="R226" i="10"/>
  <c r="R222" i="10"/>
  <c r="R218" i="10"/>
  <c r="R214" i="10"/>
  <c r="R210" i="10"/>
  <c r="R206" i="10"/>
  <c r="R202" i="10"/>
  <c r="R198" i="10"/>
  <c r="R194" i="10"/>
  <c r="R190" i="10"/>
  <c r="R186" i="10"/>
  <c r="R118" i="10"/>
  <c r="R114" i="10"/>
  <c r="R109" i="10"/>
  <c r="R105" i="10"/>
  <c r="R101" i="10"/>
  <c r="R97" i="10"/>
  <c r="R93" i="10"/>
  <c r="R89" i="10"/>
  <c r="R85" i="10"/>
  <c r="R81" i="10"/>
  <c r="R77" i="10"/>
  <c r="R73" i="10"/>
  <c r="R69" i="10"/>
  <c r="R65" i="10"/>
  <c r="R61" i="10"/>
  <c r="R57" i="10"/>
  <c r="R53" i="10"/>
  <c r="R49" i="10"/>
  <c r="R45" i="10"/>
  <c r="V89" i="8"/>
  <c r="R280" i="10"/>
  <c r="R261" i="10"/>
  <c r="R248" i="10"/>
  <c r="R180" i="10"/>
  <c r="R164" i="10"/>
  <c r="R148" i="10"/>
  <c r="R132" i="10"/>
  <c r="R120" i="10"/>
  <c r="R116" i="10"/>
  <c r="R112" i="10"/>
  <c r="R43" i="10"/>
  <c r="R39" i="10"/>
  <c r="R35" i="10"/>
  <c r="R31" i="10"/>
  <c r="R27" i="10"/>
  <c r="R23" i="10"/>
  <c r="R18" i="10"/>
  <c r="R14" i="10"/>
  <c r="R10" i="10"/>
  <c r="R6" i="10"/>
  <c r="V82" i="8"/>
  <c r="R274" i="10"/>
  <c r="R242" i="10"/>
  <c r="R177" i="10"/>
  <c r="R174" i="10"/>
  <c r="R161" i="10"/>
  <c r="R158" i="10"/>
  <c r="R145" i="10"/>
  <c r="R142" i="10"/>
  <c r="R129" i="10"/>
  <c r="R126" i="10"/>
  <c r="R117" i="10"/>
  <c r="R113" i="10"/>
  <c r="R108" i="10"/>
  <c r="R106" i="10"/>
  <c r="R103" i="10"/>
  <c r="R100" i="10"/>
  <c r="R98" i="10"/>
  <c r="R95" i="10"/>
  <c r="R92" i="10"/>
  <c r="R90" i="10"/>
  <c r="R87" i="10"/>
  <c r="R84" i="10"/>
  <c r="R82" i="10"/>
  <c r="R79" i="10"/>
  <c r="R76" i="10"/>
  <c r="R74" i="10"/>
  <c r="R71" i="10"/>
  <c r="R68" i="10"/>
  <c r="R66" i="10"/>
  <c r="R63" i="10"/>
  <c r="R60" i="10"/>
  <c r="R58" i="10"/>
  <c r="R55" i="10"/>
  <c r="R52" i="10"/>
  <c r="R50" i="10"/>
  <c r="R47" i="10"/>
  <c r="R42" i="10"/>
  <c r="R38" i="10"/>
  <c r="R34" i="10"/>
  <c r="R30" i="10"/>
  <c r="R26" i="10"/>
  <c r="R22" i="10"/>
  <c r="R17" i="10"/>
  <c r="R13" i="10"/>
  <c r="R9" i="10"/>
  <c r="R5" i="10"/>
  <c r="E103" i="35"/>
  <c r="I103" i="35" s="1"/>
  <c r="K103" i="35" s="1"/>
  <c r="K16" i="35"/>
  <c r="V52" i="8"/>
  <c r="R277" i="10"/>
  <c r="R264" i="10"/>
  <c r="R245" i="10"/>
  <c r="R172" i="10"/>
  <c r="R156" i="10"/>
  <c r="R140" i="10"/>
  <c r="R124" i="10"/>
  <c r="R41" i="10"/>
  <c r="R37" i="10"/>
  <c r="R33" i="10"/>
  <c r="R29" i="10"/>
  <c r="R25" i="10"/>
  <c r="R21" i="10"/>
  <c r="R16" i="10"/>
  <c r="R12" i="10"/>
  <c r="R8" i="10"/>
  <c r="R4" i="10"/>
  <c r="R182" i="10"/>
  <c r="R153" i="10"/>
  <c r="R150" i="10"/>
  <c r="R104" i="10"/>
  <c r="R96" i="10"/>
  <c r="R88" i="10"/>
  <c r="R80" i="10"/>
  <c r="R72" i="10"/>
  <c r="R64" i="10"/>
  <c r="R56" i="10"/>
  <c r="R258" i="10"/>
  <c r="R102" i="10"/>
  <c r="R86" i="10"/>
  <c r="R70" i="10"/>
  <c r="R59" i="10"/>
  <c r="R54" i="10"/>
  <c r="R46" i="10"/>
  <c r="E34" i="35"/>
  <c r="I34" i="35" s="1"/>
  <c r="R94" i="10"/>
  <c r="R78" i="10"/>
  <c r="R62" i="10"/>
  <c r="V67" i="8"/>
  <c r="R137" i="10"/>
  <c r="R134" i="10"/>
  <c r="R99" i="10"/>
  <c r="R83" i="10"/>
  <c r="R67" i="10"/>
  <c r="R48" i="10"/>
  <c r="R40" i="10"/>
  <c r="R32" i="10"/>
  <c r="R24" i="10"/>
  <c r="R15" i="10"/>
  <c r="R7" i="10"/>
  <c r="R111" i="10"/>
  <c r="R169" i="10"/>
  <c r="R166" i="10"/>
  <c r="R75" i="10"/>
  <c r="R107" i="10"/>
  <c r="R20" i="10"/>
  <c r="E82" i="35"/>
  <c r="I82" i="35" s="1"/>
  <c r="K82" i="35" s="1"/>
  <c r="R91" i="10"/>
  <c r="R44" i="10"/>
  <c r="R36" i="10"/>
  <c r="R28" i="10"/>
  <c r="R11" i="10"/>
  <c r="R51" i="10"/>
  <c r="E56" i="35"/>
  <c r="I56" i="35" s="1"/>
  <c r="K56" i="35" s="1"/>
  <c r="G300" i="9"/>
  <c r="M252" i="9"/>
  <c r="M244" i="9"/>
  <c r="M236" i="9"/>
  <c r="G296" i="9"/>
  <c r="G294" i="9"/>
  <c r="N294" i="9" s="1"/>
  <c r="F292" i="9"/>
  <c r="N292" i="9" s="1"/>
  <c r="G288" i="9"/>
  <c r="N288" i="9" s="1"/>
  <c r="G286" i="9"/>
  <c r="F284" i="9"/>
  <c r="N284" i="9" s="1"/>
  <c r="G280" i="9"/>
  <c r="N280" i="9" s="1"/>
  <c r="G278" i="9"/>
  <c r="N278" i="9" s="1"/>
  <c r="F276" i="9"/>
  <c r="N276" i="9" s="1"/>
  <c r="G272" i="9"/>
  <c r="N272" i="9" s="1"/>
  <c r="G270" i="9"/>
  <c r="F268" i="9"/>
  <c r="N268" i="9" s="1"/>
  <c r="G264" i="9"/>
  <c r="G262" i="9"/>
  <c r="N262" i="9" s="1"/>
  <c r="F260" i="9"/>
  <c r="N260" i="9" s="1"/>
  <c r="M255" i="9"/>
  <c r="M239" i="9"/>
  <c r="M303" i="9"/>
  <c r="M253" i="9"/>
  <c r="N253" i="9" s="1"/>
  <c r="F249" i="9"/>
  <c r="N249" i="9" s="1"/>
  <c r="G245" i="9"/>
  <c r="M237" i="9"/>
  <c r="F233" i="9"/>
  <c r="N233" i="9" s="1"/>
  <c r="M231" i="9"/>
  <c r="G227" i="9"/>
  <c r="G225" i="9"/>
  <c r="N225" i="9" s="1"/>
  <c r="M223" i="9"/>
  <c r="N223" i="9" s="1"/>
  <c r="G219" i="9"/>
  <c r="G217" i="9"/>
  <c r="M215" i="9"/>
  <c r="G211" i="9"/>
  <c r="G209" i="9"/>
  <c r="M207" i="9"/>
  <c r="N207" i="9" s="1"/>
  <c r="G203" i="9"/>
  <c r="N203" i="9" s="1"/>
  <c r="G201" i="9"/>
  <c r="N201" i="9" s="1"/>
  <c r="M199" i="9"/>
  <c r="G195" i="9"/>
  <c r="M188" i="9"/>
  <c r="M295" i="9"/>
  <c r="N295" i="9" s="1"/>
  <c r="G287" i="9"/>
  <c r="F271" i="9"/>
  <c r="N271" i="9" s="1"/>
  <c r="M263" i="9"/>
  <c r="N263" i="9" s="1"/>
  <c r="G232" i="9"/>
  <c r="N232" i="9" s="1"/>
  <c r="M216" i="9"/>
  <c r="F208" i="9"/>
  <c r="N208" i="9" s="1"/>
  <c r="G200" i="9"/>
  <c r="N200" i="9" s="1"/>
  <c r="M135" i="9"/>
  <c r="M119" i="9"/>
  <c r="F105" i="9"/>
  <c r="G100" i="9"/>
  <c r="M95" i="9"/>
  <c r="F89" i="9"/>
  <c r="G84" i="9"/>
  <c r="M79" i="9"/>
  <c r="F73" i="9"/>
  <c r="G283" i="9"/>
  <c r="N283" i="9" s="1"/>
  <c r="G190" i="9"/>
  <c r="G182" i="9"/>
  <c r="G176" i="9"/>
  <c r="G172" i="9"/>
  <c r="G168" i="9"/>
  <c r="G164" i="9"/>
  <c r="G160" i="9"/>
  <c r="G156" i="9"/>
  <c r="G152" i="9"/>
  <c r="G148" i="9"/>
  <c r="M140" i="9"/>
  <c r="M132" i="9"/>
  <c r="M124" i="9"/>
  <c r="M116" i="9"/>
  <c r="M108" i="9"/>
  <c r="G220" i="9"/>
  <c r="N220" i="9" s="1"/>
  <c r="M173" i="9"/>
  <c r="M157" i="9"/>
  <c r="F67" i="9"/>
  <c r="F65" i="9"/>
  <c r="N65" i="9" s="1"/>
  <c r="G61" i="9"/>
  <c r="G59" i="9"/>
  <c r="N59" i="9" s="1"/>
  <c r="F57" i="9"/>
  <c r="N57" i="9" s="1"/>
  <c r="G53" i="9"/>
  <c r="N53" i="9" s="1"/>
  <c r="G51" i="9"/>
  <c r="N51" i="9" s="1"/>
  <c r="F49" i="9"/>
  <c r="N49" i="9" s="1"/>
  <c r="G45" i="9"/>
  <c r="N45" i="9" s="1"/>
  <c r="G43" i="9"/>
  <c r="N43" i="9" s="1"/>
  <c r="F41" i="9"/>
  <c r="N41" i="9" s="1"/>
  <c r="M34" i="9"/>
  <c r="F28" i="9"/>
  <c r="G23" i="9"/>
  <c r="M18" i="9"/>
  <c r="F12" i="9"/>
  <c r="G7" i="9"/>
  <c r="M2" i="9"/>
  <c r="M275" i="9"/>
  <c r="G193" i="9"/>
  <c r="N193" i="9" s="1"/>
  <c r="F72" i="9"/>
  <c r="F70" i="9"/>
  <c r="N70" i="9" s="1"/>
  <c r="M228" i="9"/>
  <c r="F196" i="9"/>
  <c r="G189" i="9"/>
  <c r="N189" i="9" s="1"/>
  <c r="M137" i="9"/>
  <c r="G129" i="9"/>
  <c r="F121" i="9"/>
  <c r="N121" i="9" s="1"/>
  <c r="M259" i="9"/>
  <c r="G169" i="9"/>
  <c r="F60" i="9"/>
  <c r="M52" i="9"/>
  <c r="G44" i="9"/>
  <c r="F181" i="9"/>
  <c r="M177" i="9"/>
  <c r="F133" i="9"/>
  <c r="N133" i="9" s="1"/>
  <c r="F291" i="9"/>
  <c r="M56" i="9"/>
  <c r="G40" i="9"/>
  <c r="G29" i="20"/>
  <c r="F161" i="9"/>
  <c r="G141" i="9"/>
  <c r="F109" i="9"/>
  <c r="N109" i="9" s="1"/>
  <c r="G64" i="9"/>
  <c r="N64" i="9" s="1"/>
  <c r="E209" i="35"/>
  <c r="I209" i="35" s="1"/>
  <c r="K209" i="35" s="1"/>
  <c r="I134" i="35"/>
  <c r="K134" i="35" s="1"/>
  <c r="E235" i="35"/>
  <c r="I235" i="35" s="1"/>
  <c r="K235" i="35" s="1"/>
  <c r="L251" i="35" s="1"/>
  <c r="E26" i="35"/>
  <c r="I26" i="35" s="1"/>
  <c r="M145" i="8"/>
  <c r="M143" i="8"/>
  <c r="M140" i="8"/>
  <c r="M137" i="8"/>
  <c r="M133" i="8"/>
  <c r="M127" i="8"/>
  <c r="M123" i="8"/>
  <c r="M118" i="8"/>
  <c r="M113" i="8"/>
  <c r="M109" i="8"/>
  <c r="M104" i="8"/>
  <c r="M103" i="8"/>
  <c r="M102" i="8"/>
  <c r="M101" i="8"/>
  <c r="M100" i="8"/>
  <c r="M99" i="8"/>
  <c r="M98" i="8"/>
  <c r="M97" i="8"/>
  <c r="M95" i="8"/>
  <c r="M94" i="8"/>
  <c r="M93" i="8"/>
  <c r="M92" i="8"/>
  <c r="M91" i="8"/>
  <c r="M90" i="8"/>
  <c r="M89" i="8"/>
  <c r="M88" i="8"/>
  <c r="M87" i="8"/>
  <c r="M85" i="8"/>
  <c r="M84" i="8"/>
  <c r="M82" i="8"/>
  <c r="M81" i="8"/>
  <c r="M80" i="8"/>
  <c r="M79" i="8"/>
  <c r="M78" i="8"/>
  <c r="M77" i="8"/>
  <c r="M76" i="8"/>
  <c r="M75" i="8"/>
  <c r="M74" i="8"/>
  <c r="M73" i="8"/>
  <c r="M138" i="8"/>
  <c r="M134" i="8"/>
  <c r="M129" i="8"/>
  <c r="M124" i="8"/>
  <c r="M119" i="8"/>
  <c r="M114" i="8"/>
  <c r="M110" i="8"/>
  <c r="M105" i="8"/>
  <c r="M50" i="8"/>
  <c r="M48" i="8"/>
  <c r="M47" i="8"/>
  <c r="M45" i="8"/>
  <c r="M139" i="8"/>
  <c r="M130" i="8"/>
  <c r="M120" i="8"/>
  <c r="M111" i="8"/>
  <c r="M33" i="8"/>
  <c r="M144" i="8"/>
  <c r="M131" i="8"/>
  <c r="M121" i="8"/>
  <c r="M112" i="8"/>
  <c r="M72" i="8"/>
  <c r="M71" i="8"/>
  <c r="M70" i="8"/>
  <c r="M141" i="8"/>
  <c r="M69" i="8"/>
  <c r="M64" i="8"/>
  <c r="M60" i="8"/>
  <c r="M56" i="8"/>
  <c r="M52" i="8"/>
  <c r="M44" i="8"/>
  <c r="M43" i="8"/>
  <c r="M42" i="8"/>
  <c r="M41" i="8"/>
  <c r="M40" i="8"/>
  <c r="M39" i="8"/>
  <c r="M38" i="8"/>
  <c r="M37" i="8"/>
  <c r="M36" i="8"/>
  <c r="M35" i="8"/>
  <c r="M34" i="8"/>
  <c r="M30" i="8"/>
  <c r="M29" i="8"/>
  <c r="M28" i="8"/>
  <c r="M26" i="8"/>
  <c r="M25" i="8"/>
  <c r="M24" i="8"/>
  <c r="M23" i="8"/>
  <c r="M22" i="8"/>
  <c r="M21" i="8"/>
  <c r="M20" i="8"/>
  <c r="M19" i="8"/>
  <c r="M18" i="8"/>
  <c r="M17" i="8"/>
  <c r="M16" i="8"/>
  <c r="M15" i="8"/>
  <c r="M14" i="8"/>
  <c r="M13" i="8"/>
  <c r="M12" i="8"/>
  <c r="M11" i="8"/>
  <c r="M10" i="8"/>
  <c r="M9" i="8"/>
  <c r="M8" i="8"/>
  <c r="M7" i="8"/>
  <c r="M6" i="8"/>
  <c r="M5" i="8"/>
  <c r="M4" i="8"/>
  <c r="M3" i="8"/>
  <c r="M287" i="10"/>
  <c r="M283" i="10"/>
  <c r="M279" i="10"/>
  <c r="M275" i="10"/>
  <c r="M271" i="10"/>
  <c r="M267" i="10"/>
  <c r="M263" i="10"/>
  <c r="M259" i="10"/>
  <c r="M255" i="10"/>
  <c r="M251" i="10"/>
  <c r="M247" i="10"/>
  <c r="M243" i="10"/>
  <c r="M239" i="10"/>
  <c r="M136" i="8"/>
  <c r="M125" i="8"/>
  <c r="M117" i="8"/>
  <c r="M106" i="8"/>
  <c r="M65" i="8"/>
  <c r="M61" i="8"/>
  <c r="M57" i="8"/>
  <c r="M53" i="8"/>
  <c r="M31" i="8"/>
  <c r="M284" i="10"/>
  <c r="M115" i="8"/>
  <c r="M62" i="8"/>
  <c r="M54" i="8"/>
  <c r="M282" i="10"/>
  <c r="M280" i="10"/>
  <c r="M277" i="10"/>
  <c r="M274" i="10"/>
  <c r="M272" i="10"/>
  <c r="M269" i="10"/>
  <c r="M266" i="10"/>
  <c r="M264" i="10"/>
  <c r="M261" i="10"/>
  <c r="M258" i="10"/>
  <c r="M256" i="10"/>
  <c r="M253" i="10"/>
  <c r="M250" i="10"/>
  <c r="M248" i="10"/>
  <c r="M245" i="10"/>
  <c r="M242" i="10"/>
  <c r="M240" i="10"/>
  <c r="M235" i="10"/>
  <c r="M231" i="10"/>
  <c r="M227" i="10"/>
  <c r="M223" i="10"/>
  <c r="M219" i="10"/>
  <c r="M215" i="10"/>
  <c r="M211" i="10"/>
  <c r="M207" i="10"/>
  <c r="M203" i="10"/>
  <c r="M199" i="10"/>
  <c r="M195" i="10"/>
  <c r="M191" i="10"/>
  <c r="M187" i="10"/>
  <c r="M183" i="10"/>
  <c r="M179" i="10"/>
  <c r="M175" i="10"/>
  <c r="M171" i="10"/>
  <c r="M167" i="10"/>
  <c r="M163" i="10"/>
  <c r="M159" i="10"/>
  <c r="M155" i="10"/>
  <c r="M151" i="10"/>
  <c r="M147" i="10"/>
  <c r="M143" i="10"/>
  <c r="M139" i="10"/>
  <c r="M135" i="10"/>
  <c r="M131" i="10"/>
  <c r="M127" i="10"/>
  <c r="M123" i="10"/>
  <c r="M126" i="8"/>
  <c r="M63" i="8"/>
  <c r="M55" i="8"/>
  <c r="M236" i="10"/>
  <c r="M232" i="10"/>
  <c r="M228" i="10"/>
  <c r="M224" i="10"/>
  <c r="M220" i="10"/>
  <c r="M216" i="10"/>
  <c r="M212" i="10"/>
  <c r="M208" i="10"/>
  <c r="M204" i="10"/>
  <c r="M200" i="10"/>
  <c r="M196" i="10"/>
  <c r="M192" i="10"/>
  <c r="M188" i="10"/>
  <c r="M59" i="8"/>
  <c r="M286" i="10"/>
  <c r="M278" i="10"/>
  <c r="M262" i="10"/>
  <c r="M246" i="10"/>
  <c r="M119" i="10"/>
  <c r="M115" i="10"/>
  <c r="M66" i="8"/>
  <c r="M276" i="10"/>
  <c r="M273" i="10"/>
  <c r="M260" i="10"/>
  <c r="M257" i="10"/>
  <c r="M244" i="10"/>
  <c r="M241" i="10"/>
  <c r="M182" i="10"/>
  <c r="M180" i="10"/>
  <c r="M177" i="10"/>
  <c r="M174" i="10"/>
  <c r="M172" i="10"/>
  <c r="M169" i="10"/>
  <c r="M166" i="10"/>
  <c r="M164" i="10"/>
  <c r="M161" i="10"/>
  <c r="M158" i="10"/>
  <c r="M156" i="10"/>
  <c r="M153" i="10"/>
  <c r="M150" i="10"/>
  <c r="M148" i="10"/>
  <c r="M145" i="10"/>
  <c r="M142" i="10"/>
  <c r="M140" i="10"/>
  <c r="M137" i="10"/>
  <c r="M134" i="10"/>
  <c r="M132" i="10"/>
  <c r="M129" i="10"/>
  <c r="M126" i="10"/>
  <c r="M124" i="10"/>
  <c r="M118" i="10"/>
  <c r="M114" i="10"/>
  <c r="M109" i="10"/>
  <c r="M105" i="10"/>
  <c r="M101" i="10"/>
  <c r="M97" i="10"/>
  <c r="M93" i="10"/>
  <c r="M89" i="10"/>
  <c r="M85" i="10"/>
  <c r="M81" i="10"/>
  <c r="M77" i="10"/>
  <c r="M73" i="10"/>
  <c r="M69" i="10"/>
  <c r="M65" i="10"/>
  <c r="M61" i="10"/>
  <c r="M57" i="10"/>
  <c r="M53" i="10"/>
  <c r="M49" i="10"/>
  <c r="M45" i="10"/>
  <c r="M238" i="10"/>
  <c r="M230" i="10"/>
  <c r="M222" i="10"/>
  <c r="M214" i="10"/>
  <c r="M206" i="10"/>
  <c r="M198" i="10"/>
  <c r="M190" i="10"/>
  <c r="M170" i="10"/>
  <c r="M154" i="10"/>
  <c r="M138" i="10"/>
  <c r="M122" i="10"/>
  <c r="M108" i="10"/>
  <c r="M106" i="10"/>
  <c r="M103" i="10"/>
  <c r="M100" i="10"/>
  <c r="M98" i="10"/>
  <c r="M95" i="10"/>
  <c r="M92" i="10"/>
  <c r="M90" i="10"/>
  <c r="M87" i="10"/>
  <c r="M84" i="10"/>
  <c r="M82" i="10"/>
  <c r="M79" i="10"/>
  <c r="M76" i="10"/>
  <c r="M74" i="10"/>
  <c r="M71" i="10"/>
  <c r="M68" i="10"/>
  <c r="M66" i="10"/>
  <c r="M63" i="10"/>
  <c r="M60" i="10"/>
  <c r="M58" i="10"/>
  <c r="M55" i="10"/>
  <c r="M52" i="10"/>
  <c r="M50" i="10"/>
  <c r="M47" i="10"/>
  <c r="M43" i="10"/>
  <c r="M39" i="10"/>
  <c r="M35" i="10"/>
  <c r="M31" i="10"/>
  <c r="M27" i="10"/>
  <c r="M23" i="10"/>
  <c r="M18" i="10"/>
  <c r="M14" i="10"/>
  <c r="M10" i="10"/>
  <c r="M6" i="10"/>
  <c r="M265" i="10"/>
  <c r="M254" i="10"/>
  <c r="M252" i="10"/>
  <c r="M233" i="10"/>
  <c r="M225" i="10"/>
  <c r="M217" i="10"/>
  <c r="M209" i="10"/>
  <c r="M201" i="10"/>
  <c r="M193" i="10"/>
  <c r="M185" i="10"/>
  <c r="M184" i="10"/>
  <c r="M181" i="10"/>
  <c r="M168" i="10"/>
  <c r="M165" i="10"/>
  <c r="M152" i="10"/>
  <c r="M149" i="10"/>
  <c r="M136" i="10"/>
  <c r="M133" i="10"/>
  <c r="M42" i="10"/>
  <c r="M38" i="10"/>
  <c r="M34" i="10"/>
  <c r="M30" i="10"/>
  <c r="M26" i="10"/>
  <c r="M22" i="10"/>
  <c r="M17" i="10"/>
  <c r="M13" i="10"/>
  <c r="M9" i="10"/>
  <c r="M5" i="10"/>
  <c r="E99" i="35"/>
  <c r="I99" i="35" s="1"/>
  <c r="K99" i="35" s="1"/>
  <c r="M107" i="8"/>
  <c r="M285" i="10"/>
  <c r="M234" i="10"/>
  <c r="M226" i="10"/>
  <c r="M218" i="10"/>
  <c r="M210" i="10"/>
  <c r="M202" i="10"/>
  <c r="M194" i="10"/>
  <c r="M186" i="10"/>
  <c r="M178" i="10"/>
  <c r="M162" i="10"/>
  <c r="M146" i="10"/>
  <c r="M130" i="10"/>
  <c r="M120" i="10"/>
  <c r="M116" i="10"/>
  <c r="M112" i="10"/>
  <c r="M111" i="10"/>
  <c r="M107" i="10"/>
  <c r="M104" i="10"/>
  <c r="M102" i="10"/>
  <c r="M99" i="10"/>
  <c r="M96" i="10"/>
  <c r="M94" i="10"/>
  <c r="M91" i="10"/>
  <c r="M88" i="10"/>
  <c r="M86" i="10"/>
  <c r="M83" i="10"/>
  <c r="M80" i="10"/>
  <c r="M78" i="10"/>
  <c r="M75" i="10"/>
  <c r="M72" i="10"/>
  <c r="M70" i="10"/>
  <c r="M67" i="10"/>
  <c r="M64" i="10"/>
  <c r="M62" i="10"/>
  <c r="M59" i="10"/>
  <c r="M56" i="10"/>
  <c r="M54" i="10"/>
  <c r="M51" i="10"/>
  <c r="M48" i="10"/>
  <c r="M46" i="10"/>
  <c r="M41" i="10"/>
  <c r="M37" i="10"/>
  <c r="M33" i="10"/>
  <c r="M29" i="10"/>
  <c r="M25" i="10"/>
  <c r="M21" i="10"/>
  <c r="M16" i="10"/>
  <c r="M12" i="10"/>
  <c r="M8" i="10"/>
  <c r="M4" i="10"/>
  <c r="M281" i="10"/>
  <c r="M249" i="10"/>
  <c r="M221" i="10"/>
  <c r="M189" i="10"/>
  <c r="M173" i="10"/>
  <c r="M160" i="10"/>
  <c r="M141" i="10"/>
  <c r="M128" i="10"/>
  <c r="M67" i="8"/>
  <c r="M58" i="8"/>
  <c r="M270" i="10"/>
  <c r="M268" i="10"/>
  <c r="M213" i="10"/>
  <c r="M113" i="10"/>
  <c r="M125" i="10"/>
  <c r="M44" i="10"/>
  <c r="M36" i="10"/>
  <c r="M28" i="10"/>
  <c r="M20" i="10"/>
  <c r="M11" i="10"/>
  <c r="K10" i="35"/>
  <c r="E30" i="35"/>
  <c r="I30" i="35" s="1"/>
  <c r="K30" i="35" s="1"/>
  <c r="M157" i="10"/>
  <c r="M40" i="10"/>
  <c r="M32" i="10"/>
  <c r="M135" i="8"/>
  <c r="M205" i="10"/>
  <c r="M197" i="10"/>
  <c r="M176" i="10"/>
  <c r="M24" i="10"/>
  <c r="M7" i="10"/>
  <c r="M144" i="10"/>
  <c r="M15" i="10"/>
  <c r="M237" i="10"/>
  <c r="M229" i="10"/>
  <c r="M117" i="10"/>
  <c r="E78" i="35"/>
  <c r="I78" i="35" s="1"/>
  <c r="K78" i="35" s="1"/>
  <c r="E51" i="35"/>
  <c r="I51" i="35" s="1"/>
  <c r="K51" i="35" s="1"/>
  <c r="R145" i="8"/>
  <c r="R144" i="8"/>
  <c r="R143" i="8"/>
  <c r="R141" i="8"/>
  <c r="R140" i="8"/>
  <c r="R139" i="8"/>
  <c r="R138" i="8"/>
  <c r="R137" i="8"/>
  <c r="R136" i="8"/>
  <c r="R135" i="8"/>
  <c r="R134" i="8"/>
  <c r="R133" i="8"/>
  <c r="R131" i="8"/>
  <c r="R130" i="8"/>
  <c r="R129" i="8"/>
  <c r="R127" i="8"/>
  <c r="R126" i="8"/>
  <c r="R125" i="8"/>
  <c r="R124" i="8"/>
  <c r="R123" i="8"/>
  <c r="R121" i="8"/>
  <c r="R120" i="8"/>
  <c r="R119" i="8"/>
  <c r="R118" i="8"/>
  <c r="R117" i="8"/>
  <c r="R115" i="8"/>
  <c r="R114" i="8"/>
  <c r="R113" i="8"/>
  <c r="R112" i="8"/>
  <c r="R111" i="8"/>
  <c r="R110" i="8"/>
  <c r="R109" i="8"/>
  <c r="R107" i="8"/>
  <c r="R106" i="8"/>
  <c r="R105" i="8"/>
  <c r="R102" i="8"/>
  <c r="R98" i="8"/>
  <c r="R93" i="8"/>
  <c r="R89" i="8"/>
  <c r="R84" i="8"/>
  <c r="R79" i="8"/>
  <c r="R75" i="8"/>
  <c r="R45" i="8"/>
  <c r="R31" i="8"/>
  <c r="R101" i="8"/>
  <c r="R97" i="8"/>
  <c r="R92" i="8"/>
  <c r="R88" i="8"/>
  <c r="R82" i="8"/>
  <c r="R78" i="8"/>
  <c r="R74" i="8"/>
  <c r="R99" i="8"/>
  <c r="R90" i="8"/>
  <c r="R80" i="8"/>
  <c r="R69" i="8"/>
  <c r="R67" i="8"/>
  <c r="R63" i="8"/>
  <c r="R59" i="8"/>
  <c r="R55" i="8"/>
  <c r="R33" i="8"/>
  <c r="R104" i="8"/>
  <c r="R95" i="8"/>
  <c r="R87" i="8"/>
  <c r="R77" i="8"/>
  <c r="R70" i="8"/>
  <c r="R64" i="8"/>
  <c r="R60" i="8"/>
  <c r="R56" i="8"/>
  <c r="R52" i="8"/>
  <c r="R44" i="8"/>
  <c r="R43" i="8"/>
  <c r="R42" i="8"/>
  <c r="R41" i="8"/>
  <c r="R40" i="8"/>
  <c r="R39" i="8"/>
  <c r="R38" i="8"/>
  <c r="R37" i="8"/>
  <c r="R36" i="8"/>
  <c r="R35" i="8"/>
  <c r="R34" i="8"/>
  <c r="R30" i="8"/>
  <c r="R29" i="8"/>
  <c r="R28" i="8"/>
  <c r="R26" i="8"/>
  <c r="R25" i="8"/>
  <c r="R24" i="8"/>
  <c r="R23" i="8"/>
  <c r="R22" i="8"/>
  <c r="R21" i="8"/>
  <c r="R20" i="8"/>
  <c r="R19" i="8"/>
  <c r="R18" i="8"/>
  <c r="R17" i="8"/>
  <c r="R16" i="8"/>
  <c r="R15" i="8"/>
  <c r="R14" i="8"/>
  <c r="R13" i="8"/>
  <c r="R12" i="8"/>
  <c r="R11" i="8"/>
  <c r="R10" i="8"/>
  <c r="R9" i="8"/>
  <c r="R8" i="8"/>
  <c r="R7" i="8"/>
  <c r="R6" i="8"/>
  <c r="R5" i="8"/>
  <c r="R4" i="8"/>
  <c r="R3" i="8"/>
  <c r="R94" i="8"/>
  <c r="R76" i="8"/>
  <c r="R71" i="8"/>
  <c r="R61" i="8"/>
  <c r="R53" i="8"/>
  <c r="R100" i="8"/>
  <c r="R81" i="8"/>
  <c r="R62" i="8"/>
  <c r="R54" i="8"/>
  <c r="R50" i="8"/>
  <c r="R48" i="8"/>
  <c r="R47" i="8"/>
  <c r="R91" i="8"/>
  <c r="R85" i="8"/>
  <c r="R66" i="8"/>
  <c r="R57" i="8"/>
  <c r="R73" i="8"/>
  <c r="R65" i="8"/>
  <c r="K53" i="35"/>
  <c r="R58" i="8"/>
  <c r="R103" i="8"/>
  <c r="R72" i="8"/>
  <c r="J30" i="35"/>
  <c r="N296" i="9"/>
  <c r="N264" i="9"/>
  <c r="N287" i="9"/>
  <c r="N61" i="9"/>
  <c r="N169" i="9"/>
  <c r="N44" i="9"/>
  <c r="N286" i="9"/>
  <c r="N270" i="9"/>
  <c r="N245" i="9"/>
  <c r="N231" i="9"/>
  <c r="N215" i="9"/>
  <c r="N199" i="9"/>
  <c r="N162" i="9"/>
  <c r="I156" i="35"/>
  <c r="E231" i="35"/>
  <c r="I231" i="35" s="1"/>
  <c r="J8" i="35"/>
  <c r="K3" i="35"/>
  <c r="N290" i="9"/>
  <c r="N282" i="9"/>
  <c r="N274" i="9"/>
  <c r="N266" i="9"/>
  <c r="N258" i="9"/>
  <c r="N237" i="9"/>
  <c r="N227" i="9"/>
  <c r="N219" i="9"/>
  <c r="N217" i="9"/>
  <c r="N211" i="9"/>
  <c r="N209" i="9"/>
  <c r="N195" i="9"/>
  <c r="N279" i="9"/>
  <c r="N216" i="9"/>
  <c r="N267" i="9"/>
  <c r="N63" i="9"/>
  <c r="N55" i="9"/>
  <c r="N47" i="9"/>
  <c r="N32" i="9"/>
  <c r="F301" i="9"/>
  <c r="G302" i="9"/>
  <c r="G301" i="9"/>
  <c r="G298" i="9"/>
  <c r="G297" i="9"/>
  <c r="G293" i="9"/>
  <c r="G289" i="9"/>
  <c r="G285" i="9"/>
  <c r="G281" i="9"/>
  <c r="G277" i="9"/>
  <c r="G273" i="9"/>
  <c r="G269" i="9"/>
  <c r="G265" i="9"/>
  <c r="G261" i="9"/>
  <c r="F254" i="9"/>
  <c r="F250" i="9"/>
  <c r="F246" i="9"/>
  <c r="F242" i="9"/>
  <c r="F238" i="9"/>
  <c r="F234" i="9"/>
  <c r="F302" i="9"/>
  <c r="F298" i="9"/>
  <c r="F297" i="9"/>
  <c r="N297" i="9" s="1"/>
  <c r="F293" i="9"/>
  <c r="F289" i="9"/>
  <c r="F285" i="9"/>
  <c r="F281" i="9"/>
  <c r="N281" i="9" s="1"/>
  <c r="F277" i="9"/>
  <c r="F273" i="9"/>
  <c r="F269" i="9"/>
  <c r="F265" i="9"/>
  <c r="N265" i="9" s="1"/>
  <c r="F261" i="9"/>
  <c r="M301" i="9"/>
  <c r="M297" i="9"/>
  <c r="M293" i="9"/>
  <c r="M289" i="9"/>
  <c r="M285" i="9"/>
  <c r="M281" i="9"/>
  <c r="M277" i="9"/>
  <c r="M273" i="9"/>
  <c r="M269" i="9"/>
  <c r="M265" i="9"/>
  <c r="M261" i="9"/>
  <c r="M254" i="9"/>
  <c r="M250" i="9"/>
  <c r="M246" i="9"/>
  <c r="M242" i="9"/>
  <c r="M238" i="9"/>
  <c r="M234" i="9"/>
  <c r="F230" i="9"/>
  <c r="F226" i="9"/>
  <c r="F222" i="9"/>
  <c r="F218" i="9"/>
  <c r="F214" i="9"/>
  <c r="F210" i="9"/>
  <c r="F206" i="9"/>
  <c r="F202" i="9"/>
  <c r="F198" i="9"/>
  <c r="F194" i="9"/>
  <c r="M300" i="9"/>
  <c r="N300" i="9" s="1"/>
  <c r="F256" i="9"/>
  <c r="N256" i="9" s="1"/>
  <c r="F252" i="9"/>
  <c r="N252" i="9" s="1"/>
  <c r="F248" i="9"/>
  <c r="N248" i="9" s="1"/>
  <c r="F244" i="9"/>
  <c r="F240" i="9"/>
  <c r="N240" i="9" s="1"/>
  <c r="F236" i="9"/>
  <c r="N236" i="9" s="1"/>
  <c r="G230" i="9"/>
  <c r="G226" i="9"/>
  <c r="G222" i="9"/>
  <c r="G218" i="9"/>
  <c r="G214" i="9"/>
  <c r="G210" i="9"/>
  <c r="G206" i="9"/>
  <c r="G202" i="9"/>
  <c r="G198" i="9"/>
  <c r="G194" i="9"/>
  <c r="F191" i="9"/>
  <c r="F187" i="9"/>
  <c r="F183" i="9"/>
  <c r="F179" i="9"/>
  <c r="F255" i="9"/>
  <c r="F251" i="9"/>
  <c r="F247" i="9"/>
  <c r="N247" i="9" s="1"/>
  <c r="F243" i="9"/>
  <c r="F239" i="9"/>
  <c r="F235" i="9"/>
  <c r="G175" i="9"/>
  <c r="G171" i="9"/>
  <c r="G167" i="9"/>
  <c r="G163" i="9"/>
  <c r="G159" i="9"/>
  <c r="G155" i="9"/>
  <c r="G151" i="9"/>
  <c r="F303" i="9"/>
  <c r="N303" i="9" s="1"/>
  <c r="G255" i="9"/>
  <c r="G251" i="9"/>
  <c r="G247" i="9"/>
  <c r="G243" i="9"/>
  <c r="G239" i="9"/>
  <c r="G235" i="9"/>
  <c r="F192" i="9"/>
  <c r="F188" i="9"/>
  <c r="F184" i="9"/>
  <c r="F180" i="9"/>
  <c r="M175" i="9"/>
  <c r="M171" i="9"/>
  <c r="M167" i="9"/>
  <c r="M163" i="9"/>
  <c r="M159" i="9"/>
  <c r="M155" i="9"/>
  <c r="M151" i="9"/>
  <c r="F146" i="9"/>
  <c r="F142" i="9"/>
  <c r="F138" i="9"/>
  <c r="F134" i="9"/>
  <c r="F130" i="9"/>
  <c r="F126" i="9"/>
  <c r="F122" i="9"/>
  <c r="F118" i="9"/>
  <c r="F114" i="9"/>
  <c r="F110" i="9"/>
  <c r="G250" i="9"/>
  <c r="G242" i="9"/>
  <c r="G234" i="9"/>
  <c r="M226" i="9"/>
  <c r="M218" i="9"/>
  <c r="M210" i="9"/>
  <c r="M202" i="9"/>
  <c r="M194" i="9"/>
  <c r="M190" i="9"/>
  <c r="N190" i="9" s="1"/>
  <c r="M186" i="9"/>
  <c r="N186" i="9" s="1"/>
  <c r="M182" i="9"/>
  <c r="N182" i="9" s="1"/>
  <c r="M178" i="9"/>
  <c r="N178" i="9" s="1"/>
  <c r="F176" i="9"/>
  <c r="G174" i="9"/>
  <c r="N174" i="9" s="1"/>
  <c r="F172" i="9"/>
  <c r="N172" i="9" s="1"/>
  <c r="G170" i="9"/>
  <c r="N170" i="9" s="1"/>
  <c r="F168" i="9"/>
  <c r="N168" i="9" s="1"/>
  <c r="G166" i="9"/>
  <c r="N166" i="9" s="1"/>
  <c r="F164" i="9"/>
  <c r="G162" i="9"/>
  <c r="F160" i="9"/>
  <c r="G158" i="9"/>
  <c r="N158" i="9" s="1"/>
  <c r="F156" i="9"/>
  <c r="N156" i="9" s="1"/>
  <c r="G154" i="9"/>
  <c r="N154" i="9" s="1"/>
  <c r="F152" i="9"/>
  <c r="N152" i="9" s="1"/>
  <c r="G150" i="9"/>
  <c r="N150" i="9" s="1"/>
  <c r="F148" i="9"/>
  <c r="F144" i="9"/>
  <c r="N144" i="9" s="1"/>
  <c r="F140" i="9"/>
  <c r="F136" i="9"/>
  <c r="N136" i="9" s="1"/>
  <c r="F132" i="9"/>
  <c r="N132" i="9" s="1"/>
  <c r="F128" i="9"/>
  <c r="N128" i="9" s="1"/>
  <c r="F124" i="9"/>
  <c r="N124" i="9" s="1"/>
  <c r="F120" i="9"/>
  <c r="N120" i="9" s="1"/>
  <c r="F116" i="9"/>
  <c r="F112" i="9"/>
  <c r="N112" i="9" s="1"/>
  <c r="F108" i="9"/>
  <c r="G71" i="9"/>
  <c r="G66" i="9"/>
  <c r="G62" i="9"/>
  <c r="G58" i="9"/>
  <c r="G54" i="9"/>
  <c r="G50" i="9"/>
  <c r="G46" i="9"/>
  <c r="G42" i="9"/>
  <c r="M191" i="9"/>
  <c r="M187" i="9"/>
  <c r="M183" i="9"/>
  <c r="M179" i="9"/>
  <c r="M146" i="9"/>
  <c r="M142" i="9"/>
  <c r="M138" i="9"/>
  <c r="M134" i="9"/>
  <c r="M130" i="9"/>
  <c r="M126" i="9"/>
  <c r="M122" i="9"/>
  <c r="M118" i="9"/>
  <c r="M114" i="9"/>
  <c r="M110" i="9"/>
  <c r="M106" i="9"/>
  <c r="M102" i="9"/>
  <c r="M98" i="9"/>
  <c r="M94" i="9"/>
  <c r="M90" i="9"/>
  <c r="M86" i="9"/>
  <c r="M82" i="9"/>
  <c r="M78" i="9"/>
  <c r="M74" i="9"/>
  <c r="F71" i="9"/>
  <c r="F66" i="9"/>
  <c r="F62" i="9"/>
  <c r="F58" i="9"/>
  <c r="F54" i="9"/>
  <c r="F50" i="9"/>
  <c r="F46" i="9"/>
  <c r="F42" i="9"/>
  <c r="G191" i="9"/>
  <c r="G188" i="9"/>
  <c r="G183" i="9"/>
  <c r="G180" i="9"/>
  <c r="F175" i="9"/>
  <c r="F167" i="9"/>
  <c r="N167" i="9" s="1"/>
  <c r="F159" i="9"/>
  <c r="F151" i="9"/>
  <c r="M105" i="9"/>
  <c r="F104" i="9"/>
  <c r="M101" i="9"/>
  <c r="F100" i="9"/>
  <c r="M97" i="9"/>
  <c r="F96" i="9"/>
  <c r="N96" i="9" s="1"/>
  <c r="M93" i="9"/>
  <c r="F92" i="9"/>
  <c r="M89" i="9"/>
  <c r="F88" i="9"/>
  <c r="M85" i="9"/>
  <c r="F84" i="9"/>
  <c r="M81" i="9"/>
  <c r="F80" i="9"/>
  <c r="M77" i="9"/>
  <c r="F76" i="9"/>
  <c r="M73" i="9"/>
  <c r="G69" i="9"/>
  <c r="G68" i="9"/>
  <c r="N68" i="9" s="1"/>
  <c r="F39" i="9"/>
  <c r="N39" i="9" s="1"/>
  <c r="G254" i="9"/>
  <c r="G238" i="9"/>
  <c r="M222" i="9"/>
  <c r="M206" i="9"/>
  <c r="G146" i="9"/>
  <c r="G142" i="9"/>
  <c r="G138" i="9"/>
  <c r="G134" i="9"/>
  <c r="G130" i="9"/>
  <c r="G126" i="9"/>
  <c r="G122" i="9"/>
  <c r="G118" i="9"/>
  <c r="G114" i="9"/>
  <c r="G110" i="9"/>
  <c r="G106" i="9"/>
  <c r="G105" i="9"/>
  <c r="G102" i="9"/>
  <c r="G101" i="9"/>
  <c r="G98" i="9"/>
  <c r="G97" i="9"/>
  <c r="G94" i="9"/>
  <c r="G93" i="9"/>
  <c r="G90" i="9"/>
  <c r="G89" i="9"/>
  <c r="G86" i="9"/>
  <c r="G85" i="9"/>
  <c r="G82" i="9"/>
  <c r="G81" i="9"/>
  <c r="N81" i="9" s="1"/>
  <c r="G78" i="9"/>
  <c r="G77" i="9"/>
  <c r="G74" i="9"/>
  <c r="G73" i="9"/>
  <c r="F69" i="9"/>
  <c r="M66" i="9"/>
  <c r="M62" i="9"/>
  <c r="M58" i="9"/>
  <c r="M54" i="9"/>
  <c r="M50" i="9"/>
  <c r="M46" i="9"/>
  <c r="M42" i="9"/>
  <c r="M37" i="9"/>
  <c r="M33" i="9"/>
  <c r="M29" i="9"/>
  <c r="M25" i="9"/>
  <c r="M21" i="9"/>
  <c r="M17" i="9"/>
  <c r="M13" i="9"/>
  <c r="M9" i="9"/>
  <c r="M5" i="9"/>
  <c r="G192" i="9"/>
  <c r="G179" i="9"/>
  <c r="F163" i="9"/>
  <c r="G147" i="9"/>
  <c r="G139" i="9"/>
  <c r="G131" i="9"/>
  <c r="G123" i="9"/>
  <c r="G115" i="9"/>
  <c r="G107" i="9"/>
  <c r="G103" i="9"/>
  <c r="G99" i="9"/>
  <c r="G95" i="9"/>
  <c r="G91" i="9"/>
  <c r="G87" i="9"/>
  <c r="G83" i="9"/>
  <c r="G79" i="9"/>
  <c r="G75" i="9"/>
  <c r="M36" i="9"/>
  <c r="F35" i="9"/>
  <c r="M32" i="9"/>
  <c r="F31" i="9"/>
  <c r="M28" i="9"/>
  <c r="F27" i="9"/>
  <c r="M24" i="9"/>
  <c r="F23" i="9"/>
  <c r="M20" i="9"/>
  <c r="F19" i="9"/>
  <c r="M16" i="9"/>
  <c r="F15" i="9"/>
  <c r="M12" i="9"/>
  <c r="F11" i="9"/>
  <c r="M8" i="9"/>
  <c r="F7" i="9"/>
  <c r="M4" i="9"/>
  <c r="F3" i="9"/>
  <c r="M230" i="9"/>
  <c r="M198" i="9"/>
  <c r="F165" i="9"/>
  <c r="N165" i="9" s="1"/>
  <c r="F149" i="9"/>
  <c r="N149" i="9" s="1"/>
  <c r="F147" i="9"/>
  <c r="N147" i="9" s="1"/>
  <c r="F139" i="9"/>
  <c r="N139" i="9" s="1"/>
  <c r="F131" i="9"/>
  <c r="N131" i="9" s="1"/>
  <c r="F123" i="9"/>
  <c r="N123" i="9" s="1"/>
  <c r="F115" i="9"/>
  <c r="N115" i="9" s="1"/>
  <c r="F107" i="9"/>
  <c r="N107" i="9" s="1"/>
  <c r="F103" i="9"/>
  <c r="N103" i="9" s="1"/>
  <c r="F99" i="9"/>
  <c r="N99" i="9" s="1"/>
  <c r="F95" i="9"/>
  <c r="F91" i="9"/>
  <c r="N91" i="9" s="1"/>
  <c r="F87" i="9"/>
  <c r="N87" i="9" s="1"/>
  <c r="F83" i="9"/>
  <c r="N83" i="9" s="1"/>
  <c r="F79" i="9"/>
  <c r="N79" i="9" s="1"/>
  <c r="F75" i="9"/>
  <c r="N75" i="9" s="1"/>
  <c r="M71" i="9"/>
  <c r="M67" i="9"/>
  <c r="G37" i="9"/>
  <c r="G36" i="9"/>
  <c r="G33" i="9"/>
  <c r="G32" i="9"/>
  <c r="G29" i="9"/>
  <c r="G28" i="9"/>
  <c r="G25" i="9"/>
  <c r="G24" i="9"/>
  <c r="N24" i="9" s="1"/>
  <c r="G21" i="9"/>
  <c r="G20" i="9"/>
  <c r="G17" i="9"/>
  <c r="G16" i="9"/>
  <c r="N16" i="9" s="1"/>
  <c r="G13" i="9"/>
  <c r="G12" i="9"/>
  <c r="G9" i="9"/>
  <c r="G8" i="9"/>
  <c r="G5" i="9"/>
  <c r="G4" i="9"/>
  <c r="G187" i="9"/>
  <c r="G184" i="9"/>
  <c r="F173" i="9"/>
  <c r="N173" i="9" s="1"/>
  <c r="G135" i="9"/>
  <c r="G119" i="9"/>
  <c r="M104" i="9"/>
  <c r="M96" i="9"/>
  <c r="M88" i="9"/>
  <c r="M80" i="9"/>
  <c r="M72" i="9"/>
  <c r="F37" i="9"/>
  <c r="N37" i="9" s="1"/>
  <c r="F33" i="9"/>
  <c r="F29" i="9"/>
  <c r="F25" i="9"/>
  <c r="F21" i="9"/>
  <c r="N21" i="9" s="1"/>
  <c r="F17" i="9"/>
  <c r="F13" i="9"/>
  <c r="F9" i="9"/>
  <c r="F5" i="9"/>
  <c r="N5" i="9" s="1"/>
  <c r="M214" i="9"/>
  <c r="F171" i="9"/>
  <c r="F143" i="9"/>
  <c r="F127" i="9"/>
  <c r="F111" i="9"/>
  <c r="F102" i="9"/>
  <c r="F94" i="9"/>
  <c r="F86" i="9"/>
  <c r="N86" i="9" s="1"/>
  <c r="F78" i="9"/>
  <c r="M35" i="9"/>
  <c r="M31" i="9"/>
  <c r="M27" i="9"/>
  <c r="M23" i="9"/>
  <c r="M19" i="9"/>
  <c r="M15" i="9"/>
  <c r="M11" i="9"/>
  <c r="M7" i="9"/>
  <c r="M3" i="9"/>
  <c r="F157" i="9"/>
  <c r="G143" i="9"/>
  <c r="G111" i="9"/>
  <c r="F98" i="9"/>
  <c r="F82" i="9"/>
  <c r="F34" i="9"/>
  <c r="F26" i="9"/>
  <c r="F18" i="9"/>
  <c r="N18" i="9" s="1"/>
  <c r="F10" i="9"/>
  <c r="F2" i="9"/>
  <c r="F155" i="9"/>
  <c r="F119" i="9"/>
  <c r="N119" i="9" s="1"/>
  <c r="M92" i="9"/>
  <c r="M76" i="9"/>
  <c r="G34" i="9"/>
  <c r="G26" i="9"/>
  <c r="G18" i="9"/>
  <c r="G10" i="9"/>
  <c r="G2" i="9"/>
  <c r="F106" i="9"/>
  <c r="N106" i="9" s="1"/>
  <c r="F74" i="9"/>
  <c r="F30" i="9"/>
  <c r="F14" i="9"/>
  <c r="N14" i="9" s="1"/>
  <c r="M100" i="9"/>
  <c r="G30" i="9"/>
  <c r="G14" i="9"/>
  <c r="F90" i="9"/>
  <c r="G22" i="9"/>
  <c r="G246" i="9"/>
  <c r="F135" i="9"/>
  <c r="F22" i="9"/>
  <c r="G127" i="9"/>
  <c r="M84" i="9"/>
  <c r="F38" i="9"/>
  <c r="G6" i="9"/>
  <c r="F6" i="9"/>
  <c r="G38" i="9"/>
  <c r="G275" i="9"/>
  <c r="N275" i="9" s="1"/>
  <c r="F185" i="9"/>
  <c r="N185" i="9" s="1"/>
  <c r="G72" i="9"/>
  <c r="M68" i="9"/>
  <c r="F228" i="9"/>
  <c r="N228" i="9" s="1"/>
  <c r="G196" i="9"/>
  <c r="M145" i="9"/>
  <c r="N145" i="9" s="1"/>
  <c r="G137" i="9"/>
  <c r="N137" i="9" s="1"/>
  <c r="F129" i="9"/>
  <c r="N129" i="9" s="1"/>
  <c r="M113" i="9"/>
  <c r="N113" i="9" s="1"/>
  <c r="G259" i="9"/>
  <c r="N259" i="9" s="1"/>
  <c r="F153" i="9"/>
  <c r="N153" i="9" s="1"/>
  <c r="M60" i="9"/>
  <c r="G52" i="9"/>
  <c r="M181" i="9"/>
  <c r="G177" i="9"/>
  <c r="N177" i="9" s="1"/>
  <c r="M117" i="9"/>
  <c r="N117" i="9" s="1"/>
  <c r="F299" i="9"/>
  <c r="N299" i="9" s="1"/>
  <c r="M291" i="9"/>
  <c r="G56" i="9"/>
  <c r="N56" i="9" s="1"/>
  <c r="M212" i="9"/>
  <c r="N212" i="9" s="1"/>
  <c r="M161" i="9"/>
  <c r="F141" i="9"/>
  <c r="N141" i="9" s="1"/>
  <c r="F48" i="9"/>
  <c r="N48" i="9" s="1"/>
  <c r="F125" i="9"/>
  <c r="N125" i="9" s="1"/>
  <c r="I145" i="8"/>
  <c r="I144" i="8"/>
  <c r="I143" i="8"/>
  <c r="I141" i="8"/>
  <c r="I140" i="8"/>
  <c r="I139" i="8"/>
  <c r="I138" i="8"/>
  <c r="I137" i="8"/>
  <c r="I136" i="8"/>
  <c r="I135" i="8"/>
  <c r="I134" i="8"/>
  <c r="I133" i="8"/>
  <c r="I131" i="8"/>
  <c r="I130" i="8"/>
  <c r="I129" i="8"/>
  <c r="I127" i="8"/>
  <c r="I126" i="8"/>
  <c r="I125" i="8"/>
  <c r="I124" i="8"/>
  <c r="I123" i="8"/>
  <c r="I121" i="8"/>
  <c r="I120" i="8"/>
  <c r="I119" i="8"/>
  <c r="I118" i="8"/>
  <c r="I117" i="8"/>
  <c r="I115" i="8"/>
  <c r="I114" i="8"/>
  <c r="I113" i="8"/>
  <c r="I112" i="8"/>
  <c r="I111" i="8"/>
  <c r="I110" i="8"/>
  <c r="I109" i="8"/>
  <c r="I107" i="8"/>
  <c r="I106" i="8"/>
  <c r="I105" i="8"/>
  <c r="I45" i="8"/>
  <c r="I101" i="8"/>
  <c r="I97" i="8"/>
  <c r="I92" i="8"/>
  <c r="I88" i="8"/>
  <c r="I82" i="8"/>
  <c r="I78" i="8"/>
  <c r="I74" i="8"/>
  <c r="I48" i="8"/>
  <c r="I33" i="8"/>
  <c r="I31" i="8"/>
  <c r="I104" i="8"/>
  <c r="I100" i="8"/>
  <c r="I95" i="8"/>
  <c r="I91" i="8"/>
  <c r="I87" i="8"/>
  <c r="I81" i="8"/>
  <c r="I77" i="8"/>
  <c r="I73" i="8"/>
  <c r="I99" i="8"/>
  <c r="I90" i="8"/>
  <c r="I80" i="8"/>
  <c r="I65" i="8"/>
  <c r="I61" i="8"/>
  <c r="I57" i="8"/>
  <c r="I53" i="8"/>
  <c r="I102" i="8"/>
  <c r="I93" i="8"/>
  <c r="I84" i="8"/>
  <c r="I75" i="8"/>
  <c r="I70" i="8"/>
  <c r="I66" i="8"/>
  <c r="I62" i="8"/>
  <c r="I58" i="8"/>
  <c r="I54" i="8"/>
  <c r="I52" i="8"/>
  <c r="I50" i="8"/>
  <c r="I47" i="8"/>
  <c r="I34" i="8"/>
  <c r="I30" i="8"/>
  <c r="I29" i="8"/>
  <c r="I28" i="8"/>
  <c r="I26" i="8"/>
  <c r="I25" i="8"/>
  <c r="I24" i="8"/>
  <c r="I23" i="8"/>
  <c r="I22" i="8"/>
  <c r="I21" i="8"/>
  <c r="I20" i="8"/>
  <c r="I19" i="8"/>
  <c r="I18" i="8"/>
  <c r="I17" i="8"/>
  <c r="I16" i="8"/>
  <c r="I15" i="8"/>
  <c r="I14" i="8"/>
  <c r="I13" i="8"/>
  <c r="I12" i="8"/>
  <c r="I11" i="8"/>
  <c r="I10" i="8"/>
  <c r="I9" i="8"/>
  <c r="I8" i="8"/>
  <c r="I7" i="8"/>
  <c r="I6" i="8"/>
  <c r="I5" i="8"/>
  <c r="I4" i="8"/>
  <c r="I3" i="8"/>
  <c r="I94" i="8"/>
  <c r="I89" i="8"/>
  <c r="I76" i="8"/>
  <c r="I71" i="8"/>
  <c r="I64" i="8"/>
  <c r="I63" i="8"/>
  <c r="I56" i="8"/>
  <c r="I55" i="8"/>
  <c r="I85" i="8"/>
  <c r="I44" i="8"/>
  <c r="I42" i="8"/>
  <c r="I40" i="8"/>
  <c r="I38" i="8"/>
  <c r="I36" i="8"/>
  <c r="I79" i="8"/>
  <c r="I72" i="8"/>
  <c r="I69" i="8"/>
  <c r="I59" i="8"/>
  <c r="I67" i="8"/>
  <c r="I43" i="8"/>
  <c r="I41" i="8"/>
  <c r="I39" i="8"/>
  <c r="I37" i="8"/>
  <c r="I35" i="8"/>
  <c r="I103" i="8"/>
  <c r="I60" i="8"/>
  <c r="I98" i="8"/>
  <c r="E27" i="35"/>
  <c r="I27" i="35" s="1"/>
  <c r="K27" i="35" s="1"/>
  <c r="K46" i="35"/>
  <c r="I133" i="35"/>
  <c r="K133" i="35" s="1"/>
  <c r="E208" i="35"/>
  <c r="I208" i="35" s="1"/>
  <c r="K208" i="35" s="1"/>
  <c r="N74" i="9" l="1"/>
  <c r="N161" i="9"/>
  <c r="N291" i="9"/>
  <c r="N72" i="9"/>
  <c r="N67" i="9"/>
  <c r="N73" i="9"/>
  <c r="N224" i="9"/>
  <c r="N22" i="9"/>
  <c r="N90" i="9"/>
  <c r="N26" i="9"/>
  <c r="N78" i="9"/>
  <c r="N17" i="9"/>
  <c r="N33" i="9"/>
  <c r="N4" i="9"/>
  <c r="N20" i="9"/>
  <c r="N15" i="9"/>
  <c r="N31" i="9"/>
  <c r="N77" i="9"/>
  <c r="N85" i="9"/>
  <c r="N93" i="9"/>
  <c r="N101" i="9"/>
  <c r="N80" i="9"/>
  <c r="N104" i="9"/>
  <c r="N118" i="9"/>
  <c r="N134" i="9"/>
  <c r="N184" i="9"/>
  <c r="N183" i="9"/>
  <c r="N194" i="9"/>
  <c r="N226" i="9"/>
  <c r="N254" i="9"/>
  <c r="N52" i="9"/>
  <c r="N155" i="9"/>
  <c r="N36" i="9"/>
  <c r="N38" i="9"/>
  <c r="N30" i="9"/>
  <c r="N127" i="9"/>
  <c r="N8" i="9"/>
  <c r="N97" i="9"/>
  <c r="N122" i="9"/>
  <c r="N138" i="9"/>
  <c r="N235" i="9"/>
  <c r="N251" i="9"/>
  <c r="N187" i="9"/>
  <c r="N269" i="9"/>
  <c r="N285" i="9"/>
  <c r="N298" i="9"/>
  <c r="N204" i="9"/>
  <c r="N88" i="9"/>
  <c r="N111" i="9"/>
  <c r="N7" i="9"/>
  <c r="N23" i="9"/>
  <c r="N66" i="9"/>
  <c r="J36" i="35"/>
  <c r="K34" i="35"/>
  <c r="J31" i="35"/>
  <c r="K31" i="35"/>
  <c r="N34" i="9"/>
  <c r="N95" i="9"/>
  <c r="N69" i="9"/>
  <c r="N71" i="9"/>
  <c r="N198" i="9"/>
  <c r="N242" i="9"/>
  <c r="K26" i="35"/>
  <c r="J26" i="35"/>
  <c r="N196" i="9"/>
  <c r="N12" i="9"/>
  <c r="N10" i="9"/>
  <c r="N82" i="9"/>
  <c r="N157" i="9"/>
  <c r="N94" i="9"/>
  <c r="N143" i="9"/>
  <c r="N9" i="9"/>
  <c r="N25" i="9"/>
  <c r="N3" i="9"/>
  <c r="N11" i="9"/>
  <c r="N19" i="9"/>
  <c r="N27" i="9"/>
  <c r="N35" i="9"/>
  <c r="N163" i="9"/>
  <c r="N76" i="9"/>
  <c r="N84" i="9"/>
  <c r="N92" i="9"/>
  <c r="N100" i="9"/>
  <c r="N151" i="9"/>
  <c r="N42" i="9"/>
  <c r="N58" i="9"/>
  <c r="N110" i="9"/>
  <c r="N126" i="9"/>
  <c r="N142" i="9"/>
  <c r="N192" i="9"/>
  <c r="N239" i="9"/>
  <c r="N255" i="9"/>
  <c r="N191" i="9"/>
  <c r="N202" i="9"/>
  <c r="N218" i="9"/>
  <c r="N273" i="9"/>
  <c r="N289" i="9"/>
  <c r="N302" i="9"/>
  <c r="N246" i="9"/>
  <c r="N301" i="9"/>
  <c r="E45" i="35"/>
  <c r="I45" i="35" s="1"/>
  <c r="E75" i="29"/>
  <c r="E8" i="29"/>
  <c r="E53" i="29"/>
  <c r="H144" i="8"/>
  <c r="H141" i="8"/>
  <c r="H138" i="8"/>
  <c r="H134" i="8"/>
  <c r="H129" i="8"/>
  <c r="H124" i="8"/>
  <c r="H119" i="8"/>
  <c r="H114" i="8"/>
  <c r="H110" i="8"/>
  <c r="H105" i="8"/>
  <c r="H104" i="8"/>
  <c r="H103" i="8"/>
  <c r="H102" i="8"/>
  <c r="H101" i="8"/>
  <c r="H100" i="8"/>
  <c r="H99" i="8"/>
  <c r="H98" i="8"/>
  <c r="H97" i="8"/>
  <c r="H95" i="8"/>
  <c r="H94" i="8"/>
  <c r="H93" i="8"/>
  <c r="H92" i="8"/>
  <c r="H91" i="8"/>
  <c r="H90" i="8"/>
  <c r="H89" i="8"/>
  <c r="H88" i="8"/>
  <c r="H87" i="8"/>
  <c r="H85" i="8"/>
  <c r="H84" i="8"/>
  <c r="H82" i="8"/>
  <c r="H81" i="8"/>
  <c r="H80" i="8"/>
  <c r="H79" i="8"/>
  <c r="H78" i="8"/>
  <c r="H77" i="8"/>
  <c r="H76" i="8"/>
  <c r="H75" i="8"/>
  <c r="H74" i="8"/>
  <c r="H73" i="8"/>
  <c r="H139" i="8"/>
  <c r="H135" i="8"/>
  <c r="H130" i="8"/>
  <c r="H125" i="8"/>
  <c r="H120" i="8"/>
  <c r="H115" i="8"/>
  <c r="H111" i="8"/>
  <c r="H106" i="8"/>
  <c r="H52" i="8"/>
  <c r="H50" i="8"/>
  <c r="H48" i="8"/>
  <c r="H47" i="8"/>
  <c r="H140" i="8"/>
  <c r="H133" i="8"/>
  <c r="H131" i="8"/>
  <c r="H123" i="8"/>
  <c r="H121" i="8"/>
  <c r="H113" i="8"/>
  <c r="H112" i="8"/>
  <c r="H34" i="8"/>
  <c r="H136" i="8"/>
  <c r="H127" i="8"/>
  <c r="H117" i="8"/>
  <c r="H109" i="8"/>
  <c r="H70" i="8"/>
  <c r="H66" i="8"/>
  <c r="H62" i="8"/>
  <c r="H58" i="8"/>
  <c r="H54" i="8"/>
  <c r="H30" i="8"/>
  <c r="H29" i="8"/>
  <c r="H28" i="8"/>
  <c r="H26" i="8"/>
  <c r="H25" i="8"/>
  <c r="H24" i="8"/>
  <c r="H23" i="8"/>
  <c r="H22" i="8"/>
  <c r="H21" i="8"/>
  <c r="H20" i="8"/>
  <c r="H19" i="8"/>
  <c r="H18" i="8"/>
  <c r="H17" i="8"/>
  <c r="H16" i="8"/>
  <c r="H15" i="8"/>
  <c r="H14" i="8"/>
  <c r="H13" i="8"/>
  <c r="H12" i="8"/>
  <c r="H11" i="8"/>
  <c r="H10" i="8"/>
  <c r="H9" i="8"/>
  <c r="H8" i="8"/>
  <c r="H7" i="8"/>
  <c r="H6" i="8"/>
  <c r="H5" i="8"/>
  <c r="H4" i="8"/>
  <c r="H3" i="8"/>
  <c r="I287" i="10"/>
  <c r="I283" i="10"/>
  <c r="I279" i="10"/>
  <c r="I275" i="10"/>
  <c r="I271" i="10"/>
  <c r="I267" i="10"/>
  <c r="I263" i="10"/>
  <c r="I259" i="10"/>
  <c r="I255" i="10"/>
  <c r="I251" i="10"/>
  <c r="I247" i="10"/>
  <c r="I243" i="10"/>
  <c r="I239" i="10"/>
  <c r="H145" i="8"/>
  <c r="H71" i="8"/>
  <c r="H67" i="8"/>
  <c r="H63" i="8"/>
  <c r="H59" i="8"/>
  <c r="H55" i="8"/>
  <c r="H45" i="8"/>
  <c r="H44" i="8"/>
  <c r="H43" i="8"/>
  <c r="H42" i="8"/>
  <c r="H41" i="8"/>
  <c r="H40" i="8"/>
  <c r="H39" i="8"/>
  <c r="H38" i="8"/>
  <c r="H37" i="8"/>
  <c r="H36" i="8"/>
  <c r="H35" i="8"/>
  <c r="H33" i="8"/>
  <c r="I284" i="10"/>
  <c r="E30" i="29"/>
  <c r="H143" i="8"/>
  <c r="H126" i="8"/>
  <c r="H61" i="8"/>
  <c r="H53" i="8"/>
  <c r="I285" i="10"/>
  <c r="I282" i="10"/>
  <c r="I277" i="10"/>
  <c r="I274" i="10"/>
  <c r="I269" i="10"/>
  <c r="I266" i="10"/>
  <c r="I261" i="10"/>
  <c r="I258" i="10"/>
  <c r="I253" i="10"/>
  <c r="I250" i="10"/>
  <c r="I245" i="10"/>
  <c r="I242" i="10"/>
  <c r="I235" i="10"/>
  <c r="I231" i="10"/>
  <c r="I227" i="10"/>
  <c r="I223" i="10"/>
  <c r="I219" i="10"/>
  <c r="I215" i="10"/>
  <c r="I211" i="10"/>
  <c r="I207" i="10"/>
  <c r="I203" i="10"/>
  <c r="I199" i="10"/>
  <c r="I195" i="10"/>
  <c r="I191" i="10"/>
  <c r="I187" i="10"/>
  <c r="I183" i="10"/>
  <c r="I179" i="10"/>
  <c r="I175" i="10"/>
  <c r="I171" i="10"/>
  <c r="I167" i="10"/>
  <c r="I163" i="10"/>
  <c r="I159" i="10"/>
  <c r="I155" i="10"/>
  <c r="I151" i="10"/>
  <c r="I147" i="10"/>
  <c r="I143" i="10"/>
  <c r="I139" i="10"/>
  <c r="I135" i="10"/>
  <c r="I131" i="10"/>
  <c r="I127" i="10"/>
  <c r="I123" i="10"/>
  <c r="H137" i="8"/>
  <c r="H69" i="8"/>
  <c r="H60" i="8"/>
  <c r="I280" i="10"/>
  <c r="I272" i="10"/>
  <c r="I264" i="10"/>
  <c r="I256" i="10"/>
  <c r="I248" i="10"/>
  <c r="I240" i="10"/>
  <c r="I236" i="10"/>
  <c r="I232" i="10"/>
  <c r="I228" i="10"/>
  <c r="I224" i="10"/>
  <c r="I220" i="10"/>
  <c r="I216" i="10"/>
  <c r="I212" i="10"/>
  <c r="I208" i="10"/>
  <c r="I204" i="10"/>
  <c r="I200" i="10"/>
  <c r="I196" i="10"/>
  <c r="I192" i="10"/>
  <c r="I188" i="10"/>
  <c r="H107" i="8"/>
  <c r="H31" i="8"/>
  <c r="I276" i="10"/>
  <c r="I273" i="10"/>
  <c r="I260" i="10"/>
  <c r="I257" i="10"/>
  <c r="I244" i="10"/>
  <c r="I241" i="10"/>
  <c r="I180" i="10"/>
  <c r="I172" i="10"/>
  <c r="I164" i="10"/>
  <c r="I156" i="10"/>
  <c r="I148" i="10"/>
  <c r="I140" i="10"/>
  <c r="I132" i="10"/>
  <c r="I124" i="10"/>
  <c r="I119" i="10"/>
  <c r="I115" i="10"/>
  <c r="H57" i="8"/>
  <c r="H56" i="8"/>
  <c r="I270" i="10"/>
  <c r="I254" i="10"/>
  <c r="I237" i="10"/>
  <c r="I233" i="10"/>
  <c r="I229" i="10"/>
  <c r="I225" i="10"/>
  <c r="I221" i="10"/>
  <c r="I217" i="10"/>
  <c r="I213" i="10"/>
  <c r="I209" i="10"/>
  <c r="I205" i="10"/>
  <c r="I201" i="10"/>
  <c r="I197" i="10"/>
  <c r="I193" i="10"/>
  <c r="I189" i="10"/>
  <c r="I185" i="10"/>
  <c r="I182" i="10"/>
  <c r="I177" i="10"/>
  <c r="I174" i="10"/>
  <c r="I169" i="10"/>
  <c r="I166" i="10"/>
  <c r="I161" i="10"/>
  <c r="I158" i="10"/>
  <c r="I153" i="10"/>
  <c r="I150" i="10"/>
  <c r="I145" i="10"/>
  <c r="I142" i="10"/>
  <c r="I137" i="10"/>
  <c r="I134" i="10"/>
  <c r="I129" i="10"/>
  <c r="I126" i="10"/>
  <c r="I118" i="10"/>
  <c r="I114" i="10"/>
  <c r="I109" i="10"/>
  <c r="I105" i="10"/>
  <c r="I101" i="10"/>
  <c r="I97" i="10"/>
  <c r="I93" i="10"/>
  <c r="I89" i="10"/>
  <c r="I85" i="10"/>
  <c r="I81" i="10"/>
  <c r="I77" i="10"/>
  <c r="I73" i="10"/>
  <c r="I69" i="10"/>
  <c r="I65" i="10"/>
  <c r="I61" i="10"/>
  <c r="I57" i="10"/>
  <c r="I53" i="10"/>
  <c r="I49" i="10"/>
  <c r="I45" i="10"/>
  <c r="H65" i="8"/>
  <c r="I265" i="10"/>
  <c r="I252" i="10"/>
  <c r="I184" i="10"/>
  <c r="I181" i="10"/>
  <c r="I168" i="10"/>
  <c r="I165" i="10"/>
  <c r="I152" i="10"/>
  <c r="I149" i="10"/>
  <c r="I136" i="10"/>
  <c r="I133" i="10"/>
  <c r="I108" i="10"/>
  <c r="I103" i="10"/>
  <c r="I100" i="10"/>
  <c r="I95" i="10"/>
  <c r="I92" i="10"/>
  <c r="I87" i="10"/>
  <c r="I84" i="10"/>
  <c r="I79" i="10"/>
  <c r="I76" i="10"/>
  <c r="I71" i="10"/>
  <c r="I68" i="10"/>
  <c r="I63" i="10"/>
  <c r="I60" i="10"/>
  <c r="I55" i="10"/>
  <c r="I52" i="10"/>
  <c r="I47" i="10"/>
  <c r="I43" i="10"/>
  <c r="I39" i="10"/>
  <c r="I35" i="10"/>
  <c r="I31" i="10"/>
  <c r="I27" i="10"/>
  <c r="I23" i="10"/>
  <c r="I18" i="10"/>
  <c r="I14" i="10"/>
  <c r="I10" i="10"/>
  <c r="I6" i="10"/>
  <c r="I262" i="10"/>
  <c r="I234" i="10"/>
  <c r="I226" i="10"/>
  <c r="I218" i="10"/>
  <c r="I210" i="10"/>
  <c r="I202" i="10"/>
  <c r="I194" i="10"/>
  <c r="I186" i="10"/>
  <c r="I178" i="10"/>
  <c r="I162" i="10"/>
  <c r="I146" i="10"/>
  <c r="I130" i="10"/>
  <c r="I120" i="10"/>
  <c r="I116" i="10"/>
  <c r="I112" i="10"/>
  <c r="I111" i="10"/>
  <c r="I102" i="10"/>
  <c r="I94" i="10"/>
  <c r="I86" i="10"/>
  <c r="I78" i="10"/>
  <c r="I70" i="10"/>
  <c r="I62" i="10"/>
  <c r="I54" i="10"/>
  <c r="I46" i="10"/>
  <c r="I42" i="10"/>
  <c r="I38" i="10"/>
  <c r="I34" i="10"/>
  <c r="I30" i="10"/>
  <c r="I26" i="10"/>
  <c r="I22" i="10"/>
  <c r="I17" i="10"/>
  <c r="I13" i="10"/>
  <c r="I9" i="10"/>
  <c r="I5" i="10"/>
  <c r="H72" i="8"/>
  <c r="I281" i="10"/>
  <c r="I268" i="10"/>
  <c r="I249" i="10"/>
  <c r="I176" i="10"/>
  <c r="I173" i="10"/>
  <c r="I160" i="10"/>
  <c r="I157" i="10"/>
  <c r="I144" i="10"/>
  <c r="I141" i="10"/>
  <c r="I128" i="10"/>
  <c r="I125" i="10"/>
  <c r="I107" i="10"/>
  <c r="I104" i="10"/>
  <c r="I99" i="10"/>
  <c r="I96" i="10"/>
  <c r="I91" i="10"/>
  <c r="I88" i="10"/>
  <c r="I83" i="10"/>
  <c r="I80" i="10"/>
  <c r="I75" i="10"/>
  <c r="I72" i="10"/>
  <c r="I67" i="10"/>
  <c r="I64" i="10"/>
  <c r="I59" i="10"/>
  <c r="I56" i="10"/>
  <c r="I51" i="10"/>
  <c r="I48" i="10"/>
  <c r="I41" i="10"/>
  <c r="I37" i="10"/>
  <c r="I33" i="10"/>
  <c r="I29" i="10"/>
  <c r="I25" i="10"/>
  <c r="I21" i="10"/>
  <c r="I16" i="10"/>
  <c r="I12" i="10"/>
  <c r="I8" i="10"/>
  <c r="I4" i="10"/>
  <c r="I286" i="10"/>
  <c r="I238" i="10"/>
  <c r="I206" i="10"/>
  <c r="I170" i="10"/>
  <c r="I138" i="10"/>
  <c r="I113" i="10"/>
  <c r="I106" i="10"/>
  <c r="I98" i="10"/>
  <c r="I90" i="10"/>
  <c r="I82" i="10"/>
  <c r="I74" i="10"/>
  <c r="I66" i="10"/>
  <c r="I58" i="10"/>
  <c r="I50" i="10"/>
  <c r="I230" i="10"/>
  <c r="I198" i="10"/>
  <c r="I117" i="10"/>
  <c r="I190" i="10"/>
  <c r="I122" i="10"/>
  <c r="E75" i="35"/>
  <c r="I75" i="35" s="1"/>
  <c r="K75" i="35" s="1"/>
  <c r="H118" i="8"/>
  <c r="I222" i="10"/>
  <c r="I278" i="10"/>
  <c r="I40" i="10"/>
  <c r="I32" i="10"/>
  <c r="I24" i="10"/>
  <c r="I15" i="10"/>
  <c r="I7" i="10"/>
  <c r="I154" i="10"/>
  <c r="I44" i="10"/>
  <c r="I36" i="10"/>
  <c r="I28" i="10"/>
  <c r="I11" i="10"/>
  <c r="I214" i="10"/>
  <c r="H64" i="8"/>
  <c r="I246" i="10"/>
  <c r="I20" i="10"/>
  <c r="N60" i="9"/>
  <c r="N105" i="9"/>
  <c r="E82" i="29"/>
  <c r="I82" i="29" s="1"/>
  <c r="K82" i="29" s="1"/>
  <c r="E37" i="29"/>
  <c r="I37" i="29" s="1"/>
  <c r="K37" i="29" s="1"/>
  <c r="E15" i="29"/>
  <c r="I15" i="29" s="1"/>
  <c r="K15" i="29" s="1"/>
  <c r="E60" i="29"/>
  <c r="I60" i="29" s="1"/>
  <c r="K60" i="29" s="1"/>
  <c r="Q144" i="8"/>
  <c r="Q141" i="8"/>
  <c r="Q136" i="8"/>
  <c r="Q131" i="8"/>
  <c r="Q126" i="8"/>
  <c r="Q121" i="8"/>
  <c r="Q117" i="8"/>
  <c r="Q112" i="8"/>
  <c r="Q107" i="8"/>
  <c r="Q104" i="8"/>
  <c r="Q103" i="8"/>
  <c r="Q102" i="8"/>
  <c r="Q101" i="8"/>
  <c r="Q100" i="8"/>
  <c r="Q99" i="8"/>
  <c r="Q98" i="8"/>
  <c r="Q97" i="8"/>
  <c r="Q95" i="8"/>
  <c r="Q94" i="8"/>
  <c r="Q93" i="8"/>
  <c r="Q92" i="8"/>
  <c r="Q91" i="8"/>
  <c r="Q90" i="8"/>
  <c r="Q89" i="8"/>
  <c r="Q88" i="8"/>
  <c r="Q87" i="8"/>
  <c r="Q85" i="8"/>
  <c r="Q84" i="8"/>
  <c r="Q82" i="8"/>
  <c r="Q81" i="8"/>
  <c r="Q80" i="8"/>
  <c r="Q79" i="8"/>
  <c r="Q78" i="8"/>
  <c r="Q77" i="8"/>
  <c r="Q76" i="8"/>
  <c r="Q75" i="8"/>
  <c r="Q74" i="8"/>
  <c r="Q73" i="8"/>
  <c r="Q137" i="8"/>
  <c r="Q133" i="8"/>
  <c r="Q127" i="8"/>
  <c r="Q123" i="8"/>
  <c r="Q118" i="8"/>
  <c r="Q113" i="8"/>
  <c r="Q109" i="8"/>
  <c r="Q50" i="8"/>
  <c r="Q48" i="8"/>
  <c r="Q47" i="8"/>
  <c r="Q45" i="8"/>
  <c r="Q145" i="8"/>
  <c r="Q134" i="8"/>
  <c r="Q124" i="8"/>
  <c r="Q114" i="8"/>
  <c r="Q105" i="8"/>
  <c r="Q33" i="8"/>
  <c r="Q143" i="8"/>
  <c r="Q135" i="8"/>
  <c r="Q125" i="8"/>
  <c r="Q115" i="8"/>
  <c r="Q106" i="8"/>
  <c r="Q72" i="8"/>
  <c r="Q71" i="8"/>
  <c r="Q70" i="8"/>
  <c r="Q69" i="8"/>
  <c r="Q138" i="8"/>
  <c r="Q130" i="8"/>
  <c r="Q119" i="8"/>
  <c r="Q111" i="8"/>
  <c r="Q64" i="8"/>
  <c r="Q60" i="8"/>
  <c r="Q56" i="8"/>
  <c r="Q52" i="8"/>
  <c r="Q44" i="8"/>
  <c r="Q43" i="8"/>
  <c r="Q42" i="8"/>
  <c r="Q41" i="8"/>
  <c r="Q40" i="8"/>
  <c r="Q39" i="8"/>
  <c r="Q38" i="8"/>
  <c r="Q37" i="8"/>
  <c r="Q36" i="8"/>
  <c r="Q35" i="8"/>
  <c r="Q34" i="8"/>
  <c r="Q31" i="8"/>
  <c r="Q30" i="8"/>
  <c r="Q29" i="8"/>
  <c r="Q28" i="8"/>
  <c r="Q26" i="8"/>
  <c r="Q25" i="8"/>
  <c r="Q24" i="8"/>
  <c r="Q23" i="8"/>
  <c r="Q22" i="8"/>
  <c r="Q21" i="8"/>
  <c r="Q20" i="8"/>
  <c r="Q19" i="8"/>
  <c r="Q18" i="8"/>
  <c r="Q17" i="8"/>
  <c r="Q16" i="8"/>
  <c r="Q15" i="8"/>
  <c r="Q14" i="8"/>
  <c r="Q13" i="8"/>
  <c r="Q12" i="8"/>
  <c r="Q11" i="8"/>
  <c r="Q10" i="8"/>
  <c r="Q9" i="8"/>
  <c r="Q8" i="8"/>
  <c r="Q7" i="8"/>
  <c r="Q6" i="8"/>
  <c r="Q5" i="8"/>
  <c r="Q4" i="8"/>
  <c r="Q3" i="8"/>
  <c r="O285" i="10"/>
  <c r="O281" i="10"/>
  <c r="O277" i="10"/>
  <c r="O273" i="10"/>
  <c r="O269" i="10"/>
  <c r="O265" i="10"/>
  <c r="O261" i="10"/>
  <c r="O257" i="10"/>
  <c r="O253" i="10"/>
  <c r="O249" i="10"/>
  <c r="O245" i="10"/>
  <c r="O241" i="10"/>
  <c r="Q65" i="8"/>
  <c r="Q61" i="8"/>
  <c r="Q57" i="8"/>
  <c r="Q53" i="8"/>
  <c r="O286" i="10"/>
  <c r="Q140" i="8"/>
  <c r="Q129" i="8"/>
  <c r="Q63" i="8"/>
  <c r="Q62" i="8"/>
  <c r="Q55" i="8"/>
  <c r="Q54" i="8"/>
  <c r="O287" i="10"/>
  <c r="O283" i="10"/>
  <c r="O279" i="10"/>
  <c r="O276" i="10"/>
  <c r="O271" i="10"/>
  <c r="O268" i="10"/>
  <c r="O263" i="10"/>
  <c r="O260" i="10"/>
  <c r="O255" i="10"/>
  <c r="O252" i="10"/>
  <c r="O247" i="10"/>
  <c r="O244" i="10"/>
  <c r="O239" i="10"/>
  <c r="O237" i="10"/>
  <c r="O233" i="10"/>
  <c r="O229" i="10"/>
  <c r="O225" i="10"/>
  <c r="O221" i="10"/>
  <c r="O217" i="10"/>
  <c r="O213" i="10"/>
  <c r="O209" i="10"/>
  <c r="O205" i="10"/>
  <c r="O201" i="10"/>
  <c r="O197" i="10"/>
  <c r="O193" i="10"/>
  <c r="O189" i="10"/>
  <c r="O185" i="10"/>
  <c r="O181" i="10"/>
  <c r="O177" i="10"/>
  <c r="O173" i="10"/>
  <c r="O169" i="10"/>
  <c r="O165" i="10"/>
  <c r="O161" i="10"/>
  <c r="O157" i="10"/>
  <c r="O153" i="10"/>
  <c r="O149" i="10"/>
  <c r="O145" i="10"/>
  <c r="O141" i="10"/>
  <c r="O137" i="10"/>
  <c r="O133" i="10"/>
  <c r="O129" i="10"/>
  <c r="O125" i="10"/>
  <c r="Q139" i="8"/>
  <c r="O282" i="10"/>
  <c r="O274" i="10"/>
  <c r="O266" i="10"/>
  <c r="O258" i="10"/>
  <c r="O250" i="10"/>
  <c r="O242" i="10"/>
  <c r="O238" i="10"/>
  <c r="O234" i="10"/>
  <c r="O230" i="10"/>
  <c r="O226" i="10"/>
  <c r="O222" i="10"/>
  <c r="O218" i="10"/>
  <c r="O214" i="10"/>
  <c r="O210" i="10"/>
  <c r="O206" i="10"/>
  <c r="O202" i="10"/>
  <c r="O198" i="10"/>
  <c r="O194" i="10"/>
  <c r="O190" i="10"/>
  <c r="O186" i="10"/>
  <c r="Q110" i="8"/>
  <c r="O182" i="10"/>
  <c r="O174" i="10"/>
  <c r="O166" i="10"/>
  <c r="O158" i="10"/>
  <c r="O150" i="10"/>
  <c r="O142" i="10"/>
  <c r="O134" i="10"/>
  <c r="O126" i="10"/>
  <c r="O117" i="10"/>
  <c r="O113" i="10"/>
  <c r="Q66" i="8"/>
  <c r="Q59" i="8"/>
  <c r="O284" i="10"/>
  <c r="O275" i="10"/>
  <c r="O272" i="10"/>
  <c r="O270" i="10"/>
  <c r="O259" i="10"/>
  <c r="O256" i="10"/>
  <c r="O254" i="10"/>
  <c r="O243" i="10"/>
  <c r="O240" i="10"/>
  <c r="O235" i="10"/>
  <c r="O231" i="10"/>
  <c r="O227" i="10"/>
  <c r="O223" i="10"/>
  <c r="O219" i="10"/>
  <c r="O215" i="10"/>
  <c r="O211" i="10"/>
  <c r="O207" i="10"/>
  <c r="O203" i="10"/>
  <c r="O199" i="10"/>
  <c r="O195" i="10"/>
  <c r="O191" i="10"/>
  <c r="O187" i="10"/>
  <c r="O184" i="10"/>
  <c r="O179" i="10"/>
  <c r="O176" i="10"/>
  <c r="O171" i="10"/>
  <c r="O168" i="10"/>
  <c r="O163" i="10"/>
  <c r="O160" i="10"/>
  <c r="O155" i="10"/>
  <c r="O152" i="10"/>
  <c r="O147" i="10"/>
  <c r="O144" i="10"/>
  <c r="O139" i="10"/>
  <c r="O136" i="10"/>
  <c r="O131" i="10"/>
  <c r="O128" i="10"/>
  <c r="O123" i="10"/>
  <c r="O120" i="10"/>
  <c r="O116" i="10"/>
  <c r="O112" i="10"/>
  <c r="O107" i="10"/>
  <c r="O103" i="10"/>
  <c r="O99" i="10"/>
  <c r="O95" i="10"/>
  <c r="O91" i="10"/>
  <c r="O87" i="10"/>
  <c r="O83" i="10"/>
  <c r="O79" i="10"/>
  <c r="O75" i="10"/>
  <c r="O71" i="10"/>
  <c r="O67" i="10"/>
  <c r="O63" i="10"/>
  <c r="O59" i="10"/>
  <c r="O55" i="10"/>
  <c r="O51" i="10"/>
  <c r="O47" i="10"/>
  <c r="Q120" i="8"/>
  <c r="Q67" i="8"/>
  <c r="O278" i="10"/>
  <c r="O246" i="10"/>
  <c r="O111" i="10"/>
  <c r="O105" i="10"/>
  <c r="O102" i="10"/>
  <c r="O97" i="10"/>
  <c r="O94" i="10"/>
  <c r="O89" i="10"/>
  <c r="O86" i="10"/>
  <c r="O81" i="10"/>
  <c r="O78" i="10"/>
  <c r="O73" i="10"/>
  <c r="O70" i="10"/>
  <c r="O65" i="10"/>
  <c r="O62" i="10"/>
  <c r="O57" i="10"/>
  <c r="O54" i="10"/>
  <c r="O49" i="10"/>
  <c r="O46" i="10"/>
  <c r="O41" i="10"/>
  <c r="O37" i="10"/>
  <c r="O33" i="10"/>
  <c r="O29" i="10"/>
  <c r="O25" i="10"/>
  <c r="O21" i="10"/>
  <c r="O16" i="10"/>
  <c r="O12" i="10"/>
  <c r="O8" i="10"/>
  <c r="O4" i="10"/>
  <c r="O280" i="10"/>
  <c r="O267" i="10"/>
  <c r="O248" i="10"/>
  <c r="O236" i="10"/>
  <c r="O228" i="10"/>
  <c r="O220" i="10"/>
  <c r="O212" i="10"/>
  <c r="O204" i="10"/>
  <c r="O196" i="10"/>
  <c r="O188" i="10"/>
  <c r="O183" i="10"/>
  <c r="O180" i="10"/>
  <c r="O178" i="10"/>
  <c r="O167" i="10"/>
  <c r="O164" i="10"/>
  <c r="O162" i="10"/>
  <c r="O151" i="10"/>
  <c r="O148" i="10"/>
  <c r="O146" i="10"/>
  <c r="O135" i="10"/>
  <c r="O132" i="10"/>
  <c r="O130" i="10"/>
  <c r="O118" i="10"/>
  <c r="O114" i="10"/>
  <c r="O104" i="10"/>
  <c r="O96" i="10"/>
  <c r="O88" i="10"/>
  <c r="O80" i="10"/>
  <c r="O72" i="10"/>
  <c r="O64" i="10"/>
  <c r="O56" i="10"/>
  <c r="O48" i="10"/>
  <c r="O44" i="10"/>
  <c r="O40" i="10"/>
  <c r="O36" i="10"/>
  <c r="O32" i="10"/>
  <c r="O28" i="10"/>
  <c r="O24" i="10"/>
  <c r="O20" i="10"/>
  <c r="O15" i="10"/>
  <c r="O11" i="10"/>
  <c r="O7" i="10"/>
  <c r="O262" i="10"/>
  <c r="O109" i="10"/>
  <c r="O106" i="10"/>
  <c r="O101" i="10"/>
  <c r="O98" i="10"/>
  <c r="O93" i="10"/>
  <c r="O90" i="10"/>
  <c r="O85" i="10"/>
  <c r="O82" i="10"/>
  <c r="O77" i="10"/>
  <c r="O74" i="10"/>
  <c r="O69" i="10"/>
  <c r="O66" i="10"/>
  <c r="O61" i="10"/>
  <c r="O58" i="10"/>
  <c r="O53" i="10"/>
  <c r="O50" i="10"/>
  <c r="O45" i="10"/>
  <c r="O43" i="10"/>
  <c r="O39" i="10"/>
  <c r="O35" i="10"/>
  <c r="O31" i="10"/>
  <c r="O27" i="10"/>
  <c r="O23" i="10"/>
  <c r="O18" i="10"/>
  <c r="O14" i="10"/>
  <c r="O10" i="10"/>
  <c r="O6" i="10"/>
  <c r="O264" i="10"/>
  <c r="O251" i="10"/>
  <c r="O216" i="10"/>
  <c r="O172" i="10"/>
  <c r="O159" i="10"/>
  <c r="O140" i="10"/>
  <c r="O127" i="10"/>
  <c r="O115" i="10"/>
  <c r="O208" i="10"/>
  <c r="O170" i="10"/>
  <c r="O138" i="10"/>
  <c r="O119" i="10"/>
  <c r="O124" i="10"/>
  <c r="O100" i="10"/>
  <c r="O84" i="10"/>
  <c r="O68" i="10"/>
  <c r="E101" i="35"/>
  <c r="I101" i="35" s="1"/>
  <c r="K101" i="35" s="1"/>
  <c r="O108" i="10"/>
  <c r="O52" i="10"/>
  <c r="O200" i="10"/>
  <c r="O192" i="10"/>
  <c r="O175" i="10"/>
  <c r="O122" i="10"/>
  <c r="O42" i="10"/>
  <c r="O34" i="10"/>
  <c r="O26" i="10"/>
  <c r="O17" i="10"/>
  <c r="O9" i="10"/>
  <c r="O156" i="10"/>
  <c r="O92" i="10"/>
  <c r="O76" i="10"/>
  <c r="Q58" i="8"/>
  <c r="O143" i="10"/>
  <c r="O232" i="10"/>
  <c r="O224" i="10"/>
  <c r="O154" i="10"/>
  <c r="O60" i="10"/>
  <c r="O30" i="10"/>
  <c r="O13" i="10"/>
  <c r="O38" i="10"/>
  <c r="O22" i="10"/>
  <c r="O5" i="10"/>
  <c r="E80" i="35"/>
  <c r="I80" i="35" s="1"/>
  <c r="K80" i="35" s="1"/>
  <c r="J33" i="35"/>
  <c r="K33" i="35"/>
  <c r="N50" i="9"/>
  <c r="N210" i="9"/>
  <c r="N238" i="9"/>
  <c r="N28" i="9"/>
  <c r="N135" i="9"/>
  <c r="N2" i="9"/>
  <c r="N175" i="9"/>
  <c r="N54" i="9"/>
  <c r="N108" i="9"/>
  <c r="N140" i="9"/>
  <c r="N160" i="9"/>
  <c r="N176" i="9"/>
  <c r="N188" i="9"/>
  <c r="N214" i="9"/>
  <c r="N230" i="9"/>
  <c r="L24" i="35"/>
  <c r="K156" i="35" s="1"/>
  <c r="L157" i="35" s="1"/>
  <c r="N6" i="9"/>
  <c r="N98" i="9"/>
  <c r="N102" i="9"/>
  <c r="N171" i="9"/>
  <c r="N13" i="9"/>
  <c r="N29" i="9"/>
  <c r="N159" i="9"/>
  <c r="N46" i="9"/>
  <c r="N62" i="9"/>
  <c r="N116" i="9"/>
  <c r="N148" i="9"/>
  <c r="N164" i="9"/>
  <c r="N114" i="9"/>
  <c r="N130" i="9"/>
  <c r="N146" i="9"/>
  <c r="N180" i="9"/>
  <c r="N243" i="9"/>
  <c r="N179" i="9"/>
  <c r="N244" i="9"/>
  <c r="N206" i="9"/>
  <c r="N222" i="9"/>
  <c r="N261" i="9"/>
  <c r="N277" i="9"/>
  <c r="N293" i="9"/>
  <c r="N234" i="9"/>
  <c r="N250" i="9"/>
  <c r="N181" i="9"/>
  <c r="N89" i="9"/>
  <c r="J32" i="35"/>
  <c r="K32" i="35"/>
  <c r="Y7" i="10" l="1"/>
  <c r="Y40" i="10"/>
  <c r="L90" i="35"/>
  <c r="Y141" i="10"/>
  <c r="Y173" i="10"/>
  <c r="Y46" i="10"/>
  <c r="Y78" i="10"/>
  <c r="Y111" i="10"/>
  <c r="Y130" i="10"/>
  <c r="Y6" i="10"/>
  <c r="Y23" i="10"/>
  <c r="Y39" i="10"/>
  <c r="Y142" i="10"/>
  <c r="Y174" i="10"/>
  <c r="Y189" i="10"/>
  <c r="Y205" i="10"/>
  <c r="Y221" i="10"/>
  <c r="Y237" i="10"/>
  <c r="Y167" i="10"/>
  <c r="Y266" i="10"/>
  <c r="K231" i="35"/>
  <c r="L232" i="35" s="1"/>
  <c r="Y246" i="10"/>
  <c r="Y28" i="10"/>
  <c r="Y198" i="10"/>
  <c r="Y170" i="10"/>
  <c r="Y4" i="10"/>
  <c r="Y21" i="10"/>
  <c r="Y37" i="10"/>
  <c r="Y72" i="10"/>
  <c r="Y104" i="10"/>
  <c r="Y13" i="10"/>
  <c r="Y30" i="10"/>
  <c r="Y149" i="10"/>
  <c r="Y181" i="10"/>
  <c r="Y126" i="10"/>
  <c r="Y158" i="10"/>
  <c r="Y132" i="10"/>
  <c r="Y244" i="10"/>
  <c r="Y276" i="10"/>
  <c r="Y224" i="10"/>
  <c r="Y240" i="10"/>
  <c r="Y135" i="10"/>
  <c r="Y151" i="10"/>
  <c r="Y250" i="10"/>
  <c r="Y282" i="10"/>
  <c r="Y66" i="10"/>
  <c r="Y98" i="10"/>
  <c r="Y56" i="10"/>
  <c r="Y57" i="10"/>
  <c r="Y89" i="10"/>
  <c r="Y164" i="10"/>
  <c r="Y183" i="10"/>
  <c r="Y263" i="10"/>
  <c r="Y20" i="10"/>
  <c r="Y11" i="10"/>
  <c r="Y154" i="10"/>
  <c r="Y32" i="10"/>
  <c r="Y117" i="10"/>
  <c r="Y58" i="10"/>
  <c r="Y90" i="10"/>
  <c r="Y138" i="10"/>
  <c r="Y286" i="10"/>
  <c r="Y16" i="10"/>
  <c r="Y33" i="10"/>
  <c r="Y51" i="10"/>
  <c r="Y67" i="10"/>
  <c r="Y83" i="10"/>
  <c r="Y99" i="10"/>
  <c r="Y128" i="10"/>
  <c r="Y160" i="10"/>
  <c r="Y268" i="10"/>
  <c r="Y9" i="10"/>
  <c r="Y26" i="10"/>
  <c r="Y42" i="10"/>
  <c r="Y70" i="10"/>
  <c r="Y102" i="10"/>
  <c r="Y120" i="10"/>
  <c r="Y178" i="10"/>
  <c r="Y210" i="10"/>
  <c r="Y262" i="10"/>
  <c r="Y18" i="10"/>
  <c r="Y35" i="10"/>
  <c r="Y52" i="10"/>
  <c r="Y68" i="10"/>
  <c r="Y84" i="10"/>
  <c r="Y100" i="10"/>
  <c r="Y136" i="10"/>
  <c r="Y168" i="10"/>
  <c r="Y265" i="10"/>
  <c r="Y53" i="10"/>
  <c r="Y69" i="10"/>
  <c r="Y85" i="10"/>
  <c r="Y101" i="10"/>
  <c r="Y118" i="10"/>
  <c r="Y137" i="10"/>
  <c r="Y153" i="10"/>
  <c r="Y169" i="10"/>
  <c r="Y185" i="10"/>
  <c r="Y201" i="10"/>
  <c r="Y217" i="10"/>
  <c r="Y233" i="10"/>
  <c r="Y124" i="10"/>
  <c r="Y156" i="10"/>
  <c r="Y241" i="10"/>
  <c r="Y273" i="10"/>
  <c r="Y188" i="10"/>
  <c r="Y204" i="10"/>
  <c r="Y220" i="10"/>
  <c r="Y236" i="10"/>
  <c r="Y264" i="10"/>
  <c r="Y131" i="10"/>
  <c r="Y147" i="10"/>
  <c r="Y163" i="10"/>
  <c r="Y179" i="10"/>
  <c r="Y195" i="10"/>
  <c r="Y211" i="10"/>
  <c r="Y227" i="10"/>
  <c r="Y245" i="10"/>
  <c r="Y261" i="10"/>
  <c r="Y277" i="10"/>
  <c r="Y284" i="10"/>
  <c r="Y243" i="10"/>
  <c r="Y259" i="10"/>
  <c r="Y275" i="10"/>
  <c r="I8" i="29"/>
  <c r="E9" i="29"/>
  <c r="L42" i="35"/>
  <c r="Y73" i="10"/>
  <c r="Y105" i="10"/>
  <c r="Y199" i="10"/>
  <c r="Y247" i="10"/>
  <c r="Y36" i="10"/>
  <c r="Y15" i="10"/>
  <c r="Y278" i="10"/>
  <c r="Y122" i="10"/>
  <c r="Y230" i="10"/>
  <c r="Y74" i="10"/>
  <c r="Y106" i="10"/>
  <c r="Y206" i="10"/>
  <c r="Y8" i="10"/>
  <c r="Y25" i="10"/>
  <c r="Y41" i="10"/>
  <c r="Y59" i="10"/>
  <c r="Y75" i="10"/>
  <c r="Y91" i="10"/>
  <c r="Y107" i="10"/>
  <c r="Y144" i="10"/>
  <c r="Y176" i="10"/>
  <c r="Y17" i="10"/>
  <c r="Y34" i="10"/>
  <c r="Y54" i="10"/>
  <c r="Y86" i="10"/>
  <c r="Y112" i="10"/>
  <c r="Y146" i="10"/>
  <c r="Y194" i="10"/>
  <c r="Y226" i="10"/>
  <c r="Y10" i="10"/>
  <c r="Y27" i="10"/>
  <c r="Y43" i="10"/>
  <c r="Y60" i="10"/>
  <c r="Y76" i="10"/>
  <c r="Y92" i="10"/>
  <c r="Y108" i="10"/>
  <c r="Y152" i="10"/>
  <c r="Y184" i="10"/>
  <c r="Y45" i="10"/>
  <c r="Y61" i="10"/>
  <c r="Y77" i="10"/>
  <c r="Y93" i="10"/>
  <c r="Y109" i="10"/>
  <c r="Y129" i="10"/>
  <c r="Y145" i="10"/>
  <c r="Y161" i="10"/>
  <c r="Y177" i="10"/>
  <c r="Y193" i="10"/>
  <c r="Y209" i="10"/>
  <c r="Y225" i="10"/>
  <c r="Y254" i="10"/>
  <c r="Y115" i="10"/>
  <c r="Y140" i="10"/>
  <c r="Y172" i="10"/>
  <c r="Y257" i="10"/>
  <c r="Y196" i="10"/>
  <c r="Y212" i="10"/>
  <c r="Y228" i="10"/>
  <c r="Y248" i="10"/>
  <c r="Y280" i="10"/>
  <c r="Y123" i="10"/>
  <c r="Y139" i="10"/>
  <c r="Y155" i="10"/>
  <c r="Y171" i="10"/>
  <c r="Y187" i="10"/>
  <c r="Y203" i="10"/>
  <c r="Y219" i="10"/>
  <c r="Y235" i="10"/>
  <c r="Y253" i="10"/>
  <c r="Y269" i="10"/>
  <c r="Y285" i="10"/>
  <c r="Y251" i="10"/>
  <c r="Y267" i="10"/>
  <c r="Y283" i="10"/>
  <c r="J47" i="35"/>
  <c r="K45" i="35"/>
  <c r="L70" i="35" s="1"/>
  <c r="Y88" i="10"/>
  <c r="Y281" i="10"/>
  <c r="Y186" i="10"/>
  <c r="Y218" i="10"/>
  <c r="Y55" i="10"/>
  <c r="Y71" i="10"/>
  <c r="Y87" i="10"/>
  <c r="Y103" i="10"/>
  <c r="Y192" i="10"/>
  <c r="Y208" i="10"/>
  <c r="Y272" i="10"/>
  <c r="Y215" i="10"/>
  <c r="Y231" i="10"/>
  <c r="Y279" i="10"/>
  <c r="I75" i="29"/>
  <c r="E76" i="29"/>
  <c r="B56" i="20"/>
  <c r="E56" i="20" s="1"/>
  <c r="E60" i="20" s="1"/>
  <c r="C38" i="20"/>
  <c r="E38" i="20" s="1"/>
  <c r="B11" i="17"/>
  <c r="E11" i="17" s="1"/>
  <c r="B26" i="16"/>
  <c r="E26" i="16" s="1"/>
  <c r="K112" i="35"/>
  <c r="L113" i="35" s="1"/>
  <c r="K135" i="35"/>
  <c r="L136" i="35" s="1"/>
  <c r="K210" i="35"/>
  <c r="L211" i="35" s="1"/>
  <c r="Y214" i="10"/>
  <c r="Y44" i="10"/>
  <c r="Y24" i="10"/>
  <c r="Y222" i="10"/>
  <c r="Y190" i="10"/>
  <c r="Y50" i="10"/>
  <c r="Y82" i="10"/>
  <c r="Y113" i="10"/>
  <c r="Y238" i="10"/>
  <c r="Y12" i="10"/>
  <c r="Y29" i="10"/>
  <c r="Y48" i="10"/>
  <c r="Y64" i="10"/>
  <c r="Y80" i="10"/>
  <c r="Y96" i="10"/>
  <c r="Y125" i="10"/>
  <c r="Y157" i="10"/>
  <c r="Y249" i="10"/>
  <c r="Y5" i="10"/>
  <c r="Y22" i="10"/>
  <c r="Y38" i="10"/>
  <c r="Y62" i="10"/>
  <c r="Y94" i="10"/>
  <c r="Y116" i="10"/>
  <c r="Y162" i="10"/>
  <c r="Y202" i="10"/>
  <c r="Y234" i="10"/>
  <c r="Y14" i="10"/>
  <c r="Y31" i="10"/>
  <c r="Y47" i="10"/>
  <c r="Y63" i="10"/>
  <c r="Y79" i="10"/>
  <c r="Y95" i="10"/>
  <c r="Y133" i="10"/>
  <c r="Y165" i="10"/>
  <c r="Y252" i="10"/>
  <c r="Y49" i="10"/>
  <c r="Y65" i="10"/>
  <c r="Y81" i="10"/>
  <c r="Y97" i="10"/>
  <c r="Y114" i="10"/>
  <c r="Y134" i="10"/>
  <c r="Y150" i="10"/>
  <c r="Y166" i="10"/>
  <c r="Y182" i="10"/>
  <c r="Y197" i="10"/>
  <c r="Y213" i="10"/>
  <c r="Y229" i="10"/>
  <c r="Y270" i="10"/>
  <c r="Y119" i="10"/>
  <c r="Y148" i="10"/>
  <c r="Y180" i="10"/>
  <c r="Y260" i="10"/>
  <c r="Y200" i="10"/>
  <c r="Y216" i="10"/>
  <c r="Y232" i="10"/>
  <c r="Y256" i="10"/>
  <c r="Y127" i="10"/>
  <c r="Y143" i="10"/>
  <c r="Y159" i="10"/>
  <c r="Y175" i="10"/>
  <c r="Y191" i="10"/>
  <c r="Y207" i="10"/>
  <c r="Y223" i="10"/>
  <c r="Y242" i="10"/>
  <c r="Y258" i="10"/>
  <c r="Y274" i="10"/>
  <c r="I30" i="29"/>
  <c r="E31" i="29"/>
  <c r="Y239" i="10"/>
  <c r="Y255" i="10"/>
  <c r="Y271" i="10"/>
  <c r="Y287" i="10"/>
  <c r="I53" i="29"/>
  <c r="E54" i="29"/>
  <c r="B29" i="16" l="1"/>
  <c r="B14" i="17"/>
  <c r="E14" i="17" s="1"/>
  <c r="F14" i="17" s="1"/>
  <c r="E115" i="35"/>
  <c r="I115" i="35" s="1"/>
  <c r="K115" i="35" s="1"/>
  <c r="L115" i="35" s="1"/>
  <c r="K53" i="29"/>
  <c r="K70" i="29" s="1"/>
  <c r="L70" i="29" s="1"/>
  <c r="J54" i="29"/>
  <c r="K75" i="29"/>
  <c r="K92" i="29" s="1"/>
  <c r="L92" i="29" s="1"/>
  <c r="J76" i="29"/>
  <c r="K30" i="29"/>
  <c r="K47" i="29" s="1"/>
  <c r="L47" i="29" s="1"/>
  <c r="J31" i="29"/>
  <c r="C34" i="20"/>
  <c r="E34" i="20" s="1"/>
  <c r="E12" i="2"/>
  <c r="B20" i="16"/>
  <c r="E20" i="16" s="1"/>
  <c r="B5" i="17"/>
  <c r="E5" i="17" s="1"/>
  <c r="K8" i="29"/>
  <c r="L25" i="29" s="1"/>
  <c r="K25" i="29" s="1"/>
  <c r="J9" i="29"/>
  <c r="L73" i="35"/>
  <c r="B13" i="17"/>
  <c r="E13" i="17" s="1"/>
  <c r="F13" i="17" s="1"/>
  <c r="F16" i="17" s="1"/>
  <c r="G30" i="17" s="1"/>
  <c r="L72" i="35"/>
  <c r="B28" i="16"/>
  <c r="F28" i="16" l="1"/>
  <c r="E28" i="16"/>
  <c r="C27" i="20"/>
  <c r="E33" i="2"/>
  <c r="J145" i="8"/>
  <c r="AB145" i="8" s="1"/>
  <c r="J144" i="8"/>
  <c r="AB144" i="8" s="1"/>
  <c r="J143" i="8"/>
  <c r="AB143" i="8" s="1"/>
  <c r="J141" i="8"/>
  <c r="AB141" i="8" s="1"/>
  <c r="J140" i="8"/>
  <c r="AB140" i="8" s="1"/>
  <c r="J139" i="8"/>
  <c r="AB139" i="8" s="1"/>
  <c r="J135" i="8"/>
  <c r="AB135" i="8" s="1"/>
  <c r="J130" i="8"/>
  <c r="AB130" i="8" s="1"/>
  <c r="J125" i="8"/>
  <c r="AB125" i="8" s="1"/>
  <c r="J120" i="8"/>
  <c r="AB120" i="8" s="1"/>
  <c r="J115" i="8"/>
  <c r="AB115" i="8" s="1"/>
  <c r="J111" i="8"/>
  <c r="AB111" i="8" s="1"/>
  <c r="J106" i="8"/>
  <c r="AB106" i="8" s="1"/>
  <c r="J136" i="8"/>
  <c r="AB136" i="8" s="1"/>
  <c r="J131" i="8"/>
  <c r="AB131" i="8" s="1"/>
  <c r="J126" i="8"/>
  <c r="AB126" i="8" s="1"/>
  <c r="J121" i="8"/>
  <c r="AB121" i="8" s="1"/>
  <c r="J117" i="8"/>
  <c r="AB117" i="8" s="1"/>
  <c r="J112" i="8"/>
  <c r="AB112" i="8" s="1"/>
  <c r="J107" i="8"/>
  <c r="AB107" i="8" s="1"/>
  <c r="J134" i="8"/>
  <c r="AB134" i="8" s="1"/>
  <c r="J124" i="8"/>
  <c r="AB124" i="8" s="1"/>
  <c r="J114" i="8"/>
  <c r="AB114" i="8" s="1"/>
  <c r="J105" i="8"/>
  <c r="AB105" i="8" s="1"/>
  <c r="J102" i="8"/>
  <c r="AB102" i="8" s="1"/>
  <c r="J98" i="8"/>
  <c r="AB98" i="8" s="1"/>
  <c r="J93" i="8"/>
  <c r="AB93" i="8" s="1"/>
  <c r="J89" i="8"/>
  <c r="AB89" i="8" s="1"/>
  <c r="J84" i="8"/>
  <c r="AB84" i="8" s="1"/>
  <c r="J79" i="8"/>
  <c r="AB79" i="8" s="1"/>
  <c r="J75" i="8"/>
  <c r="AB75" i="8" s="1"/>
  <c r="J72" i="8"/>
  <c r="AB72" i="8" s="1"/>
  <c r="J71" i="8"/>
  <c r="AB71" i="8" s="1"/>
  <c r="J70" i="8"/>
  <c r="AB70" i="8" s="1"/>
  <c r="J69" i="8"/>
  <c r="AB69" i="8" s="1"/>
  <c r="J67" i="8"/>
  <c r="AB67" i="8" s="1"/>
  <c r="J66" i="8"/>
  <c r="AB66" i="8" s="1"/>
  <c r="J65" i="8"/>
  <c r="AB65" i="8" s="1"/>
  <c r="J64" i="8"/>
  <c r="AB64" i="8" s="1"/>
  <c r="J63" i="8"/>
  <c r="AB63" i="8" s="1"/>
  <c r="J62" i="8"/>
  <c r="AB62" i="8" s="1"/>
  <c r="J61" i="8"/>
  <c r="AB61" i="8" s="1"/>
  <c r="J60" i="8"/>
  <c r="AB60" i="8" s="1"/>
  <c r="J59" i="8"/>
  <c r="AB59" i="8" s="1"/>
  <c r="J58" i="8"/>
  <c r="AB58" i="8" s="1"/>
  <c r="J57" i="8"/>
  <c r="AB57" i="8" s="1"/>
  <c r="J56" i="8"/>
  <c r="AB56" i="8" s="1"/>
  <c r="J55" i="8"/>
  <c r="AB55" i="8" s="1"/>
  <c r="J54" i="8"/>
  <c r="AB54" i="8" s="1"/>
  <c r="J53" i="8"/>
  <c r="AB53" i="8" s="1"/>
  <c r="J50" i="8"/>
  <c r="AB50" i="8" s="1"/>
  <c r="J133" i="8"/>
  <c r="AB133" i="8" s="1"/>
  <c r="J123" i="8"/>
  <c r="AB123" i="8" s="1"/>
  <c r="J113" i="8"/>
  <c r="AB113" i="8" s="1"/>
  <c r="J101" i="8"/>
  <c r="AB101" i="8" s="1"/>
  <c r="J97" i="8"/>
  <c r="AB97" i="8" s="1"/>
  <c r="J92" i="8"/>
  <c r="AB92" i="8" s="1"/>
  <c r="J88" i="8"/>
  <c r="AB88" i="8" s="1"/>
  <c r="J82" i="8"/>
  <c r="AB82" i="8" s="1"/>
  <c r="J78" i="8"/>
  <c r="AB78" i="8" s="1"/>
  <c r="J74" i="8"/>
  <c r="AB74" i="8" s="1"/>
  <c r="J138" i="8"/>
  <c r="AB138" i="8" s="1"/>
  <c r="J119" i="8"/>
  <c r="AB119" i="8" s="1"/>
  <c r="J127" i="8"/>
  <c r="AB127" i="8" s="1"/>
  <c r="J109" i="8"/>
  <c r="AB109" i="8" s="1"/>
  <c r="J104" i="8"/>
  <c r="AB104" i="8" s="1"/>
  <c r="J99" i="8"/>
  <c r="AB99" i="8" s="1"/>
  <c r="J95" i="8"/>
  <c r="AB95" i="8" s="1"/>
  <c r="J90" i="8"/>
  <c r="AB90" i="8" s="1"/>
  <c r="J87" i="8"/>
  <c r="AB87" i="8" s="1"/>
  <c r="J80" i="8"/>
  <c r="AB80" i="8" s="1"/>
  <c r="J77" i="8"/>
  <c r="AB77" i="8" s="1"/>
  <c r="J48" i="8"/>
  <c r="AB48" i="8" s="1"/>
  <c r="J129" i="8"/>
  <c r="AB129" i="8" s="1"/>
  <c r="J118" i="8"/>
  <c r="AB118" i="8" s="1"/>
  <c r="J91" i="8"/>
  <c r="AB91" i="8" s="1"/>
  <c r="J73" i="8"/>
  <c r="AB73" i="8" s="1"/>
  <c r="J29" i="8"/>
  <c r="AB29" i="8" s="1"/>
  <c r="J26" i="8"/>
  <c r="AB26" i="8" s="1"/>
  <c r="J24" i="8"/>
  <c r="AB24" i="8" s="1"/>
  <c r="J22" i="8"/>
  <c r="AB22" i="8" s="1"/>
  <c r="J20" i="8"/>
  <c r="AB20" i="8" s="1"/>
  <c r="J18" i="8"/>
  <c r="AB18" i="8" s="1"/>
  <c r="J16" i="8"/>
  <c r="AB16" i="8" s="1"/>
  <c r="J14" i="8"/>
  <c r="AB14" i="8" s="1"/>
  <c r="J12" i="8"/>
  <c r="AB12" i="8" s="1"/>
  <c r="J10" i="8"/>
  <c r="AB10" i="8" s="1"/>
  <c r="J8" i="8"/>
  <c r="AB8" i="8" s="1"/>
  <c r="J6" i="8"/>
  <c r="AB6" i="8" s="1"/>
  <c r="J4" i="8"/>
  <c r="AB4" i="8" s="1"/>
  <c r="J94" i="8"/>
  <c r="AB94" i="8" s="1"/>
  <c r="J76" i="8"/>
  <c r="AB76" i="8" s="1"/>
  <c r="J52" i="8"/>
  <c r="AB52" i="8" s="1"/>
  <c r="J47" i="8"/>
  <c r="AB47" i="8" s="1"/>
  <c r="J110" i="8"/>
  <c r="AB110" i="8" s="1"/>
  <c r="J34" i="8"/>
  <c r="AB34" i="8" s="1"/>
  <c r="J137" i="8"/>
  <c r="AB137" i="8" s="1"/>
  <c r="J103" i="8"/>
  <c r="AB103" i="8" s="1"/>
  <c r="J100" i="8"/>
  <c r="AB100" i="8" s="1"/>
  <c r="J43" i="8"/>
  <c r="AB43" i="8" s="1"/>
  <c r="J41" i="8"/>
  <c r="AB41" i="8" s="1"/>
  <c r="J39" i="8"/>
  <c r="AB39" i="8" s="1"/>
  <c r="J37" i="8"/>
  <c r="AB37" i="8" s="1"/>
  <c r="J35" i="8"/>
  <c r="AB35" i="8" s="1"/>
  <c r="J45" i="8"/>
  <c r="AB45" i="8" s="1"/>
  <c r="J44" i="8"/>
  <c r="AB44" i="8" s="1"/>
  <c r="J42" i="8"/>
  <c r="AB42" i="8" s="1"/>
  <c r="J40" i="8"/>
  <c r="AB40" i="8" s="1"/>
  <c r="J38" i="8"/>
  <c r="AB38" i="8" s="1"/>
  <c r="J36" i="8"/>
  <c r="AB36" i="8" s="1"/>
  <c r="J85" i="8"/>
  <c r="AB85" i="8" s="1"/>
  <c r="J33" i="8"/>
  <c r="AB33" i="8" s="1"/>
  <c r="J31" i="8"/>
  <c r="AB31" i="8" s="1"/>
  <c r="J30" i="8"/>
  <c r="AB30" i="8" s="1"/>
  <c r="J28" i="8"/>
  <c r="AB28" i="8" s="1"/>
  <c r="J25" i="8"/>
  <c r="AB25" i="8" s="1"/>
  <c r="J23" i="8"/>
  <c r="AB23" i="8" s="1"/>
  <c r="J21" i="8"/>
  <c r="AB21" i="8" s="1"/>
  <c r="J19" i="8"/>
  <c r="AB19" i="8" s="1"/>
  <c r="J17" i="8"/>
  <c r="AB17" i="8" s="1"/>
  <c r="J15" i="8"/>
  <c r="AB15" i="8" s="1"/>
  <c r="J13" i="8"/>
  <c r="AB13" i="8" s="1"/>
  <c r="J11" i="8"/>
  <c r="AB11" i="8" s="1"/>
  <c r="J9" i="8"/>
  <c r="AB9" i="8" s="1"/>
  <c r="J7" i="8"/>
  <c r="AB7" i="8" s="1"/>
  <c r="J5" i="8"/>
  <c r="AB5" i="8" s="1"/>
  <c r="J3" i="8"/>
  <c r="AB3" i="8" s="1"/>
  <c r="J81" i="8"/>
  <c r="AB81" i="8" s="1"/>
  <c r="F29" i="16"/>
  <c r="E29" i="16"/>
  <c r="B10" i="17" l="1"/>
  <c r="E10" i="17" s="1"/>
  <c r="B25" i="16"/>
  <c r="E25" i="16" s="1"/>
  <c r="C37" i="20"/>
  <c r="E27" i="20"/>
  <c r="G27" i="20"/>
  <c r="AB147" i="8"/>
  <c r="F30" i="16"/>
  <c r="F44" i="16" s="1"/>
  <c r="E14" i="2" s="1"/>
  <c r="E37" i="20" l="1"/>
  <c r="G37" i="20"/>
  <c r="C39" i="20"/>
  <c r="B12" i="17"/>
  <c r="E12" i="17" s="1"/>
  <c r="B27" i="16"/>
  <c r="E27" i="16" s="1"/>
  <c r="E39" i="20" l="1"/>
  <c r="G39" i="20"/>
  <c r="G44" i="20" s="1"/>
  <c r="B22" i="16" l="1"/>
  <c r="E22" i="16" s="1"/>
  <c r="E11" i="2"/>
  <c r="E47" i="20"/>
  <c r="B7" i="17"/>
  <c r="E7" i="17" s="1"/>
  <c r="B6" i="17" l="1"/>
  <c r="E6" i="17" s="1"/>
  <c r="E16" i="17" s="1"/>
  <c r="B21" i="16"/>
  <c r="E21" i="16" s="1"/>
  <c r="E30" i="16" s="1"/>
  <c r="C35" i="20"/>
  <c r="E35" i="20" s="1"/>
  <c r="E4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100-000001000000}">
      <text>
        <r>
          <rPr>
            <sz val="9"/>
            <color indexed="81"/>
            <rFont val="Tahoma"/>
            <family val="2"/>
          </rPr>
          <t xml:space="preserve">Factors critical for making satisfiers for basic needs available
</t>
        </r>
      </text>
    </comment>
    <comment ref="C1" authorId="0" shapeId="0" xr:uid="{00000000-0006-0000-0100-000002000000}">
      <text>
        <r>
          <rPr>
            <sz val="9"/>
            <color indexed="81"/>
            <rFont val="Tahoma"/>
            <family val="2"/>
          </rPr>
          <t xml:space="preserve">Entity describing state of safeguard subject. The same as "endpoint impact category indicator" in LCA terminology.
</t>
        </r>
      </text>
    </comment>
    <comment ref="E3" authorId="0" shapeId="0" xr:uid="{00000000-0006-0000-0100-000003000000}">
      <text>
        <r>
          <rPr>
            <sz val="9"/>
            <color indexed="81"/>
            <rFont val="Tahoma"/>
            <family val="2"/>
          </rPr>
          <t>http://faostat.fao.org/site/339/default.aspx for total production and values + IPPC WGII AR5 chapter 7 foreseeing a doubling of price due to food scarcity</t>
        </r>
      </text>
    </comment>
    <comment ref="F3" authorId="0" shapeId="0" xr:uid="{00000000-0006-0000-0100-000004000000}">
      <text>
        <r>
          <rPr>
            <sz val="9"/>
            <color indexed="81"/>
            <rFont val="Tahoma"/>
            <family val="2"/>
          </rPr>
          <t>It is unclear in impact assessments reports how severe impacts from increased UVB radiation are. Daly values between 
0.004 and 0.191 are given in the references cited for the weignting factor</t>
        </r>
      </text>
    </comment>
    <comment ref="E4" authorId="0" shapeId="0" xr:uid="{00000000-0006-0000-0100-000005000000}">
      <text>
        <r>
          <rPr>
            <sz val="9"/>
            <color indexed="81"/>
            <rFont val="Tahoma"/>
            <family val="2"/>
          </rPr>
          <t>http://faostat.fao.org/site/339/default.aspx for total production and values + IPPC WGII AR5 chapter 7 foreseeing a doubling of price due to food scarcity</t>
        </r>
      </text>
    </comment>
    <comment ref="E6" authorId="0" shapeId="0" xr:uid="{00000000-0006-0000-0100-000006000000}">
      <text>
        <r>
          <rPr>
            <sz val="9"/>
            <color indexed="81"/>
            <rFont val="Tahoma"/>
            <family val="2"/>
          </rPr>
          <t>http://faostat.fao.org/site/339/default.aspx for total production and values + IPPC WGII AR5 chapter 7 foreseeing a doubling of price due to food scarcity</t>
        </r>
      </text>
    </comment>
    <comment ref="E7" authorId="0" shapeId="0" xr:uid="{00000000-0006-0000-0100-000007000000}">
      <text>
        <r>
          <rPr>
            <sz val="9"/>
            <color indexed="81"/>
            <rFont val="Tahoma"/>
            <family val="2"/>
          </rPr>
          <t>WTP for film and theater is about 10€/hour, for a ski vacation about the same.</t>
        </r>
      </text>
    </comment>
    <comment ref="E8" authorId="0" shapeId="0" xr:uid="{00000000-0006-0000-0100-000008000000}">
      <text>
        <r>
          <rPr>
            <sz val="9"/>
            <color indexed="81"/>
            <rFont val="Tahoma"/>
            <family val="2"/>
          </rPr>
          <t xml:space="preserve">Typical cost in countries with water scarcity </t>
        </r>
      </text>
    </comment>
    <comment ref="E9" authorId="0" shapeId="0" xr:uid="{00000000-0006-0000-0100-000009000000}">
      <text>
        <r>
          <rPr>
            <sz val="9"/>
            <color indexed="81"/>
            <rFont val="Tahoma"/>
            <family val="2"/>
          </rPr>
          <t>Assumed distribution cost</t>
        </r>
      </text>
    </comment>
    <comment ref="E10" authorId="0" shapeId="0" xr:uid="{00000000-0006-0000-0100-00000A000000}">
      <text>
        <r>
          <rPr>
            <sz val="9"/>
            <color indexed="81"/>
            <rFont val="Tahoma"/>
            <family val="2"/>
          </rPr>
          <t xml:space="preserve">The resource value is estimated from restauration costs including external cost from the restauration process. See special worksheet on fossil resources describing the process model.
</t>
        </r>
      </text>
    </comment>
    <comment ref="C85" authorId="0" shapeId="0" xr:uid="{00000000-0006-0000-0100-00000B000000}">
      <text>
        <r>
          <rPr>
            <sz val="9"/>
            <color indexed="81"/>
            <rFont val="Tahoma"/>
            <family val="2"/>
          </rPr>
          <t>NEX stands for Normalised EXtinction of species. One NEX is the present global annual extinction of species.</t>
        </r>
      </text>
    </comment>
    <comment ref="E85" authorId="0" shapeId="0" xr:uid="{00000000-0006-0000-0100-00000C000000}">
      <text>
        <r>
          <rPr>
            <sz val="9"/>
            <color indexed="81"/>
            <rFont val="Tahoma"/>
            <family val="2"/>
          </rPr>
          <t xml:space="preserve">The quantitative value of biodiverity is not possible to estimate at present. (Mllenium assessment, TEEB, AR5 WGII)
McCarthy et al , Science Vol 338, No 6109, PP 946-949 estimate the total Financial Costs of Meeting Global Biodiversity Conservation Targets to US$ 76.1 billion per year, which equals 56 billion €. 
</t>
        </r>
      </text>
    </comment>
    <comment ref="C87" authorId="0" shapeId="0" xr:uid="{00000000-0006-0000-0100-00000D000000}">
      <text>
        <r>
          <rPr>
            <sz val="9"/>
            <color indexed="81"/>
            <rFont val="Tahoma"/>
            <family val="2"/>
          </rPr>
          <t xml:space="preserve">Same as DALY
</t>
        </r>
      </text>
    </comment>
    <comment ref="E87" authorId="0" shapeId="0" xr:uid="{00000000-0006-0000-0100-00000E000000}">
      <text>
        <r>
          <rPr>
            <sz val="9"/>
            <color indexed="81"/>
            <rFont val="Tahoma"/>
            <family val="2"/>
          </rPr>
          <t>There are two reasons for this figure. 1) It is used by EU Com for valuing premature deaths (YOLL) from NO2 and O3. 2) It is a reasonable life time average productivity including houshold productivity.</t>
        </r>
      </text>
    </comment>
    <comment ref="F87" authorId="0" shapeId="0" xr:uid="{00000000-0006-0000-0100-00000F000000}">
      <text>
        <r>
          <rPr>
            <sz val="9"/>
            <color indexed="81"/>
            <rFont val="Tahoma"/>
            <family val="2"/>
          </rPr>
          <t xml:space="preserve">Most estmations vary between 30000 and 85000€
</t>
        </r>
      </text>
    </comment>
    <comment ref="C88" authorId="0" shapeId="0" xr:uid="{00000000-0006-0000-0100-000010000000}">
      <text>
        <r>
          <rPr>
            <sz val="9"/>
            <color indexed="81"/>
            <rFont val="Tahoma"/>
            <family val="2"/>
          </rPr>
          <t>"Under-nutrition" in AR5</t>
        </r>
      </text>
    </comment>
    <comment ref="E88" authorId="0" shapeId="0" xr:uid="{00000000-0006-0000-0100-000011000000}">
      <text>
        <r>
          <rPr>
            <sz val="9"/>
            <color indexed="81"/>
            <rFont val="Tahoma"/>
            <family val="2"/>
          </rPr>
          <t>WHO: GLOBAL BURDEN OF DISEASE 2004 UPDATE:
DISABILITY WEIGHTS FOR DISEASES AND CONDITIONS</t>
        </r>
      </text>
    </comment>
    <comment ref="F88" authorId="0" shapeId="0" xr:uid="{00000000-0006-0000-0100-000012000000}">
      <text>
        <r>
          <rPr>
            <sz val="9"/>
            <color indexed="81"/>
            <rFont val="Tahoma"/>
            <family val="2"/>
          </rPr>
          <t>WHO: GLOBAL BURDEN OF DISEASE 2004 UPDATE:
DISABILITY WEIGHTS FOR DISEASES AND CONDITIONS</t>
        </r>
      </text>
    </comment>
    <comment ref="E89" authorId="0" shapeId="0" xr:uid="{00000000-0006-0000-0100-000013000000}">
      <text>
        <r>
          <rPr>
            <sz val="9"/>
            <color indexed="81"/>
            <rFont val="Tahoma"/>
            <family val="2"/>
          </rPr>
          <t>WHO: GLOBAL BURDEN OF DISEASE 2004 UPDATE:
DISABILITY WEIGHTS FOR DISEASES AND CONDITIONS</t>
        </r>
      </text>
    </comment>
    <comment ref="F89" authorId="0" shapeId="0" xr:uid="{00000000-0006-0000-0100-000014000000}">
      <text>
        <r>
          <rPr>
            <sz val="9"/>
            <color indexed="81"/>
            <rFont val="Tahoma"/>
            <family val="2"/>
          </rPr>
          <t>WHO: GLOBAL BURDEN OF DISEASE 2004 UPDATE:
DISABILITY WEIGHTS FOR DISEASES AND CONDITIONS</t>
        </r>
      </text>
    </comment>
    <comment ref="E90" authorId="0" shapeId="0" xr:uid="{00000000-0006-0000-0100-000015000000}">
      <text>
        <r>
          <rPr>
            <sz val="9"/>
            <color indexed="81"/>
            <rFont val="Tahoma"/>
            <family val="2"/>
          </rPr>
          <t>WHO: GLOBAL BURDEN OF DISEASE 2004 UPDATE:
DISABILITY WEIGHTS FOR DISEASES AND CONDITIONS</t>
        </r>
      </text>
    </comment>
    <comment ref="F90" authorId="0" shapeId="0" xr:uid="{00000000-0006-0000-0100-000016000000}">
      <text>
        <r>
          <rPr>
            <sz val="9"/>
            <color indexed="81"/>
            <rFont val="Tahoma"/>
            <family val="2"/>
          </rPr>
          <t>WHO: GLOBAL BURDEN OF DISEASE 2004 UPDATE:
DISABILITY WEIGHTS FOR DISEASES AND CONDITIONS</t>
        </r>
      </text>
    </comment>
    <comment ref="E91" authorId="0" shapeId="0" xr:uid="{00000000-0006-0000-0100-000017000000}">
      <text>
        <r>
          <rPr>
            <sz val="9"/>
            <color indexed="81"/>
            <rFont val="Tahoma"/>
            <family val="2"/>
          </rPr>
          <t>No quantitative value have been found in literature. The value of half a DALY is a guess and based on the phsycological research showing that separtions, in particular for young children has severe implications for life. "To part is to die a bit"</t>
        </r>
      </text>
    </comment>
    <comment ref="E92" authorId="0" shapeId="0" xr:uid="{00000000-0006-0000-0100-000018000000}">
      <text>
        <r>
          <rPr>
            <sz val="9"/>
            <color indexed="81"/>
            <rFont val="Tahoma"/>
            <family val="2"/>
          </rPr>
          <t>Change of DALY when going from mild to moderate or from moderate to severe aangina pectoris. (Salomon et al,  Common values in assessing health outcomes from disease and injury: disability weights measurement study for the Global Burden of Disease Study 2010, Lancet Vol 380, December 15/22/29, 2012)</t>
        </r>
      </text>
    </comment>
    <comment ref="F92" authorId="0" shapeId="0" xr:uid="{00000000-0006-0000-0100-000019000000}">
      <text>
        <r>
          <rPr>
            <sz val="9"/>
            <color indexed="81"/>
            <rFont val="Tahoma"/>
            <family val="2"/>
          </rPr>
          <t>The difference in DALY for mild to moderate is 0,03 and from moderate to severe 0,1</t>
        </r>
      </text>
    </comment>
    <comment ref="E93" authorId="0" shapeId="0" xr:uid="{00000000-0006-0000-0100-00001A000000}">
      <text>
        <r>
          <rPr>
            <sz val="9"/>
            <color indexed="81"/>
            <rFont val="Tahoma"/>
            <family val="2"/>
          </rPr>
          <t xml:space="preserve">An average of DALY factors (Salomon et al,  Common values in assessing health outcomes from disease and injury: disability weights measurement study for the Global Burden of Disease Study 2010, Lancet Vol 380, December 15/22/29, 2012)
</t>
        </r>
      </text>
    </comment>
    <comment ref="F93" authorId="0" shapeId="0" xr:uid="{00000000-0006-0000-0100-00001B000000}">
      <text>
        <r>
          <rPr>
            <sz val="9"/>
            <color indexed="81"/>
            <rFont val="Tahoma"/>
            <family val="2"/>
          </rPr>
          <t>There is significant variation in severity, from 0,03 to 0,7 DALY (Lancet Vol 380 December 15/22/29, 2012)</t>
        </r>
      </text>
    </comment>
    <comment ref="E94" authorId="0" shapeId="0" xr:uid="{00000000-0006-0000-0100-00001C000000}">
      <text>
        <r>
          <rPr>
            <sz val="9"/>
            <color indexed="81"/>
            <rFont val="Tahoma"/>
            <family val="2"/>
          </rPr>
          <t xml:space="preserve">Acute myocardial infarction: days 1–2, 0.422 (0.28–0.566) + Acute myocardial infarction: days 1–2, 0.056 (0.035–0.082), Salomon et al. www.thelancet.com Vol 380 December 15/22/29, 2012.
</t>
        </r>
      </text>
    </comment>
    <comment ref="F94" authorId="0" shapeId="0" xr:uid="{00000000-0006-0000-0100-00001D000000}">
      <text>
        <r>
          <rPr>
            <sz val="9"/>
            <color indexed="81"/>
            <rFont val="Tahoma"/>
            <family val="2"/>
          </rPr>
          <t xml:space="preserve">Acute myocardial infarction: days 1–2, 0.422 (0.28–0.566) + Acute myocardial infarction: days 1–2, 0.056 (0.035–0.082), Salomon et al. www.thelancet.com Vol 380 December 15/22/29, 2012.
</t>
        </r>
      </text>
    </comment>
    <comment ref="E95" authorId="0" shapeId="0" xr:uid="{00000000-0006-0000-0100-00001E000000}">
      <text>
        <r>
          <rPr>
            <sz val="9"/>
            <color indexed="81"/>
            <rFont val="Tahoma"/>
            <family val="2"/>
          </rPr>
          <t>OECD average GDP productivity was 46.5 US$/hour 2012 according to OECD statistics, (http://stats.oecd.org/Index.aspx?DatasetCode=LEVEL) which corrresponds to 58800 € at 1600 working hours per year and current exchange rates (0.79 €/US$) Present OECD conditions are used to represent global averages until 2100.</t>
        </r>
      </text>
    </comment>
    <comment ref="C97" authorId="0" shapeId="0" xr:uid="{00000000-0006-0000-0100-00001F000000}">
      <text>
        <r>
          <rPr>
            <sz val="9"/>
            <color indexed="81"/>
            <rFont val="Tahoma"/>
            <family val="2"/>
          </rPr>
          <t>Chronic obstructive pulmonary disease</t>
        </r>
      </text>
    </comment>
    <comment ref="E97" authorId="0" shapeId="0" xr:uid="{00000000-0006-0000-0100-000020000000}">
      <text>
        <r>
          <rPr>
            <sz val="9"/>
            <color indexed="81"/>
            <rFont val="Tahoma"/>
            <family val="2"/>
          </rPr>
          <t>GLOBAL BURDEN OF DISEASE 2004 UPDATE:
DISABILITY WEIGHTS FOR DISEASES AND CONDITIONS, WHO</t>
        </r>
      </text>
    </comment>
    <comment ref="E98" authorId="0" shapeId="0" xr:uid="{00000000-0006-0000-0100-000021000000}">
      <text>
        <r>
          <rPr>
            <sz val="9"/>
            <color indexed="81"/>
            <rFont val="Tahoma"/>
            <family val="2"/>
          </rPr>
          <t xml:space="preserve">GLOBAL BURDEN OF DISEASE 2004 UPDATE:
DISABILITY WEIGHTS FOR DISEASES AND CONDITIONS, WHO
</t>
        </r>
      </text>
    </comment>
    <comment ref="F98" authorId="0" shapeId="0" xr:uid="{00000000-0006-0000-0100-000022000000}">
      <text>
        <r>
          <rPr>
            <sz val="9"/>
            <color indexed="81"/>
            <rFont val="Tahoma"/>
            <family val="2"/>
          </rPr>
          <t xml:space="preserve">DALY factors for different cancer types and phases vary, mostly between 0.1 and 0.5 in terminal phases. </t>
        </r>
      </text>
    </comment>
    <comment ref="E99" authorId="0" shapeId="0" xr:uid="{00000000-0006-0000-0100-000023000000}">
      <text>
        <r>
          <rPr>
            <sz val="9"/>
            <color indexed="81"/>
            <rFont val="Tahoma"/>
            <family val="2"/>
          </rPr>
          <t>GLOBAL BURDEN OF DISEASE 2004 UPDATE:
DISABILITY WEIGHTS FOR DISEASES AND CONDITIONS, WHO</t>
        </r>
      </text>
    </comment>
    <comment ref="C100" authorId="0" shapeId="0" xr:uid="{00000000-0006-0000-0100-000024000000}">
      <text>
        <r>
          <rPr>
            <sz val="9"/>
            <color indexed="81"/>
            <rFont val="Tahoma"/>
            <family val="2"/>
          </rPr>
          <t xml:space="preserve">0.170 for low vision according to WHO GBD 2004, Distance vision: severe impairment 0.191: moderate impairment 0.033 (0.020–0.052) (www.thelancet.com Vol 380 December 15/22/29, 2012)
</t>
        </r>
      </text>
    </comment>
    <comment ref="E100" authorId="0" shapeId="0" xr:uid="{00000000-0006-0000-0100-000025000000}">
      <text>
        <r>
          <rPr>
            <sz val="9"/>
            <color indexed="81"/>
            <rFont val="Tahoma"/>
            <family val="2"/>
          </rPr>
          <t>GLOBAL BURDEN OF DISEASE 2004 UPDATE:
DISABILITY WEIGHTS FOR DISEASES AND CONDITIONS, WHO</t>
        </r>
      </text>
    </comment>
    <comment ref="C101" authorId="0" shapeId="0" xr:uid="{00000000-0006-0000-0100-000026000000}">
      <text>
        <r>
          <rPr>
            <sz val="9"/>
            <color indexed="81"/>
            <rFont val="Tahoma"/>
            <family val="2"/>
          </rPr>
          <t xml:space="preserve">Poisoning: short term, with or without
treatment 
</t>
        </r>
      </text>
    </comment>
    <comment ref="E101" authorId="0" shapeId="0" xr:uid="{00000000-0006-0000-0100-000027000000}">
      <text>
        <r>
          <rPr>
            <sz val="9"/>
            <color indexed="81"/>
            <rFont val="Tahoma"/>
            <family val="2"/>
          </rPr>
          <t>GLOBAL BURDEN OF DISEASE 2004 UPDATE:
DISABILITY WEIGHTS FOR DISEASES AND CONDITIONS, WHO</t>
        </r>
      </text>
    </comment>
    <comment ref="E102" authorId="0" shapeId="0" xr:uid="{00000000-0006-0000-0100-000028000000}">
      <text>
        <r>
          <rPr>
            <sz val="9"/>
            <color indexed="81"/>
            <rFont val="Tahoma"/>
            <family val="2"/>
          </rPr>
          <t xml:space="preserve"> This impact value is not fully representative for IQ effects from Hg and Pb exposure, but the closest found. Data from Global Burden of Disease Study 2010, Lancet Vol 380, December 15/22/29, 2012)</t>
        </r>
      </text>
    </comment>
    <comment ref="E103" authorId="0" shapeId="0" xr:uid="{00000000-0006-0000-0100-000029000000}">
      <text>
        <r>
          <rPr>
            <sz val="9"/>
            <color indexed="81"/>
            <rFont val="Tahoma"/>
            <family val="2"/>
          </rPr>
          <t xml:space="preserve">YLD per case is estimated to 1.28. Searl, Alison, Exposure response functions for HM impacts on human health, Report for WP 6, EU 6th framwork project ESPREME, Estimation of willingness-to-pay to reduce risks of exposure to heavy metals and cost-benefit analysis for reducing heavy metals occurrence in Europe. 
</t>
        </r>
      </text>
    </comment>
    <comment ref="E104" authorId="0" shapeId="0" xr:uid="{00000000-0006-0000-0100-00002A000000}">
      <text>
        <r>
          <rPr>
            <sz val="9"/>
            <color indexed="81"/>
            <rFont val="Tahoma"/>
            <family val="2"/>
          </rPr>
          <t xml:space="preserve">YLD per case is estimated to 0.64. Searl, Alison, Exposure response functions for HM impacts on human health, Report for WP 6, EU 6th framwork project ESPREME, Estimation of willingness-to-pay to reduce risks of exposure to heavy metals and cost-benefit analysis for reducing heavy metals occurrence in Europe. 
</t>
        </r>
      </text>
    </comment>
    <comment ref="B105" authorId="0" shapeId="0" xr:uid="{00000000-0006-0000-0100-00002B000000}">
      <text>
        <r>
          <rPr>
            <sz val="9"/>
            <color indexed="81"/>
            <rFont val="Tahoma"/>
            <family val="2"/>
          </rPr>
          <t xml:space="preserve">In LCA functions are addressed in the functional unit.  In CBA function values are directly added to negative values of costs.
</t>
        </r>
      </text>
    </comment>
    <comment ref="C106" authorId="0" shapeId="0" xr:uid="{00000000-0006-0000-0100-00002C000000}">
      <text>
        <r>
          <rPr>
            <sz val="9"/>
            <color indexed="81"/>
            <rFont val="Tahoma"/>
            <family val="2"/>
          </rPr>
          <t xml:space="preserve">Housing qualifying for satisfaction of basic needs
</t>
        </r>
      </text>
    </comment>
    <comment ref="E106" authorId="0" shapeId="0" xr:uid="{00000000-0006-0000-0100-00002D000000}">
      <text>
        <r>
          <rPr>
            <sz val="9"/>
            <color indexed="81"/>
            <rFont val="Tahoma"/>
            <family val="2"/>
          </rPr>
          <t xml:space="preserve">Typical transaction  price  for new dwelling in OECD countries
</t>
        </r>
      </text>
    </comment>
    <comment ref="E107" authorId="0" shapeId="0" xr:uid="{00000000-0006-0000-0100-00002E000000}">
      <text>
        <r>
          <rPr>
            <sz val="9"/>
            <color indexed="81"/>
            <rFont val="Tahoma"/>
            <family val="2"/>
          </rPr>
          <t xml:space="preserve">Typical OECD cost
</t>
        </r>
      </text>
    </comment>
    <comment ref="E108" authorId="0" shapeId="0" xr:uid="{00000000-0006-0000-0100-00002F000000}">
      <text>
        <r>
          <rPr>
            <sz val="9"/>
            <color indexed="81"/>
            <rFont val="Tahoma"/>
            <family val="2"/>
          </rPr>
          <t>For onshore wind power plants, the specific overnight construction costs are in the range of 1900 to 3700 USD/kWe. (Projected
Costs of Generating Electricity, International Energy Agency 2010)
The grid cost for a normal household is about 120 €/year for a  max consumption of 3 kW, which indicates a grid capacity cost of 800 €/kw if grid lifetime is 20 years.</t>
        </r>
      </text>
    </comment>
    <comment ref="E109" authorId="0" shapeId="0" xr:uid="{00000000-0006-0000-0100-000030000000}">
      <text>
        <r>
          <rPr>
            <sz val="9"/>
            <color indexed="81"/>
            <rFont val="Tahoma"/>
            <family val="2"/>
          </rPr>
          <t xml:space="preserve"> (Projected
Costs of Generating Electricity, International Energy Agency 2010)
</t>
        </r>
      </text>
    </comment>
    <comment ref="E110" authorId="0" shapeId="0" xr:uid="{00000000-0006-0000-0100-000031000000}">
      <text>
        <r>
          <rPr>
            <sz val="9"/>
            <color indexed="81"/>
            <rFont val="Tahoma"/>
            <family val="2"/>
          </rPr>
          <t>Most of the cost for water is capital costs and very little depends on the water flow. A 20 years lifetime for the system is assumed and an average consumption of 1 m3/household and day</t>
        </r>
      </text>
    </comment>
    <comment ref="E111" authorId="0" shapeId="0" xr:uid="{00000000-0006-0000-0100-000032000000}">
      <text>
        <r>
          <rPr>
            <sz val="9"/>
            <color indexed="81"/>
            <rFont val="Tahoma"/>
            <family val="2"/>
          </rPr>
          <t xml:space="preserve">OECD market price
http://www.oecd.org/env/resources/water-therightpricecanencourageefficiencyandinvestment.htm
</t>
        </r>
      </text>
    </comment>
    <comment ref="C112" authorId="0" shapeId="0" xr:uid="{00000000-0006-0000-0100-000033000000}">
      <text>
        <r>
          <rPr>
            <sz val="9"/>
            <color indexed="81"/>
            <rFont val="Tahoma"/>
            <family val="2"/>
          </rPr>
          <t xml:space="preserve">For proteins, fats carbohydrates and other essential nourishment-
</t>
        </r>
      </text>
    </comment>
    <comment ref="E112" authorId="0" shapeId="0" xr:uid="{00000000-0006-0000-0100-000034000000}">
      <text>
        <r>
          <rPr>
            <sz val="9"/>
            <color indexed="81"/>
            <rFont val="Tahoma"/>
            <family val="2"/>
          </rPr>
          <t>The cost for food capitalised for 20 years. The world market price for wheat is now about 0.1€/kg and the price for wheat flower 1€/kg. The world market price for meat is about 2€/kg (1-4€) and the shop price is 20 (10-30) €/kg. This means that 90% of the value in food may be ascribed to the delivery system. Typical cost for food in Sweden is 200€/month, person (Konsumentverket 2014). At a "basic need" itake of 2,2 Mcal/day and a 20 years lifetime we get a deliver capacity value of 200/(2.2*30)*12*20 =727 €/Mcal</t>
        </r>
      </text>
    </comment>
    <comment ref="E113" authorId="0" shapeId="0" xr:uid="{00000000-0006-0000-0100-000035000000}">
      <text>
        <r>
          <rPr>
            <sz val="9"/>
            <color indexed="81"/>
            <rFont val="Tahoma"/>
            <family val="2"/>
          </rPr>
          <t>The world market price for wheat is now about 0.1€/kg and the price for wheat flower 1€/kg. The world market price for meat is about 2€/kg (1-4€) and the shop price is 20 (10-30) €/kg. This means that 90% of the value in food may be ascribed to the delivery system. Typical cost for food in Sweden is 200€/month, person (Konsumentverket 2014). At a "basic need" intake of 2,2 Mcal/day we get a deliver e4fficiency value of 200/(2.2*30) =3,03 €/Mcal</t>
        </r>
      </text>
    </comment>
    <comment ref="E114" authorId="0" shapeId="0" xr:uid="{00000000-0006-0000-0100-000036000000}">
      <text>
        <r>
          <rPr>
            <sz val="9"/>
            <color indexed="81"/>
            <rFont val="Tahoma"/>
            <family val="2"/>
          </rPr>
          <t xml:space="preserve">Assumed yearly consumption 10 kg/person,year, 50€/kg, 20 years lifetime: 
</t>
        </r>
      </text>
    </comment>
    <comment ref="E115" authorId="0" shapeId="0" xr:uid="{00000000-0006-0000-0100-000037000000}">
      <text>
        <r>
          <rPr>
            <sz val="9"/>
            <color indexed="81"/>
            <rFont val="Tahoma"/>
            <family val="2"/>
          </rPr>
          <t xml:space="preserve">approximate market price
</t>
        </r>
      </text>
    </comment>
    <comment ref="E116" authorId="0" shapeId="0" xr:uid="{00000000-0006-0000-0100-000038000000}">
      <text>
        <r>
          <rPr>
            <sz val="9"/>
            <color indexed="81"/>
            <rFont val="Tahoma"/>
            <family val="2"/>
          </rPr>
          <t xml:space="preserve">Present market price for hard disks
</t>
        </r>
      </text>
    </comment>
    <comment ref="E117" authorId="0" shapeId="0" xr:uid="{00000000-0006-0000-0100-000039000000}">
      <text>
        <r>
          <rPr>
            <sz val="9"/>
            <color indexed="81"/>
            <rFont val="Tahoma"/>
            <family val="2"/>
          </rPr>
          <t>Typical speed of downloading documents is 0.5 sek/MB. IT is assumed that a computer life time is 3000 hours and cost is 1000€, i.e. 0.3 EUR/hour.</t>
        </r>
      </text>
    </comment>
    <comment ref="E118" authorId="0" shapeId="0" xr:uid="{00000000-0006-0000-0100-00003A000000}">
      <text>
        <r>
          <rPr>
            <sz val="9"/>
            <color indexed="81"/>
            <rFont val="Tahoma"/>
            <family val="2"/>
          </rPr>
          <t xml:space="preserve">Cost for unsused capacity of transports by truck. (Just costs for the truck, when it is not running)
</t>
        </r>
      </text>
    </comment>
    <comment ref="E119" authorId="0" shapeId="0" xr:uid="{00000000-0006-0000-0100-00003B000000}">
      <text>
        <r>
          <rPr>
            <sz val="9"/>
            <color indexed="81"/>
            <rFont val="Tahoma"/>
            <family val="2"/>
          </rPr>
          <t>present market price http://www.ppiaf.org/sites/ppiaf.org/files/documents/toolkits/railways_toolkit/ch1_1_4.html</t>
        </r>
      </text>
    </comment>
    <comment ref="E120" authorId="0" shapeId="0" xr:uid="{00000000-0006-0000-0100-00003C000000}">
      <text>
        <r>
          <rPr>
            <sz val="9"/>
            <color indexed="81"/>
            <rFont val="Tahoma"/>
            <family val="2"/>
          </rPr>
          <t xml:space="preserve">Cost for a seat in a bus that is nort running.
</t>
        </r>
      </text>
    </comment>
    <comment ref="E121" authorId="0" shapeId="0" xr:uid="{00000000-0006-0000-0100-00003D000000}">
      <text>
        <r>
          <rPr>
            <sz val="9"/>
            <color indexed="81"/>
            <rFont val="Tahoma"/>
            <family val="2"/>
          </rPr>
          <t>present market price http://www.ppiaf.org/sites/ppiaf.org/files/documents/toolkits/railways_toolkit/ch1_1_4.html</t>
        </r>
      </text>
    </comment>
    <comment ref="D131" authorId="0" shapeId="0" xr:uid="{00000000-0006-0000-0100-00003E000000}">
      <text>
        <r>
          <rPr>
            <sz val="9"/>
            <color indexed="81"/>
            <rFont val="Tahoma"/>
            <family val="2"/>
          </rPr>
          <t xml:space="preserve">There are different definitions of poverty. One is simply linked to income, like "people having to live on less than one $/day". Others are linked to several factors, like education, wellfare, freedom of choice. 
</t>
        </r>
      </text>
    </comment>
    <comment ref="D132" authorId="0" shapeId="0" xr:uid="{00000000-0006-0000-0100-00003F000000}">
      <text>
        <r>
          <rPr>
            <sz val="9"/>
            <color indexed="81"/>
            <rFont val="Tahoma"/>
            <family val="2"/>
          </rPr>
          <t xml:space="preserve">E.g. between 20 and 80-percentiles.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D1" authorId="0" shapeId="0" xr:uid="{00000000-0006-0000-0A00-000001000000}">
      <text>
        <r>
          <rPr>
            <sz val="9"/>
            <color indexed="81"/>
            <rFont val="Tahoma"/>
            <family val="2"/>
          </rPr>
          <t xml:space="preserve">Average ozone production
</t>
        </r>
      </text>
    </comment>
    <comment ref="D3" authorId="0" shapeId="0" xr:uid="{00000000-0006-0000-0A00-000002000000}">
      <text>
        <r>
          <rPr>
            <sz val="9"/>
            <color indexed="81"/>
            <rFont val="Tahoma"/>
            <family val="2"/>
          </rPr>
          <t xml:space="preserve">0.14 to 0.36 according to Johanna Altenstedt and Karin Pleijel, IVL report </t>
        </r>
        <r>
          <rPr>
            <i/>
            <sz val="9"/>
            <color indexed="81"/>
            <rFont val="Tahoma"/>
            <family val="2"/>
          </rPr>
          <t>B-1305
Göteborg, Sweden september 1998</t>
        </r>
        <r>
          <rPr>
            <sz val="9"/>
            <color indexed="81"/>
            <rFont val="Tahoma"/>
            <family val="2"/>
          </rPr>
          <t xml:space="preserve">
Derwents POCP (Atmospheric Environment Vol. 32, No. 14/15, pp. 2429Ð2441, 1998) is 12.3, but only representative for one trajectory.
</t>
        </r>
      </text>
    </comment>
    <comment ref="F3" authorId="0" shapeId="0" xr:uid="{00000000-0006-0000-0A00-000003000000}">
      <text>
        <r>
          <rPr>
            <sz val="9"/>
            <color indexed="81"/>
            <rFont val="Tahoma"/>
            <family val="2"/>
          </rPr>
          <t xml:space="preserve">Being a very small molecule methane is assumed to contribute to particle formation at a negligable amount
</t>
        </r>
      </text>
    </comment>
    <comment ref="D4" authorId="0" shapeId="0" xr:uid="{00000000-0006-0000-0A00-000004000000}">
      <text>
        <r>
          <rPr>
            <sz val="9"/>
            <color indexed="81"/>
            <rFont val="Tahoma"/>
            <family val="2"/>
          </rPr>
          <t xml:space="preserve">0.14 to 0.36 according to Johanna Altenstedt and Karin Pleijel, IVL report </t>
        </r>
        <r>
          <rPr>
            <i/>
            <sz val="9"/>
            <color indexed="81"/>
            <rFont val="Tahoma"/>
            <family val="2"/>
          </rPr>
          <t>B-1305
Göteborg, Sweden september 1998</t>
        </r>
        <r>
          <rPr>
            <sz val="9"/>
            <color indexed="81"/>
            <rFont val="Tahoma"/>
            <family val="2"/>
          </rPr>
          <t xml:space="preserve">
Derwents POCP (Atmospheric Environment Vol. 32, No. 14/15, pp. 2429Ð2441, 1998) is 12.3, but only representative for one trajectory.
</t>
        </r>
      </text>
    </comment>
    <comment ref="F4" authorId="0" shapeId="0" xr:uid="{00000000-0006-0000-0A00-00000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 authorId="0" shapeId="0" xr:uid="{00000000-0006-0000-0A00-000006000000}">
      <text>
        <r>
          <rPr>
            <sz val="9"/>
            <color indexed="81"/>
            <rFont val="Tahoma"/>
            <family val="2"/>
          </rPr>
          <t>0.39-0.71 according to 
ohanna Altenstedt and Karin Pleijel, IVL report B-1305
Göteborg, september 1998</t>
        </r>
      </text>
    </comment>
    <comment ref="F5" authorId="0" shapeId="0" xr:uid="{00000000-0006-0000-0A00-00000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 authorId="0" shapeId="0" xr:uid="{00000000-0006-0000-0A00-000008000000}">
      <text>
        <r>
          <rPr>
            <sz val="9"/>
            <color indexed="81"/>
            <rFont val="Tahoma"/>
            <family val="2"/>
          </rPr>
          <t>0.53-0.92
according to Johanna Altenstedt and Karin Pleijel, IVL report B-1305
Göteborg, Sweden september 1998</t>
        </r>
      </text>
    </comment>
    <comment ref="F6" authorId="0" shapeId="0" xr:uid="{00000000-0006-0000-0A00-00000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 authorId="0" shapeId="0" xr:uid="{00000000-0006-0000-0A00-00000A000000}">
      <text>
        <r>
          <rPr>
            <sz val="9"/>
            <color indexed="81"/>
            <rFont val="Tahoma"/>
            <family val="2"/>
          </rPr>
          <t>0.47 - 0.69 according to Johanna Altenstedt and Karin Pleijel, IVL report B-1305
Göteborg, Sweden september 1998</t>
        </r>
      </text>
    </comment>
    <comment ref="F7" authorId="0" shapeId="0" xr:uid="{00000000-0006-0000-0A00-00000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 authorId="0" shapeId="0" xr:uid="{00000000-0006-0000-0A00-00000C000000}">
      <text>
        <r>
          <rPr>
            <sz val="9"/>
            <color indexed="81"/>
            <rFont val="Tahoma"/>
            <family val="2"/>
          </rPr>
          <t>0.73-1.16 according to Johanna Altenstedt and Karin Pleijel, IVL report B-1305
Göteborg, Sweden september 1998</t>
        </r>
      </text>
    </comment>
    <comment ref="F8" authorId="0" shapeId="0" xr:uid="{00000000-0006-0000-0A00-00000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 authorId="0" shapeId="0" xr:uid="{00000000-0006-0000-0A00-00000E000000}">
      <text>
        <r>
          <rPr>
            <sz val="9"/>
            <color indexed="81"/>
            <rFont val="Tahoma"/>
            <family val="2"/>
          </rPr>
          <t xml:space="preserve">0.25-0.65 according to Johanna Altenstedt and Karin Pleijel, IVL report B-1305
Göteborg, Sweden september 1998
</t>
        </r>
      </text>
    </comment>
    <comment ref="F9" authorId="0" shapeId="0" xr:uid="{00000000-0006-0000-0A00-00000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0" authorId="0" shapeId="0" xr:uid="{00000000-0006-0000-0A00-000010000000}">
      <text>
        <r>
          <rPr>
            <sz val="9"/>
            <color indexed="81"/>
            <rFont val="Tahoma"/>
            <family val="2"/>
          </rPr>
          <t xml:space="preserve">= dimetylpropan
</t>
        </r>
      </text>
    </comment>
    <comment ref="D10" authorId="0" shapeId="0" xr:uid="{00000000-0006-0000-0A00-000011000000}">
      <text>
        <r>
          <rPr>
            <sz val="9"/>
            <color indexed="81"/>
            <rFont val="Tahoma"/>
            <family val="2"/>
          </rPr>
          <t xml:space="preserve">Derwent et al. Atmospheric Environment Vol. 32, No. 14/15, pp. 2429Ð2441, 1998
</t>
        </r>
      </text>
    </comment>
    <comment ref="F10" authorId="0" shapeId="0" xr:uid="{00000000-0006-0000-0A00-00001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 authorId="0" shapeId="0" xr:uid="{00000000-0006-0000-0A00-000013000000}">
      <text>
        <r>
          <rPr>
            <sz val="9"/>
            <color indexed="81"/>
            <rFont val="Tahoma"/>
            <family val="2"/>
          </rPr>
          <t>0.81 - 1.28 according to Johanna Altenstedt and Karin Pleijel, IVL report B-1305 Göteborg, Sweden september 1998</t>
        </r>
      </text>
    </comment>
    <comment ref="F11" authorId="0" shapeId="0" xr:uid="{00000000-0006-0000-0A00-00001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 authorId="0" shapeId="0" xr:uid="{00000000-0006-0000-0A00-000015000000}">
      <text>
        <r>
          <rPr>
            <sz val="9"/>
            <color indexed="81"/>
            <rFont val="Tahoma"/>
            <family val="2"/>
          </rPr>
          <t>0.69 - 0.96 according to Johanna Altenstedt and Karin Pleijel, IVL report B-1305 Göteborg, Sweden september 1998</t>
        </r>
      </text>
    </comment>
    <comment ref="F12" authorId="0" shapeId="0" xr:uid="{00000000-0006-0000-0A00-00001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 authorId="0" shapeId="0" xr:uid="{00000000-0006-0000-0A00-000017000000}">
      <text>
        <r>
          <rPr>
            <sz val="9"/>
            <color indexed="81"/>
            <rFont val="Tahoma"/>
            <family val="2"/>
          </rPr>
          <t>0.73 - 1.08 
according to Johanna Altenstedt and Karin Pleijel, IVL report B-1305 Göteborg, Sweden september 1998</t>
        </r>
      </text>
    </comment>
    <comment ref="F13" authorId="0" shapeId="0" xr:uid="{00000000-0006-0000-0A00-00001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 authorId="0" shapeId="0" xr:uid="{00000000-0006-0000-0A00-000019000000}">
      <text>
        <r>
          <rPr>
            <sz val="9"/>
            <color indexed="81"/>
            <rFont val="Tahoma"/>
            <family val="2"/>
          </rPr>
          <t xml:space="preserve">Derwent et al. Atmospheric Environment Vol. 32, No. 14/15, pp. 2429Ð2441, 1998
</t>
        </r>
      </text>
    </comment>
    <comment ref="F14" authorId="0" shapeId="0" xr:uid="{00000000-0006-0000-0A00-00001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5" authorId="0" shapeId="0" xr:uid="{00000000-0006-0000-0A00-00001B000000}">
      <text>
        <r>
          <rPr>
            <sz val="9"/>
            <color indexed="81"/>
            <rFont val="Tahoma"/>
            <family val="2"/>
          </rPr>
          <t xml:space="preserve">Derwent et al. Atmospheric Environment Vol. 32, No. 14/15, pp. 2429Ð2441, 1998
</t>
        </r>
      </text>
    </comment>
    <comment ref="F15" authorId="0" shapeId="0" xr:uid="{00000000-0006-0000-0A00-00001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6" authorId="0" shapeId="0" xr:uid="{00000000-0006-0000-0A00-00001D000000}">
      <text>
        <r>
          <rPr>
            <sz val="9"/>
            <color indexed="81"/>
            <rFont val="Tahoma"/>
            <family val="2"/>
          </rPr>
          <t xml:space="preserve">0.76 - 1.23 according to Johanna Altenstedt and Karin Pleijel, IVL report B-1305 Göteborg, Sweden september 1998
</t>
        </r>
      </text>
    </comment>
    <comment ref="F16" authorId="0" shapeId="0" xr:uid="{00000000-0006-0000-0A00-00001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7" authorId="0" shapeId="0" xr:uid="{00000000-0006-0000-0A00-00001F000000}">
      <text>
        <r>
          <rPr>
            <sz val="9"/>
            <color indexed="81"/>
            <rFont val="Tahoma"/>
            <family val="2"/>
          </rPr>
          <t xml:space="preserve">Derwent et al. Atmospheric Environment Vol. 32, No. 14/15, pp. 2429Ð2441, 1998
</t>
        </r>
      </text>
    </comment>
    <comment ref="F17" authorId="0" shapeId="0" xr:uid="{00000000-0006-0000-0A00-00002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8" authorId="0" shapeId="0" xr:uid="{00000000-0006-0000-0A00-000021000000}">
      <text>
        <r>
          <rPr>
            <sz val="9"/>
            <color indexed="81"/>
            <rFont val="Tahoma"/>
            <family val="2"/>
          </rPr>
          <t xml:space="preserve">Derwent et al. Atmospheric Environment Vol. 32, No. 14/15, pp. 2429Ð2441, 1998
</t>
        </r>
      </text>
    </comment>
    <comment ref="F18" authorId="0" shapeId="0" xr:uid="{00000000-0006-0000-0A00-00002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9" authorId="0" shapeId="0" xr:uid="{00000000-0006-0000-0A00-000023000000}">
      <text>
        <r>
          <rPr>
            <sz val="9"/>
            <color indexed="81"/>
            <rFont val="Tahoma"/>
            <family val="2"/>
          </rPr>
          <t xml:space="preserve">0.74 - 1.22 according to Johanna Altenstedt and Karin Pleijel, IVL report B-1305 Göteborg, Sweden september 1998
</t>
        </r>
      </text>
    </comment>
    <comment ref="F19" authorId="0" shapeId="0" xr:uid="{00000000-0006-0000-0A00-00002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0" authorId="0" shapeId="0" xr:uid="{00000000-0006-0000-0A00-000025000000}">
      <text>
        <r>
          <rPr>
            <sz val="9"/>
            <color indexed="81"/>
            <rFont val="Tahoma"/>
            <family val="2"/>
          </rPr>
          <t xml:space="preserve">0.71 - 1.03 according to Johanna Altenstedt and Karin Pleijel, IVL report B-1305 Göteborg, Sweden september 1998
</t>
        </r>
      </text>
    </comment>
    <comment ref="F20" authorId="0" shapeId="0" xr:uid="{00000000-0006-0000-0A00-00002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1" authorId="0" shapeId="0" xr:uid="{00000000-0006-0000-0A00-000027000000}">
      <text>
        <r>
          <rPr>
            <sz val="9"/>
            <color indexed="81"/>
            <rFont val="Tahoma"/>
            <family val="2"/>
          </rPr>
          <t>0.73 - 1.21 according to Johanna Altenstedt and Karin Pleijel, IVL report B-1305 Göteborg, Sweden september 1998</t>
        </r>
      </text>
    </comment>
    <comment ref="F21" authorId="0" shapeId="0" xr:uid="{00000000-0006-0000-0A00-00002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2" authorId="0" shapeId="0" xr:uid="{00000000-0006-0000-0A00-000029000000}">
      <text>
        <r>
          <rPr>
            <sz val="9"/>
            <color indexed="81"/>
            <rFont val="Tahoma"/>
            <family val="2"/>
          </rPr>
          <t xml:space="preserve">0.71 - 1.04  according to Johanna Altenstedt and Karin Pleijel, IVL report B-1305 Göteborg, Sweden september 1998
</t>
        </r>
      </text>
    </comment>
    <comment ref="F22" authorId="0" shapeId="0" xr:uid="{00000000-0006-0000-0A00-00002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3" authorId="0" shapeId="0" xr:uid="{00000000-0006-0000-0A00-00002B000000}">
      <text>
        <r>
          <rPr>
            <sz val="9"/>
            <color indexed="81"/>
            <rFont val="Tahoma"/>
            <family val="2"/>
          </rPr>
          <t xml:space="preserve">0.72 - 1.18  according to Johanna Altenstedt and Karin Pleijel, IVL report B-1305 Göteborg, Sweden september 1998
</t>
        </r>
      </text>
    </comment>
    <comment ref="F23" authorId="0" shapeId="0" xr:uid="{00000000-0006-0000-0A00-00002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4" authorId="0" shapeId="0" xr:uid="{00000000-0006-0000-0A00-00002D000000}">
      <text>
        <r>
          <rPr>
            <sz val="9"/>
            <color indexed="81"/>
            <rFont val="Tahoma"/>
            <family val="2"/>
          </rPr>
          <t xml:space="preserve">0.71 - 1.05  according to Johanna Altenstedt and Karin Pleijel, IVL report B-1305 Göteborg, Sweden september 1998
</t>
        </r>
      </text>
    </comment>
    <comment ref="F24" authorId="0" shapeId="0" xr:uid="{00000000-0006-0000-0A00-00002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5" authorId="0" shapeId="0" xr:uid="{00000000-0006-0000-0A00-00002F000000}">
      <text>
        <r>
          <rPr>
            <sz val="9"/>
            <color indexed="81"/>
            <rFont val="Tahoma"/>
            <family val="2"/>
          </rPr>
          <t xml:space="preserve">0.69 - 1.15  according to Johanna Altenstedt and Karin Pleijel, IVL report B-1305 Göteborg, Sweden september 1998
</t>
        </r>
      </text>
    </comment>
    <comment ref="F25" authorId="0" shapeId="0" xr:uid="{00000000-0006-0000-0A00-00003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6" authorId="0" shapeId="0" xr:uid="{00000000-0006-0000-0A00-000031000000}">
      <text>
        <r>
          <rPr>
            <sz val="9"/>
            <color indexed="81"/>
            <rFont val="Tahoma"/>
            <family val="2"/>
          </rPr>
          <t xml:space="preserve">0.70 - 1.14  according to Johanna Altenstedt and Karin Pleijel, IVL report B-1305 Göteborg, Sweden september 1998
</t>
        </r>
      </text>
    </comment>
    <comment ref="F26" authorId="0" shapeId="0" xr:uid="{00000000-0006-0000-0A00-00003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8" authorId="0" shapeId="0" xr:uid="{00000000-0006-0000-0A00-000033000000}">
      <text>
        <r>
          <rPr>
            <sz val="9"/>
            <color indexed="81"/>
            <rFont val="Tahoma"/>
            <family val="2"/>
          </rPr>
          <t xml:space="preserve">Derwent et al. Atmospheric Environment Vol. 32, No. 14/15, pp. 2429Ð2441, 1998
</t>
        </r>
      </text>
    </comment>
    <comment ref="F28" authorId="0" shapeId="0" xr:uid="{00000000-0006-0000-0A00-00003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9" authorId="0" shapeId="0" xr:uid="{00000000-0006-0000-0A00-000035000000}">
      <text>
        <r>
          <rPr>
            <sz val="9"/>
            <color indexed="81"/>
            <rFont val="Tahoma"/>
            <family val="2"/>
          </rPr>
          <t xml:space="preserve">0.38 - 1.12  according to Johanna Altenstedt and Karin Pleijel, IVL report B-1305 Göteborg, Sweden september 1998
</t>
        </r>
      </text>
    </comment>
    <comment ref="F29" authorId="0" shapeId="0" xr:uid="{00000000-0006-0000-0A00-00003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0" authorId="0" shapeId="0" xr:uid="{00000000-0006-0000-0A00-000037000000}">
      <text>
        <r>
          <rPr>
            <sz val="9"/>
            <color indexed="81"/>
            <rFont val="Tahoma"/>
            <family val="2"/>
          </rPr>
          <t xml:space="preserve">Derwent et al. Atmospheric Environment Vol. 32, No. 14/15, pp. 2429Ð2441, 1998
</t>
        </r>
      </text>
    </comment>
    <comment ref="F30" authorId="0" shapeId="0" xr:uid="{00000000-0006-0000-0A00-00003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1" authorId="0" shapeId="0" xr:uid="{00000000-0006-0000-0A00-000039000000}">
      <text>
        <r>
          <rPr>
            <sz val="9"/>
            <color indexed="81"/>
            <rFont val="Tahoma"/>
            <family val="2"/>
          </rPr>
          <t xml:space="preserve">Derwent et al. Atmospheric Environment Vol. 32, No. 14/15, pp. 2429Ð2441, 1998
</t>
        </r>
      </text>
    </comment>
    <comment ref="F31" authorId="0" shapeId="0" xr:uid="{00000000-0006-0000-0A00-00003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33" authorId="0" shapeId="0" xr:uid="{00000000-0006-0000-0A00-00003B000000}">
      <text>
        <r>
          <rPr>
            <sz val="9"/>
            <color indexed="81"/>
            <rFont val="Tahoma"/>
            <family val="2"/>
          </rPr>
          <t xml:space="preserve">Ethene (=ethylene) is produced naturally from vegetation. Anthropogenic ethene is emitted as a tracer from many combustion processes and from handling of gasoline. Emissions from petrochemical plants occur but are not a major source in a global perspective. Ethene in air is present as a gas. The residence time is in the order of days to weeks, depending on the photochemical activity. Emissions from product systems are typically coming from many small ground level sources distributed over large areas
The flow group assessed is anthropogenic emissions of ethene to air, anyplace in the world 1990 and at any source strength. </t>
        </r>
      </text>
    </comment>
    <comment ref="D33" authorId="0" shapeId="0" xr:uid="{00000000-0006-0000-0A00-00003C000000}">
      <text>
        <r>
          <rPr>
            <sz val="9"/>
            <color indexed="81"/>
            <rFont val="Tahoma"/>
            <family val="2"/>
          </rPr>
          <t xml:space="preserve">Reference substance
</t>
        </r>
      </text>
    </comment>
    <comment ref="F33" authorId="0" shapeId="0" xr:uid="{00000000-0006-0000-0A00-00003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33" authorId="0" shapeId="0" xr:uid="{00000000-0006-0000-0A00-00003E000000}">
      <text>
        <r>
          <rPr>
            <sz val="9"/>
            <color indexed="81"/>
            <rFont val="Tahoma"/>
            <family val="2"/>
          </rPr>
          <t>Victorin (Victorin, K., “Risk assessment of carcinogenic air pollutants”, IMM-report 1/98, Karolinska institutet, Stockholm 1998) uses USEPA provisional estimates of the lifetime cancer risk for ethylene-oxide of 1E-4 per </t>
        </r>
        <r>
          <rPr>
            <sz val="9"/>
            <color indexed="81"/>
            <rFont val="Albertus MT"/>
            <family val="1"/>
          </rPr>
          <t>μ</t>
        </r>
        <r>
          <rPr>
            <sz val="9"/>
            <color indexed="81"/>
            <rFont val="Tahoma"/>
            <family val="2"/>
          </rPr>
          <t xml:space="preserve">g/m3 and assumes a metabolisation rate of 5% to estimate the cancer risk for ethylene. This will give a risk estimate of 5E-6 per μg/m3, which is 0.074 times the risk of benzene if assuming the same dispersion patterns as benzene.
</t>
        </r>
      </text>
    </comment>
    <comment ref="D34" authorId="0" shapeId="0" xr:uid="{00000000-0006-0000-0A00-00003F000000}">
      <text>
        <r>
          <rPr>
            <sz val="9"/>
            <color indexed="81"/>
            <rFont val="Tahoma"/>
            <family val="2"/>
          </rPr>
          <t xml:space="preserve">1.17 - 1.33  according to Johanna Altenstedt and Karin Pleijel, IVL report B-1305 Göteborg, Sweden september 1998
</t>
        </r>
      </text>
    </comment>
    <comment ref="F34" authorId="0" shapeId="0" xr:uid="{00000000-0006-0000-0A00-00004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34" authorId="0" shapeId="0" xr:uid="{00000000-0006-0000-0A00-000041000000}">
      <text>
        <r>
          <rPr>
            <sz val="9"/>
            <color indexed="81"/>
            <rFont val="Tahoma"/>
            <family val="2"/>
          </rPr>
          <t xml:space="preserve">Victorin (Victorin, K., “Risk assessment of carcinogenic air pollutants”, IMM-report 1/98, Karolinska institutet, Stockholm 1998) uses USEPA estimates of the lifetime cancer risk for propylene-oxide for which the lifetime inhalation unit risk is 3.710-6 per g/m3 and assumes a metabolisation rate of 10% to estimate the cancer risk for propylene. This will give an estimate that is 0.074 times the risk of benzene if assuming the same dispersion patterns as benzene.
</t>
        </r>
      </text>
    </comment>
    <comment ref="D35" authorId="0" shapeId="0" xr:uid="{00000000-0006-0000-0A00-000042000000}">
      <text>
        <r>
          <rPr>
            <sz val="9"/>
            <color indexed="81"/>
            <rFont val="Tahoma"/>
            <family val="2"/>
          </rPr>
          <t xml:space="preserve">1.15 - 1.37  according to Johanna Altenstedt and Karin Pleijel, IVL report B-1305 Göteborg, Sweden september 1998
</t>
        </r>
      </text>
    </comment>
    <comment ref="F35" authorId="0" shapeId="0" xr:uid="{00000000-0006-0000-0A00-00004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6" authorId="0" shapeId="0" xr:uid="{00000000-0006-0000-0A00-000044000000}">
      <text>
        <r>
          <rPr>
            <sz val="9"/>
            <color indexed="81"/>
            <rFont val="Tahoma"/>
            <family val="2"/>
          </rPr>
          <t xml:space="preserve">1.00 - 1.27  according to Johanna Altenstedt and Karin Pleijel, IVL report B-1305 Göteborg, Sweden september 1998
</t>
        </r>
      </text>
    </comment>
    <comment ref="F36" authorId="0" shapeId="0" xr:uid="{00000000-0006-0000-0A00-00004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7" authorId="0" shapeId="0" xr:uid="{00000000-0006-0000-0A00-000046000000}">
      <text>
        <r>
          <rPr>
            <sz val="9"/>
            <color indexed="81"/>
            <rFont val="Tahoma"/>
            <family val="2"/>
          </rPr>
          <t xml:space="preserve">Derwent et al. Atmospheric Environment Vol. 32, No. 14/15, pp. 2429Ð2441, 1998
</t>
        </r>
      </text>
    </comment>
    <comment ref="F37" authorId="0" shapeId="0" xr:uid="{00000000-0006-0000-0A00-00004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8" authorId="0" shapeId="0" xr:uid="{00000000-0006-0000-0A00-000048000000}">
      <text>
        <r>
          <rPr>
            <sz val="9"/>
            <color indexed="81"/>
            <rFont val="Tahoma"/>
            <family val="2"/>
          </rPr>
          <t xml:space="preserve">1.07 - 1.35  according to Johanna Altenstedt and Karin Pleijel, IVL report B-1305 Göteborg, Sweden september 1998
</t>
        </r>
      </text>
    </comment>
    <comment ref="F38" authorId="0" shapeId="0" xr:uid="{00000000-0006-0000-0A00-00004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9" authorId="0" shapeId="0" xr:uid="{00000000-0006-0000-0A00-00004A000000}">
      <text>
        <r>
          <rPr>
            <sz val="9"/>
            <color indexed="81"/>
            <rFont val="Tahoma"/>
            <family val="2"/>
          </rPr>
          <t xml:space="preserve">1.16 - 1.41  according to Johanna Altenstedt and Karin Pleijel, IVL report B-1305 Göteborg, Sweden september 1998
</t>
        </r>
      </text>
    </comment>
    <comment ref="F39" authorId="0" shapeId="0" xr:uid="{00000000-0006-0000-0A00-00004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0" authorId="0" shapeId="0" xr:uid="{00000000-0006-0000-0A00-00004C000000}">
      <text>
        <r>
          <rPr>
            <sz val="9"/>
            <color indexed="81"/>
            <rFont val="Tahoma"/>
            <family val="2"/>
          </rPr>
          <t xml:space="preserve">0.94 - 1.01  according to Johanna Altenstedt and Karin Pleijel, IVL report B-1305 Göteborg, Sweden september 1998
</t>
        </r>
      </text>
    </comment>
    <comment ref="F40" authorId="0" shapeId="0" xr:uid="{00000000-0006-0000-0A00-00004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1" authorId="0" shapeId="0" xr:uid="{00000000-0006-0000-0A00-00004E000000}">
      <text>
        <r>
          <rPr>
            <sz val="9"/>
            <color indexed="81"/>
            <rFont val="Tahoma"/>
            <family val="2"/>
          </rPr>
          <t xml:space="preserve">0.72 - 1.51  according to Johanna Altenstedt and Karin Pleijel, IVL report B-1305 Göteborg, Sweden september 1998
</t>
        </r>
      </text>
    </comment>
    <comment ref="F41" authorId="0" shapeId="0" xr:uid="{00000000-0006-0000-0A00-00004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2" authorId="0" shapeId="0" xr:uid="{00000000-0006-0000-0A00-000050000000}">
      <text>
        <r>
          <rPr>
            <sz val="9"/>
            <color indexed="81"/>
            <rFont val="Tahoma"/>
            <family val="2"/>
          </rPr>
          <t xml:space="preserve">Derwent et al. Atmospheric Environment Vol. 32, No. 14/15, pp. 2429Ð2441, 1998
</t>
        </r>
      </text>
    </comment>
    <comment ref="F42" authorId="0" shapeId="0" xr:uid="{00000000-0006-0000-0A00-000051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3" authorId="0" shapeId="0" xr:uid="{00000000-0006-0000-0A00-000052000000}">
      <text>
        <r>
          <rPr>
            <sz val="9"/>
            <color indexed="81"/>
            <rFont val="Tahoma"/>
            <family val="2"/>
          </rPr>
          <t xml:space="preserve">Derwent et al. Atmospheric Environment Vol. 32, No. 14/15, pp. 2429Ð2441, 1998
</t>
        </r>
      </text>
    </comment>
    <comment ref="F43" authorId="0" shapeId="0" xr:uid="{00000000-0006-0000-0A00-00005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4" authorId="0" shapeId="0" xr:uid="{00000000-0006-0000-0A00-000054000000}">
      <text>
        <r>
          <rPr>
            <sz val="9"/>
            <color indexed="81"/>
            <rFont val="Tahoma"/>
            <family val="2"/>
          </rPr>
          <t xml:space="preserve">Derwent et al. Atmospheric Environment Vol. 32, No. 14/15, pp. 2429Ð2441, 1998
</t>
        </r>
      </text>
    </comment>
    <comment ref="F44" authorId="0" shapeId="0" xr:uid="{00000000-0006-0000-0A00-00005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45" authorId="0" shapeId="0" xr:uid="{00000000-0006-0000-0A00-000056000000}">
      <text>
        <r>
          <rPr>
            <sz val="9"/>
            <color indexed="81"/>
            <rFont val="Tahoma"/>
            <family val="2"/>
          </rPr>
          <t xml:space="preserve">Butadiene is emitted as a tracer from many combustion processes, such as burning of wood and from car engines. Butadiene in air is present as a gas. The residence time is in the order of days to weeks, depending on the photochemical activity.
The flow group assessed is anthropogenic emissions of butadiene to air, anyplace in the world 1990 and at any source strength. </t>
        </r>
      </text>
    </comment>
    <comment ref="D45" authorId="0" shapeId="0" xr:uid="{00000000-0006-0000-0A00-000057000000}">
      <text>
        <r>
          <rPr>
            <sz val="9"/>
            <color indexed="81"/>
            <rFont val="Tahoma"/>
            <family val="2"/>
          </rPr>
          <t xml:space="preserve">Derwent et al. Atmospheric Environment Vol. 32, No. 14/15, pp. 2429Ð2441, 1998
</t>
        </r>
      </text>
    </comment>
    <comment ref="F45" authorId="0" shapeId="0" xr:uid="{00000000-0006-0000-0A00-00005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45" authorId="0" shapeId="0" xr:uid="{00000000-0006-0000-0A00-000059000000}">
      <text>
        <r>
          <rPr>
            <sz val="9"/>
            <color indexed="81"/>
            <rFont val="Tahoma"/>
            <family val="2"/>
          </rPr>
          <t>USEPA estimates the inhalation unit risk for 1,3 Butadiene exposure to 3 × 10-5 per µg/m3. WHO (2010) estmates the life time risk for benzene exposure5 per µg/m3.
Assuming similar dispersion and exposure patterns, the YOLL risk caused by an emission of 1 kg  butadiene is 3/5.9*benzene risk.</t>
        </r>
      </text>
    </comment>
    <comment ref="D47" authorId="0" shapeId="0" xr:uid="{00000000-0006-0000-0A00-00005A000000}">
      <text>
        <r>
          <rPr>
            <sz val="9"/>
            <color indexed="81"/>
            <rFont val="Tahoma"/>
            <family val="2"/>
          </rPr>
          <t xml:space="preserve">1.34 - 1.69  according to Johanna Altenstedt and Karin Pleijel, IVL report B-1305 Göteborg, Sweden september 1998
</t>
        </r>
      </text>
    </comment>
    <comment ref="F47" authorId="0" shapeId="0" xr:uid="{00000000-0006-0000-0A00-00005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8" authorId="0" shapeId="0" xr:uid="{00000000-0006-0000-0A00-00005C000000}">
      <text>
        <r>
          <rPr>
            <sz val="9"/>
            <color indexed="81"/>
            <rFont val="Tahoma"/>
            <family val="2"/>
          </rPr>
          <t>0.76 - 1.00  according to Johanna Altenstedt and Karin Pleijel, IVL report B-1305 Göteborg, Sweden september 1998</t>
        </r>
      </text>
    </comment>
    <comment ref="F48" authorId="0" shapeId="0" xr:uid="{00000000-0006-0000-0A00-00005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0" authorId="0" shapeId="0" xr:uid="{00000000-0006-0000-0A00-00005E000000}">
      <text>
        <r>
          <rPr>
            <sz val="9"/>
            <color indexed="81"/>
            <rFont val="Tahoma"/>
            <family val="2"/>
          </rPr>
          <t xml:space="preserve">0.26 - 0.59  according to Johanna Altenstedt and Karin Pleijel, IVL report B-1305 Göteborg, Sweden september 1998
</t>
        </r>
      </text>
    </comment>
    <comment ref="F50" authorId="0" shapeId="0" xr:uid="{00000000-0006-0000-0A00-00005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2" authorId="0" shapeId="0" xr:uid="{00000000-0006-0000-0A00-000060000000}">
      <text>
        <r>
          <rPr>
            <sz val="9"/>
            <color indexed="81"/>
            <rFont val="Tahoma"/>
            <family val="2"/>
          </rPr>
          <t xml:space="preserve">0.23 - 0.47  according to Johanna Altenstedt and Karin Pleijel, IVL report B-1305 Göteborg, Sweden september 1998
</t>
        </r>
      </text>
    </comment>
    <comment ref="F52" authorId="0" shapeId="0" xr:uid="{00000000-0006-0000-0A00-000061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52" authorId="0" shapeId="0" xr:uid="{00000000-0006-0000-0A00-000062000000}">
      <text>
        <r>
          <rPr>
            <sz val="9"/>
            <color indexed="81"/>
            <rFont val="Tahoma"/>
            <family val="2"/>
          </rPr>
          <t xml:space="preserve">The risk for leukemia from cancer is estiamted to 5.9 cases per million among people who experience lifelong exposure to benzene concentrations of 1 μg m−3 in air. (WHO 2010) A study of personal exposure to benzene in air in six european cities showed an average exposure to about 15 </t>
        </r>
        <r>
          <rPr>
            <sz val="9"/>
            <color indexed="81"/>
            <rFont val="Albertus MT"/>
            <family val="1"/>
          </rPr>
          <t>μ</t>
        </r>
        <r>
          <rPr>
            <sz val="9"/>
            <color indexed="81"/>
            <rFont val="Tahoma"/>
            <family val="2"/>
          </rPr>
          <t>g/m3, which was shown to be twice the ambient air exposure. (Cocheo et al. Nature 404, 141-142 (9 March 2000) | doi:10.1038/35004651) Emissions to ambient air of benzene thus causes 6/1000000*7200000000*15/2*1/75 = 4.32E3 cases per year and  5.18E4 YOLLs per year with an expected reduction in life expectancy of 12 years per case.
The global emission of benzene is estimated to 5.6 TgC/year by Henze et al (Atmos. Chem. Phys., 8, 2405–2421, 2008). The average YOLLs/kg benzene is therefore 5.18E4/(5.6E9*28/12) = 3.96E-6</t>
        </r>
      </text>
    </comment>
    <comment ref="D53" authorId="0" shapeId="0" xr:uid="{00000000-0006-0000-0A00-000063000000}">
      <text>
        <r>
          <rPr>
            <sz val="9"/>
            <color indexed="81"/>
            <rFont val="Tahoma"/>
            <family val="2"/>
          </rPr>
          <t xml:space="preserve">0.30 - 0.67  according to Johanna Altenstedt and Karin Pleijel, IVL report B-1305 Göteborg, Sweden september 1998
</t>
        </r>
      </text>
    </comment>
    <comment ref="F53" authorId="0" shapeId="0" xr:uid="{00000000-0006-0000-0A00-00006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4" authorId="0" shapeId="0" xr:uid="{00000000-0006-0000-0A00-000065000000}">
      <text>
        <r>
          <rPr>
            <sz val="9"/>
            <color indexed="81"/>
            <rFont val="Tahoma"/>
            <family val="2"/>
          </rPr>
          <t xml:space="preserve">0.61 - 0.89  according to Johanna Altenstedt and Karin Pleijel, IVL report B-1305 Göteborg, Sweden september 1998
</t>
        </r>
      </text>
    </comment>
    <comment ref="F54" authorId="0" shapeId="0" xr:uid="{00000000-0006-0000-0A00-00006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5" authorId="0" shapeId="0" xr:uid="{00000000-0006-0000-0A00-000067000000}">
      <text>
        <r>
          <rPr>
            <sz val="9"/>
            <color indexed="81"/>
            <rFont val="Tahoma"/>
            <family val="2"/>
          </rPr>
          <t xml:space="preserve">1.02 - 1.14  according to Johanna Altenstedt and Karin Pleijel, IVL report B-1305 Göteborg, Sweden september 1998
</t>
        </r>
      </text>
    </comment>
    <comment ref="F55" authorId="0" shapeId="0" xr:uid="{00000000-0006-0000-0A00-00006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6" authorId="0" shapeId="0" xr:uid="{00000000-0006-0000-0A00-000069000000}">
      <text>
        <r>
          <rPr>
            <sz val="9"/>
            <color indexed="81"/>
            <rFont val="Tahoma"/>
            <family val="2"/>
          </rPr>
          <t xml:space="preserve">0.96 - 1.10  according to Johanna Altenstedt and Karin Pleijel, IVL report B-1305 Göteborg, Sweden september 1998
</t>
        </r>
      </text>
    </comment>
    <comment ref="F56" authorId="0" shapeId="0" xr:uid="{00000000-0006-0000-0A00-00006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7" authorId="0" shapeId="0" xr:uid="{00000000-0006-0000-0A00-00006B000000}">
      <text>
        <r>
          <rPr>
            <sz val="9"/>
            <color indexed="81"/>
            <rFont val="Tahoma"/>
            <family val="2"/>
          </rPr>
          <t xml:space="preserve">0.74 - 0.90  according to Johanna Altenstedt and Karin Pleijel, IVL report B-1305 Göteborg, Sweden september 1998
</t>
        </r>
      </text>
    </comment>
    <comment ref="F57" authorId="0" shapeId="0" xr:uid="{00000000-0006-0000-0A00-00006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8" authorId="0" shapeId="0" xr:uid="{00000000-0006-0000-0A00-00006D000000}">
      <text>
        <r>
          <rPr>
            <sz val="9"/>
            <color indexed="81"/>
            <rFont val="Tahoma"/>
            <family val="2"/>
          </rPr>
          <t xml:space="preserve">0.58 - 0.66  according to Johanna Altenstedt and Karin Pleijel, IVL report B-1305 Göteborg, Sweden september 1998
</t>
        </r>
      </text>
    </comment>
    <comment ref="F58" authorId="0" shapeId="0" xr:uid="{00000000-0006-0000-0A00-00006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9" authorId="0" shapeId="0" xr:uid="{00000000-0006-0000-0A00-00006F000000}">
      <text>
        <r>
          <rPr>
            <sz val="9"/>
            <color indexed="81"/>
            <rFont val="Tahoma"/>
            <family val="2"/>
          </rPr>
          <t xml:space="preserve">0.75 - 0.87  according to Johanna Altenstedt and Karin Pleijel, IVL report B-1305 Göteborg, Sweden september 1998
</t>
        </r>
      </text>
    </comment>
    <comment ref="F59" authorId="0" shapeId="0" xr:uid="{00000000-0006-0000-0A00-00007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0" authorId="0" shapeId="0" xr:uid="{00000000-0006-0000-0A00-000071000000}">
      <text>
        <r>
          <rPr>
            <sz val="9"/>
            <color indexed="81"/>
            <rFont val="Tahoma"/>
            <family val="2"/>
          </rPr>
          <t xml:space="preserve">0.59 - 0.68  according to Johanna Altenstedt and Karin Pleijel, IVL report B-1305 Göteborg, Sweden september 1998
</t>
        </r>
      </text>
    </comment>
    <comment ref="F60" authorId="0" shapeId="0" xr:uid="{00000000-0006-0000-0A00-00007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1" authorId="0" shapeId="0" xr:uid="{00000000-0006-0000-0A00-000073000000}">
      <text>
        <r>
          <rPr>
            <sz val="9"/>
            <color indexed="81"/>
            <rFont val="Tahoma"/>
            <family val="2"/>
          </rPr>
          <t xml:space="preserve">0.94 - 1.08  according to Johanna Altenstedt and Karin Pleijel, IVL report B-1305 Göteborg, Sweden september 1998
</t>
        </r>
      </text>
    </comment>
    <comment ref="F61" authorId="0" shapeId="0" xr:uid="{00000000-0006-0000-0A00-00007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2" authorId="0" shapeId="0" xr:uid="{00000000-0006-0000-0A00-000075000000}">
      <text>
        <r>
          <rPr>
            <sz val="9"/>
            <color indexed="81"/>
            <rFont val="Tahoma"/>
            <family val="2"/>
          </rPr>
          <t xml:space="preserve">0.61 - 0.64  according to Johanna Altenstedt and Karin Pleijel, IVL report B-1305 Göteborg, Sweden september 1998
</t>
        </r>
      </text>
    </comment>
    <comment ref="F62" authorId="0" shapeId="0" xr:uid="{00000000-0006-0000-0A00-00007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3" authorId="0" shapeId="0" xr:uid="{00000000-0006-0000-0A00-000077000000}">
      <text>
        <r>
          <rPr>
            <sz val="9"/>
            <color indexed="81"/>
            <rFont val="Tahoma"/>
            <family val="2"/>
          </rPr>
          <t xml:space="preserve">0.94 - 0.97  according to Johanna Altenstedt and Karin Pleijel, IVL report B-1305 Göteborg, Sweden september 1998
</t>
        </r>
      </text>
    </comment>
    <comment ref="F63" authorId="0" shapeId="0" xr:uid="{00000000-0006-0000-0A00-00007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4" authorId="0" shapeId="0" xr:uid="{00000000-0006-0000-0A00-000079000000}">
      <text>
        <r>
          <rPr>
            <sz val="9"/>
            <color indexed="81"/>
            <rFont val="Tahoma"/>
            <family val="2"/>
          </rPr>
          <t xml:space="preserve">0.70 -0.89  according to Johanna Altenstedt and Karin Pleijel, IVL report B-1305 Göteborg, Sweden september 1998
</t>
        </r>
      </text>
    </comment>
    <comment ref="F64" authorId="0" shapeId="0" xr:uid="{00000000-0006-0000-0A00-00007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5" authorId="0" shapeId="0" xr:uid="{00000000-0006-0000-0A00-00007B000000}">
      <text>
        <r>
          <rPr>
            <sz val="9"/>
            <color indexed="81"/>
            <rFont val="Tahoma"/>
            <family val="2"/>
          </rPr>
          <t xml:space="preserve">0.59 - 0.67  according to Johanna Altenstedt and Karin Pleijel, IVL report B-1305 Göteborg, Sweden september 1998
</t>
        </r>
      </text>
    </comment>
    <comment ref="F65" authorId="0" shapeId="0" xr:uid="{00000000-0006-0000-0A00-00007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6" authorId="0" shapeId="0" xr:uid="{00000000-0006-0000-0A00-00007D000000}">
      <text>
        <r>
          <rPr>
            <sz val="9"/>
            <color indexed="81"/>
            <rFont val="Tahoma"/>
            <family val="2"/>
          </rPr>
          <t xml:space="preserve">Derwent et al. Atmospheric Environment Vol. 32, No. 14/15, pp. 2429Ð2441, 1998
</t>
        </r>
      </text>
    </comment>
    <comment ref="F66" authorId="0" shapeId="0" xr:uid="{00000000-0006-0000-0A00-00007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7" authorId="0" shapeId="0" xr:uid="{00000000-0006-0000-0A00-00007F000000}">
      <text>
        <r>
          <rPr>
            <sz val="9"/>
            <color indexed="81"/>
            <rFont val="Tahoma"/>
            <family val="2"/>
          </rPr>
          <t xml:space="preserve">Derwent et al. Atmospheric Environment Vol. 32, No. 14/15, pp. 2429Ð2441, 1998
</t>
        </r>
      </text>
    </comment>
    <comment ref="F67" authorId="0" shapeId="0" xr:uid="{00000000-0006-0000-0A00-00008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9" authorId="0" shapeId="0" xr:uid="{00000000-0006-0000-0A00-000081000000}">
      <text>
        <r>
          <rPr>
            <sz val="9"/>
            <color indexed="81"/>
            <rFont val="Tahoma"/>
            <family val="2"/>
          </rPr>
          <t>0.13 - 0.21  according to Johanna Altenstedt and Karin Pleijel, IVL report B-1305 Göteborg, Sweden september 1998</t>
        </r>
      </text>
    </comment>
    <comment ref="F69" authorId="0" shapeId="0" xr:uid="{00000000-0006-0000-0A00-00008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0" authorId="0" shapeId="0" xr:uid="{00000000-0006-0000-0A00-000083000000}">
      <text>
        <r>
          <rPr>
            <sz val="9"/>
            <color indexed="81"/>
            <rFont val="Tahoma"/>
            <family val="2"/>
          </rPr>
          <t xml:space="preserve">0.44 - 0.63  according to Johanna Altenstedt and Karin Pleijel, IVL report B-1305 Göteborg, Sweden september 1998
</t>
        </r>
      </text>
    </comment>
    <comment ref="F70" authorId="0" shapeId="0" xr:uid="{00000000-0006-0000-0A00-00008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1" authorId="0" shapeId="0" xr:uid="{00000000-0006-0000-0A00-000085000000}">
      <text>
        <r>
          <rPr>
            <sz val="9"/>
            <color indexed="81"/>
            <rFont val="Tahoma"/>
            <family val="2"/>
          </rPr>
          <t xml:space="preserve">Derwent et al. Atmospheric Environment Vol. 32, No. 14/15, pp. 2429Ð2441, 1998
</t>
        </r>
      </text>
    </comment>
    <comment ref="F71" authorId="0" shapeId="0" xr:uid="{00000000-0006-0000-0A00-00008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2" authorId="0" shapeId="0" xr:uid="{00000000-0006-0000-0A00-000087000000}">
      <text>
        <r>
          <rPr>
            <sz val="9"/>
            <color indexed="81"/>
            <rFont val="Tahoma"/>
            <family val="2"/>
          </rPr>
          <t xml:space="preserve">0.37 - 0.43  according to Johanna Altenstedt and Karin Pleijel, IVL report B-1305 Göteborg, Sweden september 1998
</t>
        </r>
      </text>
    </comment>
    <comment ref="F72" authorId="0" shapeId="0" xr:uid="{00000000-0006-0000-0A00-00008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3" authorId="0" shapeId="0" xr:uid="{00000000-0006-0000-0A00-000089000000}">
      <text>
        <r>
          <rPr>
            <sz val="9"/>
            <color indexed="81"/>
            <rFont val="Tahoma"/>
            <family val="2"/>
          </rPr>
          <t xml:space="preserve">0.63 - 0.95  according to Johanna Altenstedt and Karin Pleijel, IVL report B-1305 Göteborg, Sweden september 1998
</t>
        </r>
      </text>
    </comment>
    <comment ref="F73" authorId="0" shapeId="0" xr:uid="{00000000-0006-0000-0A00-00008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4" authorId="0" shapeId="0" xr:uid="{00000000-0006-0000-0A00-00008B000000}">
      <text>
        <r>
          <rPr>
            <sz val="9"/>
            <color indexed="81"/>
            <rFont val="Tahoma"/>
            <family val="2"/>
          </rPr>
          <t xml:space="preserve">Derwent et al. Atmospheric Environment Vol. 32, No. 14/15, pp. 2429Ð2441, 1998
</t>
        </r>
      </text>
    </comment>
    <comment ref="F74" authorId="0" shapeId="0" xr:uid="{00000000-0006-0000-0A00-00008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5" authorId="0" shapeId="0" xr:uid="{00000000-0006-0000-0A00-00008D000000}">
      <text>
        <r>
          <rPr>
            <sz val="9"/>
            <color indexed="81"/>
            <rFont val="Tahoma"/>
            <family val="2"/>
          </rPr>
          <t xml:space="preserve">Derwent et al. Atmospheric Environment Vol. 32, No. 14/15, pp. 2429Ð2441, 1998
</t>
        </r>
      </text>
    </comment>
    <comment ref="F75" authorId="0" shapeId="0" xr:uid="{00000000-0006-0000-0A00-00008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6" authorId="0" shapeId="0" xr:uid="{00000000-0006-0000-0A00-00008F000000}">
      <text>
        <r>
          <rPr>
            <sz val="9"/>
            <color indexed="81"/>
            <rFont val="Tahoma"/>
            <family val="2"/>
          </rPr>
          <t xml:space="preserve">Derwent et al. Atmospheric Environment Vol. 32, No. 14/15, pp. 2429Ð2441, 1998
</t>
        </r>
      </text>
    </comment>
    <comment ref="F76" authorId="0" shapeId="0" xr:uid="{00000000-0006-0000-0A00-00009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7" authorId="0" shapeId="0" xr:uid="{00000000-0006-0000-0A00-000091000000}">
      <text>
        <r>
          <rPr>
            <sz val="9"/>
            <color indexed="81"/>
            <rFont val="Tahoma"/>
            <family val="2"/>
          </rPr>
          <t xml:space="preserve">Derwent et al. Atmospheric Environment Vol. 32, No. 14/15, pp. 2429Ð2441, 1998
</t>
        </r>
      </text>
    </comment>
    <comment ref="F77" authorId="0" shapeId="0" xr:uid="{00000000-0006-0000-0A00-00009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8" authorId="0" shapeId="0" xr:uid="{00000000-0006-0000-0A00-000093000000}">
      <text>
        <r>
          <rPr>
            <sz val="9"/>
            <color indexed="81"/>
            <rFont val="Tahoma"/>
            <family val="2"/>
          </rPr>
          <t xml:space="preserve">Derwent et al. Atmospheric Environment Vol. 32, No. 14/15, pp. 2429Ð2441, 1998
</t>
        </r>
      </text>
    </comment>
    <comment ref="F78" authorId="0" shapeId="0" xr:uid="{00000000-0006-0000-0A00-00009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9" authorId="0" shapeId="0" xr:uid="{00000000-0006-0000-0A00-000095000000}">
      <text>
        <r>
          <rPr>
            <sz val="9"/>
            <color indexed="81"/>
            <rFont val="Tahoma"/>
            <family val="2"/>
          </rPr>
          <t xml:space="preserve">Derwent et al. Atmospheric Environment Vol. 32, No. 14/15, pp. 2429Ð2441, 1998
</t>
        </r>
      </text>
    </comment>
    <comment ref="F79" authorId="0" shapeId="0" xr:uid="{00000000-0006-0000-0A00-00009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0" authorId="0" shapeId="0" xr:uid="{00000000-0006-0000-0A00-000097000000}">
      <text>
        <r>
          <rPr>
            <sz val="9"/>
            <color indexed="81"/>
            <rFont val="Tahoma"/>
            <family val="2"/>
          </rPr>
          <t xml:space="preserve">Derwent et al. Atmospheric Environment Vol. 32, No. 14/15, pp. 2429Ð2441, 1998
</t>
        </r>
      </text>
    </comment>
    <comment ref="F80" authorId="0" shapeId="0" xr:uid="{00000000-0006-0000-0A00-00009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1" authorId="0" shapeId="0" xr:uid="{00000000-0006-0000-0A00-000099000000}">
      <text>
        <r>
          <rPr>
            <sz val="9"/>
            <color indexed="81"/>
            <rFont val="Tahoma"/>
            <family val="2"/>
          </rPr>
          <t xml:space="preserve">Derwent et al. Atmospheric Environment Vol. 32, No. 14/15, pp. 2429Ð2441, 1998
</t>
        </r>
      </text>
    </comment>
    <comment ref="F81" authorId="0" shapeId="0" xr:uid="{00000000-0006-0000-0A00-00009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2" authorId="0" shapeId="0" xr:uid="{00000000-0006-0000-0A00-00009B000000}">
      <text>
        <r>
          <rPr>
            <sz val="9"/>
            <color indexed="81"/>
            <rFont val="Tahoma"/>
            <family val="2"/>
          </rPr>
          <t xml:space="preserve">Derwent et al. Atmospheric Environment Vol. 32, No. 14/15, pp. 2429Ð2441, 1998
</t>
        </r>
      </text>
    </comment>
    <comment ref="F82" authorId="0" shapeId="0" xr:uid="{00000000-0006-0000-0A00-00009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4" authorId="0" shapeId="0" xr:uid="{00000000-0006-0000-0A00-00009D000000}">
      <text>
        <r>
          <rPr>
            <sz val="9"/>
            <color indexed="81"/>
            <rFont val="Tahoma"/>
            <family val="2"/>
          </rPr>
          <t xml:space="preserve">Derwent et al. Atmospheric Environment Vol. 32, No. 14/15, pp. 2429Ð2441, 1998
</t>
        </r>
      </text>
    </comment>
    <comment ref="F84" authorId="0" shapeId="0" xr:uid="{00000000-0006-0000-0A00-00009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5" authorId="0" shapeId="0" xr:uid="{00000000-0006-0000-0A00-00009F000000}">
      <text>
        <r>
          <rPr>
            <sz val="9"/>
            <color indexed="81"/>
            <rFont val="Tahoma"/>
            <family val="2"/>
          </rPr>
          <t xml:space="preserve">Derwent et al. Atmospheric Environment Vol. 32, No. 14/15, pp. 2429Ð2441, 1998
</t>
        </r>
      </text>
    </comment>
    <comment ref="F85" authorId="0" shapeId="0" xr:uid="{00000000-0006-0000-0A00-0000A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7" authorId="0" shapeId="0" xr:uid="{00000000-0006-0000-0A00-0000A1000000}">
      <text>
        <r>
          <rPr>
            <sz val="9"/>
            <color indexed="81"/>
            <rFont val="Tahoma"/>
            <family val="2"/>
          </rPr>
          <t xml:space="preserve">0.35 - 0.53 according to Johanna Altenstedt and Karin Pleijel, IVL report B-1305 Göteborg, Sweden september 1998
</t>
        </r>
      </text>
    </comment>
    <comment ref="E87" authorId="0" shapeId="0" xr:uid="{00000000-0006-0000-0A00-0000A2000000}">
      <text>
        <r>
          <rPr>
            <sz val="9"/>
            <color indexed="81"/>
            <rFont val="Tahoma"/>
            <family val="2"/>
          </rPr>
          <t xml:space="preserve">Derwent et.al has a POCP of 0.094, which indicates a large uncertainty on a global level
</t>
        </r>
      </text>
    </comment>
    <comment ref="F87" authorId="0" shapeId="0" xr:uid="{00000000-0006-0000-0A00-0000A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8" authorId="0" shapeId="0" xr:uid="{00000000-0006-0000-0A00-0000A4000000}">
      <text>
        <r>
          <rPr>
            <sz val="9"/>
            <color indexed="81"/>
            <rFont val="Tahoma"/>
            <family val="2"/>
          </rPr>
          <t xml:space="preserve">0.57 - 0.61 according to Johanna Altenstedt and Karin Pleijel, IVL report B-1305 Göteborg, Sweden september 1998
</t>
        </r>
      </text>
    </comment>
    <comment ref="F88" authorId="0" shapeId="0" xr:uid="{00000000-0006-0000-0A00-0000A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9" authorId="0" shapeId="0" xr:uid="{00000000-0006-0000-0A00-0000A6000000}">
      <text>
        <r>
          <rPr>
            <sz val="9"/>
            <color indexed="81"/>
            <rFont val="Tahoma"/>
            <family val="2"/>
          </rPr>
          <t xml:space="preserve">0.65 - 0.89 according to Johanna Altenstedt and Karin Pleijel, IVL report B-1305 Göteborg, Sweden september 1998
</t>
        </r>
      </text>
    </comment>
    <comment ref="F89" authorId="0" shapeId="0" xr:uid="{00000000-0006-0000-0A00-0000A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0" authorId="0" shapeId="0" xr:uid="{00000000-0006-0000-0A00-0000A8000000}">
      <text>
        <r>
          <rPr>
            <sz val="9"/>
            <color indexed="81"/>
            <rFont val="Tahoma"/>
            <family val="2"/>
          </rPr>
          <t xml:space="preserve">Derwent et al. Atmospheric Environment Vol. 32, No. 14/15, pp. 2429Ð2441, 1998
</t>
        </r>
      </text>
    </comment>
    <comment ref="F90" authorId="0" shapeId="0" xr:uid="{00000000-0006-0000-0A00-0000A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1" authorId="0" shapeId="0" xr:uid="{00000000-0006-0000-0A00-0000AA000000}">
      <text>
        <r>
          <rPr>
            <sz val="9"/>
            <color indexed="81"/>
            <rFont val="Tahoma"/>
            <family val="2"/>
          </rPr>
          <t xml:space="preserve">Derwent et al. Atmospheric Environment Vol. 32, No. 14/15, pp. 2429Ð2441, 1998
</t>
        </r>
      </text>
    </comment>
    <comment ref="F91" authorId="0" shapeId="0" xr:uid="{00000000-0006-0000-0A00-0000A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2" authorId="0" shapeId="0" xr:uid="{00000000-0006-0000-0A00-0000AC000000}">
      <text>
        <r>
          <rPr>
            <sz val="9"/>
            <color indexed="81"/>
            <rFont val="Tahoma"/>
            <family val="2"/>
          </rPr>
          <t xml:space="preserve">Derwent et al. Atmospheric Environment Vol. 32, No. 14/15, pp. 2429Ð2441, 1998
</t>
        </r>
      </text>
    </comment>
    <comment ref="F92" authorId="0" shapeId="0" xr:uid="{00000000-0006-0000-0A00-0000A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3" authorId="0" shapeId="0" xr:uid="{00000000-0006-0000-0A00-0000AE000000}">
      <text>
        <r>
          <rPr>
            <sz val="9"/>
            <color indexed="81"/>
            <rFont val="Tahoma"/>
            <family val="2"/>
          </rPr>
          <t xml:space="preserve">Derwent et al. Atmospheric Environment Vol. 32, No. 14/15, pp. 2429Ð2441, 1998
</t>
        </r>
      </text>
    </comment>
    <comment ref="F93" authorId="0" shapeId="0" xr:uid="{00000000-0006-0000-0A00-0000A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4" authorId="0" shapeId="0" xr:uid="{00000000-0006-0000-0A00-0000B0000000}">
      <text>
        <r>
          <rPr>
            <sz val="9"/>
            <color indexed="81"/>
            <rFont val="Tahoma"/>
            <family val="2"/>
          </rPr>
          <t xml:space="preserve">Derwent et al. Atmospheric Environment Vol. 32, No. 14/15, pp. 2429Ð2441, 1998
</t>
        </r>
      </text>
    </comment>
    <comment ref="F94" authorId="0" shapeId="0" xr:uid="{00000000-0006-0000-0A00-0000B1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5" authorId="0" shapeId="0" xr:uid="{00000000-0006-0000-0A00-0000B2000000}">
      <text>
        <r>
          <rPr>
            <sz val="9"/>
            <color indexed="81"/>
            <rFont val="Tahoma"/>
            <family val="2"/>
          </rPr>
          <t xml:space="preserve">Derwent et al. Atmospheric Environment Vol. 32, No. 14/15, pp. 2429Ð2441, 1998
</t>
        </r>
      </text>
    </comment>
    <comment ref="F95" authorId="0" shapeId="0" xr:uid="{00000000-0006-0000-0A00-0000B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7" authorId="0" shapeId="0" xr:uid="{00000000-0006-0000-0A00-0000B4000000}">
      <text>
        <r>
          <rPr>
            <sz val="9"/>
            <color indexed="81"/>
            <rFont val="Tahoma"/>
            <family val="2"/>
          </rPr>
          <t xml:space="preserve">0.18 - 0.55  according to Johanna Altenstedt and Karin Pleijel, IVL report B-1305 Göteborg, Sweden september 1998
</t>
        </r>
      </text>
    </comment>
    <comment ref="F97" authorId="0" shapeId="0" xr:uid="{00000000-0006-0000-0A00-0000B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8" authorId="0" shapeId="0" xr:uid="{00000000-0006-0000-0A00-0000B6000000}">
      <text>
        <r>
          <rPr>
            <sz val="9"/>
            <color indexed="81"/>
            <rFont val="Tahoma"/>
            <family val="2"/>
          </rPr>
          <t xml:space="preserve">0.68 - 0.80  according to Johanna Altenstedt and Karin Pleijel, IVL report B-1305 Göteborg, Sweden september 1998
</t>
        </r>
      </text>
    </comment>
    <comment ref="F98" authorId="0" shapeId="0" xr:uid="{00000000-0006-0000-0A00-0000B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9" authorId="0" shapeId="0" xr:uid="{00000000-0006-0000-0A00-0000B8000000}">
      <text>
        <r>
          <rPr>
            <sz val="9"/>
            <color indexed="81"/>
            <rFont val="Tahoma"/>
            <family val="2"/>
          </rPr>
          <t xml:space="preserve">0.74 - 0.99  according to Johanna Altenstedt and Karin Pleijel, IVL report B-1305 Göteborg, Sweden september 1998
</t>
        </r>
      </text>
    </comment>
    <comment ref="F99" authorId="0" shapeId="0" xr:uid="{00000000-0006-0000-0A00-0000B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0" authorId="0" shapeId="0" xr:uid="{00000000-0006-0000-0A00-0000BA000000}">
      <text>
        <r>
          <rPr>
            <sz val="9"/>
            <color indexed="81"/>
            <rFont val="Tahoma"/>
            <family val="2"/>
          </rPr>
          <t xml:space="preserve">0.75 - 1.05  according to Johanna Altenstedt and Karin Pleijel, IVL report B-1305 Göteborg, Sweden september 1998
</t>
        </r>
      </text>
    </comment>
    <comment ref="F100" authorId="0" shapeId="0" xr:uid="{00000000-0006-0000-0A00-0000B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1" authorId="0" shapeId="0" xr:uid="{00000000-0006-0000-0A00-0000BC000000}">
      <text>
        <r>
          <rPr>
            <sz val="9"/>
            <color indexed="81"/>
            <rFont val="Tahoma"/>
            <family val="2"/>
          </rPr>
          <t xml:space="preserve">0.53 - 0.65  according to Johanna Altenstedt and Karin Pleijel, IVL report B-1305 Göteborg, Sweden september 1998
</t>
        </r>
      </text>
    </comment>
    <comment ref="F101" authorId="0" shapeId="0" xr:uid="{00000000-0006-0000-0A00-0000B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02" authorId="0" shapeId="0" xr:uid="{00000000-0006-0000-0A00-0000BE000000}">
      <text>
        <r>
          <rPr>
            <sz val="9"/>
            <color indexed="81"/>
            <rFont val="Tahoma"/>
            <family val="2"/>
          </rPr>
          <t xml:space="preserve">= pentanaldehyde
</t>
        </r>
      </text>
    </comment>
    <comment ref="D102" authorId="0" shapeId="0" xr:uid="{00000000-0006-0000-0A00-0000BF000000}">
      <text>
        <r>
          <rPr>
            <sz val="9"/>
            <color indexed="81"/>
            <rFont val="Tahoma"/>
            <family val="2"/>
          </rPr>
          <t xml:space="preserve">0.74 - 1.06  according to Johanna Altenstedt and Karin Pleijel, IVL report B-1305 Göteborg, Sweden september 1998
</t>
        </r>
      </text>
    </comment>
    <comment ref="F102" authorId="0" shapeId="0" xr:uid="{00000000-0006-0000-0A00-0000C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3" authorId="0" shapeId="0" xr:uid="{00000000-0006-0000-0A00-0000C1000000}">
      <text>
        <r>
          <rPr>
            <sz val="9"/>
            <color indexed="81"/>
            <rFont val="Tahoma"/>
            <family val="2"/>
          </rPr>
          <t xml:space="preserve">0.17 - 0.22 according to Johanna Altenstedt and Karin Pleijel, IVL report B-1305 Göteborg, Sweden september 1998
</t>
        </r>
      </text>
    </comment>
    <comment ref="F103" authorId="0" shapeId="0" xr:uid="{00000000-0006-0000-0A00-0000C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4" authorId="0" shapeId="0" xr:uid="{00000000-0006-0000-0A00-0000C3000000}">
      <text>
        <r>
          <rPr>
            <sz val="9"/>
            <color indexed="81"/>
            <rFont val="Tahoma"/>
            <family val="2"/>
          </rPr>
          <t xml:space="preserve">0.52 - 0.91 according to Johanna Altenstedt and Karin Pleijel, IVL report B-1305 Göteborg, Sweden september 1998
</t>
        </r>
      </text>
    </comment>
    <comment ref="F104" authorId="0" shapeId="0" xr:uid="{00000000-0006-0000-0A00-0000C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5" authorId="0" shapeId="0" xr:uid="{00000000-0006-0000-0A00-0000C5000000}">
      <text>
        <r>
          <rPr>
            <sz val="9"/>
            <color indexed="81"/>
            <rFont val="Tahoma"/>
            <family val="2"/>
          </rPr>
          <t xml:space="preserve">0.73 - 1.26 according to Johanna Altenstedt and Karin Pleijel, IVL report B-1305 Göteborg, Sweden september 1998
</t>
        </r>
      </text>
    </comment>
    <comment ref="F105" authorId="0" shapeId="0" xr:uid="{00000000-0006-0000-0A00-0000C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6" authorId="0" shapeId="0" xr:uid="{00000000-0006-0000-0A00-0000C7000000}">
      <text>
        <r>
          <rPr>
            <sz val="9"/>
            <color indexed="81"/>
            <rFont val="Tahoma"/>
            <family val="2"/>
          </rPr>
          <t>0.94 - 1.10 according to Johanna Altenstedt and Karin Pleijel, IVL report B-1305 Göteborg, Sweden september 1998</t>
        </r>
      </text>
    </comment>
    <comment ref="F106" authorId="0" shapeId="0" xr:uid="{00000000-0006-0000-0A00-0000C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7" authorId="0" shapeId="0" xr:uid="{00000000-0006-0000-0A00-0000C9000000}">
      <text>
        <r>
          <rPr>
            <sz val="9"/>
            <color indexed="81"/>
            <rFont val="Tahoma"/>
            <family val="2"/>
          </rPr>
          <t xml:space="preserve">0 according to Johanna Altenstedt and Karin Pleijel, IVL report B-1305 Göteborg, Sweden september 1998
</t>
        </r>
      </text>
    </comment>
    <comment ref="F107" authorId="0" shapeId="0" xr:uid="{00000000-0006-0000-0A00-0000C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9" authorId="0" shapeId="0" xr:uid="{00000000-0006-0000-0A00-0000CB000000}">
      <text>
        <r>
          <rPr>
            <sz val="9"/>
            <color indexed="81"/>
            <rFont val="Tahoma"/>
            <family val="2"/>
          </rPr>
          <t xml:space="preserve">Derwent et al. Atmospheric Environment Vol. 32, No. 14/15, pp. 2429Ð2441, 1998
</t>
        </r>
      </text>
    </comment>
    <comment ref="F109" authorId="0" shapeId="0" xr:uid="{00000000-0006-0000-0A00-0000C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0" authorId="0" shapeId="0" xr:uid="{00000000-0006-0000-0A00-0000CD000000}">
      <text>
        <r>
          <rPr>
            <sz val="9"/>
            <color indexed="81"/>
            <rFont val="Tahoma"/>
            <family val="2"/>
          </rPr>
          <t xml:space="preserve">0.041 - 0.096  according to Johanna Altenstedt and Karin Pleijel, IVL report B-1305 Göteborg, Sweden september 1998
</t>
        </r>
      </text>
    </comment>
    <comment ref="F110" authorId="0" shapeId="0" xr:uid="{00000000-0006-0000-0A00-0000C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1" authorId="0" shapeId="0" xr:uid="{00000000-0006-0000-0A00-0000CF000000}">
      <text>
        <r>
          <rPr>
            <sz val="9"/>
            <color indexed="81"/>
            <rFont val="Tahoma"/>
            <family val="2"/>
          </rPr>
          <t xml:space="preserve">0.074 - 0.40  according to Johanna Altenstedt and Karin Pleijel, IVL report B-1305 Göteborg, Sweden september 1998. 0.21 according to Derwent et al.
</t>
        </r>
      </text>
    </comment>
    <comment ref="F111" authorId="0" shapeId="0" xr:uid="{00000000-0006-0000-0A00-0000D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2" authorId="0" shapeId="0" xr:uid="{00000000-0006-0000-0A00-0000D1000000}">
      <text>
        <r>
          <rPr>
            <sz val="9"/>
            <color indexed="81"/>
            <rFont val="Tahoma"/>
            <family val="2"/>
          </rPr>
          <t xml:space="preserve">Derwent et al. Atmospheric Environment Vol. 32, No. 14/15, pp. 2429Ð2441, 1998
</t>
        </r>
      </text>
    </comment>
    <comment ref="F112" authorId="0" shapeId="0" xr:uid="{00000000-0006-0000-0A00-0000D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3" authorId="0" shapeId="0" xr:uid="{00000000-0006-0000-0A00-0000D3000000}">
      <text>
        <r>
          <rPr>
            <sz val="9"/>
            <color indexed="81"/>
            <rFont val="Tahoma"/>
            <family val="2"/>
          </rPr>
          <t xml:space="preserve">Derwent et al. Atmospheric Environment Vol. 32, No. 14/15, pp. 2429Ð2441, 1998
</t>
        </r>
      </text>
    </comment>
    <comment ref="F113" authorId="0" shapeId="0" xr:uid="{00000000-0006-0000-0A00-0000D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4" authorId="0" shapeId="0" xr:uid="{00000000-0006-0000-0A00-0000D5000000}">
      <text>
        <r>
          <rPr>
            <sz val="9"/>
            <color indexed="81"/>
            <rFont val="Tahoma"/>
            <family val="2"/>
          </rPr>
          <t xml:space="preserve">0.22 - 0.66 according to Johanna Altenstedt and Karin Pleijel, IVL report B-1305 Göteborg, Sweden september 1998
</t>
        </r>
      </text>
    </comment>
    <comment ref="F114" authorId="0" shapeId="0" xr:uid="{00000000-0006-0000-0A00-0000D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5" authorId="0" shapeId="0" xr:uid="{00000000-0006-0000-0A00-0000D7000000}">
      <text>
        <r>
          <rPr>
            <sz val="9"/>
            <color indexed="81"/>
            <rFont val="Tahoma"/>
            <family val="2"/>
          </rPr>
          <t xml:space="preserve">0.12 - 0.49 according to Johanna Altenstedt and Karin Pleijel, IVL report B-1305 Göteborg, Sweden september 1998
</t>
        </r>
      </text>
    </comment>
    <comment ref="F115" authorId="0" shapeId="0" xr:uid="{00000000-0006-0000-0A00-0000D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7" authorId="0" shapeId="0" xr:uid="{00000000-0006-0000-0A00-0000D9000000}">
      <text>
        <r>
          <rPr>
            <sz val="9"/>
            <color indexed="81"/>
            <rFont val="Tahoma"/>
            <family val="2"/>
          </rPr>
          <t xml:space="preserve">0.18 - 0.48  according to Johanna Altenstedt and Karin Pleijel, IVL report B-1305 Göteborg, Sweden september 1998
</t>
        </r>
      </text>
    </comment>
    <comment ref="F117" authorId="0" shapeId="0" xr:uid="{00000000-0006-0000-0A00-0000D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8" authorId="0" shapeId="0" xr:uid="{00000000-0006-0000-0A00-0000DB000000}">
      <text>
        <r>
          <rPr>
            <sz val="9"/>
            <color indexed="81"/>
            <rFont val="Tahoma"/>
            <family val="2"/>
          </rPr>
          <t xml:space="preserve">0.25 - 0.80 according to Johanna Altenstedt and Karin Pleijel, IVL report B-1305 Göteborg, Sweden september 1998
</t>
        </r>
      </text>
    </comment>
    <comment ref="F118" authorId="0" shapeId="0" xr:uid="{00000000-0006-0000-0A00-0000D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9" authorId="0" shapeId="0" xr:uid="{00000000-0006-0000-0A00-0000DD000000}">
      <text>
        <r>
          <rPr>
            <sz val="9"/>
            <color indexed="81"/>
            <rFont val="Tahoma"/>
            <family val="2"/>
          </rPr>
          <t xml:space="preserve">0.42 - 0.56 according to Johanna Altenstedt and Karin Pleijel, IVL report B-1305 Göteborg, Sweden september 1998
</t>
        </r>
      </text>
    </comment>
    <comment ref="F119" authorId="0" shapeId="0" xr:uid="{00000000-0006-0000-0A00-0000D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0" authorId="0" shapeId="0" xr:uid="{00000000-0006-0000-0A00-0000DF000000}">
      <text>
        <r>
          <rPr>
            <sz val="9"/>
            <color indexed="81"/>
            <rFont val="Tahoma"/>
            <family val="2"/>
          </rPr>
          <t xml:space="preserve">Derwent et al. Atmospheric Environment Vol. 32, No. 14/15, pp. 2429Ð2441, 1998
</t>
        </r>
      </text>
    </comment>
    <comment ref="F120" authorId="0" shapeId="0" xr:uid="{00000000-0006-0000-0A00-0000E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1" authorId="0" shapeId="0" xr:uid="{00000000-0006-0000-0A00-0000E1000000}">
      <text>
        <r>
          <rPr>
            <sz val="9"/>
            <color indexed="81"/>
            <rFont val="Tahoma"/>
            <family val="2"/>
          </rPr>
          <t xml:space="preserve">Derwent et al. Atmospheric Environment Vol. 32, No. 14/15, pp. 2429Ð2441, 1998
</t>
        </r>
      </text>
    </comment>
    <comment ref="F121" authorId="0" shapeId="0" xr:uid="{00000000-0006-0000-0A00-0000E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3" authorId="0" shapeId="0" xr:uid="{00000000-0006-0000-0A00-0000E3000000}">
      <text>
        <r>
          <rPr>
            <sz val="9"/>
            <color indexed="81"/>
            <rFont val="Tahoma"/>
            <family val="2"/>
          </rPr>
          <t xml:space="preserve">Derwent et al. Atmospheric Environment Vol. 32, No. 14/15, pp. 2429Ð2441, 1998
</t>
        </r>
      </text>
    </comment>
    <comment ref="F123" authorId="0" shapeId="0" xr:uid="{00000000-0006-0000-0A00-0000E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4" authorId="0" shapeId="0" xr:uid="{00000000-0006-0000-0A00-0000E5000000}">
      <text>
        <r>
          <rPr>
            <sz val="9"/>
            <color indexed="81"/>
            <rFont val="Tahoma"/>
            <family val="2"/>
          </rPr>
          <t xml:space="preserve">Derwent et al. Atmospheric Environment Vol. 32, No. 14/15, pp. 2429Ð2441, 1998
</t>
        </r>
      </text>
    </comment>
    <comment ref="F124" authorId="0" shapeId="0" xr:uid="{00000000-0006-0000-0A00-0000E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5" authorId="0" shapeId="0" xr:uid="{00000000-0006-0000-0A00-0000E7000000}">
      <text>
        <r>
          <rPr>
            <sz val="9"/>
            <color indexed="81"/>
            <rFont val="Tahoma"/>
            <family val="2"/>
          </rPr>
          <t xml:space="preserve">Derwent et al. Atmospheric Environment Vol. 32, No. 14/15, pp. 2429Ð2441, 1998
</t>
        </r>
      </text>
    </comment>
    <comment ref="F125" authorId="0" shapeId="0" xr:uid="{00000000-0006-0000-0A00-0000E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6" authorId="0" shapeId="0" xr:uid="{00000000-0006-0000-0A00-0000E9000000}">
      <text>
        <r>
          <rPr>
            <sz val="9"/>
            <color indexed="81"/>
            <rFont val="Tahoma"/>
            <family val="2"/>
          </rPr>
          <t xml:space="preserve">Derwent et al. Atmospheric Environment Vol. 32, No. 14/15, pp. 2429Ð2441, 1998
</t>
        </r>
      </text>
    </comment>
    <comment ref="F126" authorId="0" shapeId="0" xr:uid="{00000000-0006-0000-0A00-0000E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7" authorId="0" shapeId="0" xr:uid="{00000000-0006-0000-0A00-0000EB000000}">
      <text>
        <r>
          <rPr>
            <sz val="9"/>
            <color indexed="81"/>
            <rFont val="Tahoma"/>
            <family val="2"/>
          </rPr>
          <t xml:space="preserve">Derwent et al. Atmospheric Environment Vol. 32, No. 14/15, pp. 2429Ð2441, 1998
</t>
        </r>
      </text>
    </comment>
    <comment ref="F127" authorId="0" shapeId="0" xr:uid="{00000000-0006-0000-0A00-0000E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9" authorId="0" shapeId="0" xr:uid="{00000000-0006-0000-0A00-0000ED000000}">
      <text>
        <r>
          <rPr>
            <sz val="9"/>
            <color indexed="81"/>
            <rFont val="Tahoma"/>
            <family val="2"/>
          </rPr>
          <t xml:space="preserve">Derwent et al. Atmospheric Environment Vol. 32, No. 14/15, pp. 2429Ð2441, 1998
</t>
        </r>
      </text>
    </comment>
    <comment ref="F129" authorId="0" shapeId="0" xr:uid="{00000000-0006-0000-0A00-0000E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0" authorId="0" shapeId="0" xr:uid="{00000000-0006-0000-0A00-0000EF000000}">
      <text>
        <r>
          <rPr>
            <sz val="9"/>
            <color indexed="81"/>
            <rFont val="Tahoma"/>
            <family val="2"/>
          </rPr>
          <t xml:space="preserve">0.11 - 0.20 according to Johanna Altenstedt and Karin Pleijel, IVL report B-1305 Göteborg, Sweden september 1998
</t>
        </r>
      </text>
    </comment>
    <comment ref="F130" authorId="0" shapeId="0" xr:uid="{00000000-0006-0000-0A00-0000F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1" authorId="0" shapeId="0" xr:uid="{00000000-0006-0000-0A00-0000F1000000}">
      <text>
        <r>
          <rPr>
            <sz val="9"/>
            <color indexed="81"/>
            <rFont val="Tahoma"/>
            <family val="2"/>
          </rPr>
          <t xml:space="preserve">Derwent et al. Atmospheric Environment Vol. 32, No. 14/15, pp. 2429Ð2441, 1998
</t>
        </r>
      </text>
    </comment>
    <comment ref="F131" authorId="0" shapeId="0" xr:uid="{00000000-0006-0000-0A00-0000F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B133" authorId="0" shapeId="0" xr:uid="{00000000-0006-0000-0A00-0000F3000000}">
      <text>
        <r>
          <rPr>
            <sz val="9"/>
            <color indexed="81"/>
            <rFont val="Tahoma"/>
            <family val="2"/>
          </rPr>
          <t xml:space="preserve">AR5 WGI, Ch 8, Table 8A.1
</t>
        </r>
      </text>
    </comment>
    <comment ref="D133" authorId="0" shapeId="0" xr:uid="{00000000-0006-0000-0A00-0000F4000000}">
      <text>
        <r>
          <rPr>
            <sz val="9"/>
            <color indexed="81"/>
            <rFont val="Tahoma"/>
            <family val="2"/>
          </rPr>
          <t xml:space="preserve">Derwent et al. Atmospheric Environment Vol. 32, No. 14/15, pp. 2429Ð2441, 1998
</t>
        </r>
      </text>
    </comment>
    <comment ref="F133" authorId="0" shapeId="0" xr:uid="{00000000-0006-0000-0A00-0000F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34" authorId="0" shapeId="0" xr:uid="{00000000-0006-0000-0A00-0000F6000000}">
      <text>
        <r>
          <rPr>
            <sz val="9"/>
            <color indexed="81"/>
            <rFont val="Tahoma"/>
            <family val="2"/>
          </rPr>
          <t xml:space="preserve">= dichloromethane
</t>
        </r>
      </text>
    </comment>
    <comment ref="B134" authorId="0" shapeId="0" xr:uid="{00000000-0006-0000-0A00-0000F7000000}">
      <text>
        <r>
          <rPr>
            <sz val="9"/>
            <color indexed="81"/>
            <rFont val="Tahoma"/>
            <family val="2"/>
          </rPr>
          <t xml:space="preserve">AR5 WGI, Ch 8, Table 8A.1
</t>
        </r>
      </text>
    </comment>
    <comment ref="D134" authorId="0" shapeId="0" xr:uid="{00000000-0006-0000-0A00-0000F8000000}">
      <text>
        <r>
          <rPr>
            <sz val="9"/>
            <color indexed="81"/>
            <rFont val="Tahoma"/>
            <family val="2"/>
          </rPr>
          <t xml:space="preserve">Derwent et al. Atmospheric Environment Vol. 32, No. 14/15, pp. 2429Ð2441, 1998
</t>
        </r>
      </text>
    </comment>
    <comment ref="F134" authorId="0" shapeId="0" xr:uid="{00000000-0006-0000-0A00-0000F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35" authorId="0" shapeId="0" xr:uid="{00000000-0006-0000-0A00-0000FA000000}">
      <text>
        <r>
          <rPr>
            <sz val="9"/>
            <color indexed="81"/>
            <rFont val="Tahoma"/>
            <family val="2"/>
          </rPr>
          <t xml:space="preserve">tri-chloromethane
</t>
        </r>
      </text>
    </comment>
    <comment ref="B135" authorId="0" shapeId="0" xr:uid="{00000000-0006-0000-0A00-0000FB000000}">
      <text>
        <r>
          <rPr>
            <sz val="9"/>
            <color indexed="81"/>
            <rFont val="Tahoma"/>
            <family val="2"/>
          </rPr>
          <t xml:space="preserve">AR5 WGI, Ch 8, Table 8A.1
</t>
        </r>
      </text>
    </comment>
    <comment ref="F135" authorId="0" shapeId="0" xr:uid="{00000000-0006-0000-0A00-0000F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B136" authorId="0" shapeId="0" xr:uid="{00000000-0006-0000-0A00-0000FD000000}">
      <text>
        <r>
          <rPr>
            <sz val="9"/>
            <color indexed="81"/>
            <rFont val="Tahoma"/>
            <family val="2"/>
          </rPr>
          <t xml:space="preserve">Assumed to be similar to 1,2 dichloroethylene
</t>
        </r>
      </text>
    </comment>
    <comment ref="D136" authorId="0" shapeId="0" xr:uid="{00000000-0006-0000-0A00-0000FE000000}">
      <text>
        <r>
          <rPr>
            <sz val="9"/>
            <color indexed="81"/>
            <rFont val="Tahoma"/>
            <family val="2"/>
          </rPr>
          <t xml:space="preserve">0.038 - 0.12 according to Johanna Altenstedt and Karin Pleijel, IVL report B-1305 Göteborg, Sweden september 1998
</t>
        </r>
      </text>
    </comment>
    <comment ref="F136" authorId="0" shapeId="0" xr:uid="{00000000-0006-0000-0A00-0000F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B137" authorId="0" shapeId="0" xr:uid="{00000000-0006-0000-0A00-000000010000}">
      <text>
        <r>
          <rPr>
            <sz val="9"/>
            <color indexed="81"/>
            <rFont val="Tahoma"/>
            <family val="2"/>
          </rPr>
          <t xml:space="preserve">Assumed to be similar to 1,2 dichloroethylene
</t>
        </r>
      </text>
    </comment>
    <comment ref="D137" authorId="0" shapeId="0" xr:uid="{00000000-0006-0000-0A00-000001010000}">
      <text>
        <r>
          <rPr>
            <sz val="9"/>
            <color indexed="81"/>
            <rFont val="Tahoma"/>
            <family val="2"/>
          </rPr>
          <t xml:space="preserve">0.015 - 0.035 according to Johanna Altenstedt and Karin Pleijel, IVL report B-1305 Göteborg, Sweden september 1998
</t>
        </r>
      </text>
    </comment>
    <comment ref="F137" authorId="0" shapeId="0" xr:uid="{00000000-0006-0000-0A00-000002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38" authorId="0" shapeId="0" xr:uid="{00000000-0006-0000-0A00-000003010000}">
      <text>
        <r>
          <rPr>
            <sz val="9"/>
            <color indexed="81"/>
            <rFont val="Tahoma"/>
            <family val="2"/>
          </rPr>
          <t>cis and trans</t>
        </r>
      </text>
    </comment>
    <comment ref="B138" authorId="0" shapeId="0" xr:uid="{00000000-0006-0000-0A00-000004010000}">
      <text>
        <r>
          <rPr>
            <sz val="9"/>
            <color indexed="81"/>
            <rFont val="Tahoma"/>
            <family val="2"/>
          </rPr>
          <t xml:space="preserve">AR5 WGI, Ch 8, Table 8A.1
</t>
        </r>
      </text>
    </comment>
    <comment ref="D138" authorId="0" shapeId="0" xr:uid="{00000000-0006-0000-0A00-000005010000}">
      <text>
        <r>
          <rPr>
            <sz val="9"/>
            <color indexed="81"/>
            <rFont val="Tahoma"/>
            <family val="2"/>
          </rPr>
          <t xml:space="preserve">Derwent et al. Atmospheric Environment Vol. 32, No. 14/15, pp. 2429Ð2441, 1998
</t>
        </r>
      </text>
    </comment>
    <comment ref="F138" authorId="0" shapeId="0" xr:uid="{00000000-0006-0000-0A00-000006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9" authorId="0" shapeId="0" xr:uid="{00000000-0006-0000-0A00-000007010000}">
      <text>
        <r>
          <rPr>
            <sz val="9"/>
            <color indexed="81"/>
            <rFont val="Tahoma"/>
            <family val="2"/>
          </rPr>
          <t xml:space="preserve">0.007 - 0.02 according to Johanna Altenstedt and Karin Pleijel, IVL report B-1305 Göteborg, Sweden september 1998. 0.03 according to Derwent et al.
</t>
        </r>
      </text>
    </comment>
    <comment ref="F139" authorId="0" shapeId="0" xr:uid="{00000000-0006-0000-0A00-000008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0" authorId="0" shapeId="0" xr:uid="{00000000-0006-0000-0A00-000009010000}">
      <text>
        <r>
          <rPr>
            <sz val="9"/>
            <color indexed="81"/>
            <rFont val="Tahoma"/>
            <family val="2"/>
          </rPr>
          <t xml:space="preserve">0.056 - 0.15 according to Johanna Altenstedt and Karin Pleijel, IVL report B-1305 Göteborg, Sweden september 1998. 0.029 according to Derwent et al.
</t>
        </r>
      </text>
    </comment>
    <comment ref="F140" authorId="0" shapeId="0" xr:uid="{00000000-0006-0000-0A00-00000A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41" authorId="0" shapeId="0" xr:uid="{00000000-0006-0000-0A00-00000B010000}">
      <text>
        <r>
          <rPr>
            <sz val="9"/>
            <color indexed="81"/>
            <rFont val="Tahoma"/>
            <family val="2"/>
          </rPr>
          <t xml:space="preserve">1,1,1, trichlorethane
</t>
        </r>
      </text>
    </comment>
    <comment ref="B141" authorId="0" shapeId="0" xr:uid="{00000000-0006-0000-0A00-00000C010000}">
      <text>
        <r>
          <rPr>
            <sz val="9"/>
            <color indexed="81"/>
            <rFont val="Tahoma"/>
            <family val="2"/>
          </rPr>
          <t xml:space="preserve">AR5 WGI, Ch 8, Table 8A.1
</t>
        </r>
      </text>
    </comment>
    <comment ref="D141" authorId="0" shapeId="0" xr:uid="{00000000-0006-0000-0A00-00000D010000}">
      <text>
        <r>
          <rPr>
            <sz val="9"/>
            <color indexed="81"/>
            <rFont val="Tahoma"/>
            <family val="2"/>
          </rPr>
          <t xml:space="preserve">0.001 - 0.003 according to Johanna Altenstedt and Karin Pleijel, IVL report B-1305 Göteborg, Sweden september 1998. 0.009 according to Derwent et al.
</t>
        </r>
      </text>
    </comment>
    <comment ref="F141" authorId="0" shapeId="0" xr:uid="{00000000-0006-0000-0A00-00000E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3" authorId="0" shapeId="0" xr:uid="{00000000-0006-0000-0A00-00000F010000}">
      <text>
        <r>
          <rPr>
            <sz val="9"/>
            <color indexed="81"/>
            <rFont val="Tahoma"/>
            <family val="2"/>
          </rPr>
          <t xml:space="preserve">0.60 - 0.64 according to Johanna Altenstedt and Karin Pleijel, IVL report B-1305 Göteborg, Sweden september 1998
</t>
        </r>
      </text>
    </comment>
    <comment ref="F143" authorId="0" shapeId="0" xr:uid="{00000000-0006-0000-0A00-000010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4" authorId="0" shapeId="0" xr:uid="{00000000-0006-0000-0A00-000011010000}">
      <text>
        <r>
          <rPr>
            <sz val="9"/>
            <color indexed="81"/>
            <rFont val="Tahoma"/>
            <family val="2"/>
          </rPr>
          <t xml:space="preserve">0.50 - 0.74 according to Johanna Altenstedt and Karin Pleijel, IVL report B-1305 Göteborg, Sweden september 1998
</t>
        </r>
      </text>
    </comment>
    <comment ref="F144" authorId="0" shapeId="0" xr:uid="{00000000-0006-0000-0A00-000012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5" authorId="0" shapeId="0" xr:uid="{00000000-0006-0000-0A00-000013010000}">
      <text>
        <r>
          <rPr>
            <sz val="9"/>
            <color indexed="81"/>
            <rFont val="Tahoma"/>
            <family val="2"/>
          </rPr>
          <t xml:space="preserve">0.34 - 0.38 according to Johanna Altenstedt and Karin Pleijel, IVL report B-1305 Göteborg, Sweden september 1998
</t>
        </r>
      </text>
    </comment>
    <comment ref="F145" authorId="0" shapeId="0" xr:uid="{00000000-0006-0000-0A00-000014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2" authorId="0" shapeId="0" xr:uid="{00000000-0006-0000-0B00-000001000000}">
      <text>
        <r>
          <rPr>
            <sz val="9"/>
            <color indexed="81"/>
            <rFont val="Tahoma"/>
            <family val="2"/>
          </rPr>
          <t>There are 18000 deaths per year, (Miller GT (2004), Sustaining the Earth, 6th edition. Thompson Learning, Inc. Pacific Grove, California. Chapter 9, Pages 211-216), and a total use of 2360000000 kg of pesticides per year (USEPA http://www.epa.gov/opp00001/pestsales/07pestsales/usage2007.htm). An average shortening of life expectancy of 35 years is assumed and the potency factor of the substance  is used to allocate part of the total effect to the particular substance.</t>
        </r>
      </text>
    </comment>
    <comment ref="G2" authorId="0" shapeId="0" xr:uid="{00000000-0006-0000-0B00-000002000000}">
      <text>
        <r>
          <rPr>
            <sz val="9"/>
            <color indexed="81"/>
            <rFont val="Tahoma"/>
            <family val="2"/>
          </rPr>
          <t>There are 3 million cases of severe poisoning per year in developing countries (WHO, UNEP). A duration of the effects of 0,02 years (a week) is assumed. The total use of pesticides are 2300000000 kg/year.  (USEPA http://www.epa.gov/opp00001/pestsales/07pestsales/usage2007.htm).
The potency factor of the substance  is used to allocate part of the total effect to the particular substance.</t>
        </r>
      </text>
    </comment>
    <comment ref="M2" authorId="0" shapeId="0" xr:uid="{00000000-0006-0000-0B00-000003000000}">
      <text>
        <r>
          <rPr>
            <sz val="9"/>
            <color indexed="81"/>
            <rFont val="Tahoma"/>
            <family val="2"/>
          </rPr>
          <t xml:space="preserve">Pesticides are responsible for 0.8382 % of the threat causes for redlisted species (IUCN 2014). The global use (=emission) of pesticides is 2360000000 kg/year.  The potency factor of the substance  is used to allocate part of the total effect to the particular substance.
</t>
        </r>
      </text>
    </comment>
    <comment ref="C14" authorId="0" shapeId="0" xr:uid="{00000000-0006-0000-0B00-000004000000}">
      <text>
        <r>
          <rPr>
            <sz val="9"/>
            <color indexed="81"/>
            <rFont val="Tahoma"/>
            <family val="2"/>
          </rPr>
          <t>c685</t>
        </r>
      </text>
    </comment>
    <comment ref="C16" authorId="0" shapeId="0" xr:uid="{00000000-0006-0000-0B00-000005000000}">
      <text>
        <r>
          <rPr>
            <sz val="9"/>
            <color indexed="81"/>
            <rFont val="Tahoma"/>
            <family val="2"/>
          </rPr>
          <t xml:space="preserve">c79, representing a range
</t>
        </r>
      </text>
    </comment>
    <comment ref="C31" authorId="0" shapeId="0" xr:uid="{00000000-0006-0000-0B00-000006000000}">
      <text>
        <r>
          <rPr>
            <sz val="9"/>
            <color indexed="81"/>
            <rFont val="Tahoma"/>
            <family val="2"/>
          </rPr>
          <t xml:space="preserve">c55
</t>
        </r>
      </text>
    </comment>
    <comment ref="C33" authorId="0" shapeId="0" xr:uid="{00000000-0006-0000-0B00-000007000000}">
      <text>
        <r>
          <rPr>
            <sz val="9"/>
            <color indexed="81"/>
            <rFont val="Tahoma"/>
            <family val="2"/>
          </rPr>
          <t xml:space="preserve">c700
</t>
        </r>
      </text>
    </comment>
    <comment ref="C43" authorId="0" shapeId="0" xr:uid="{00000000-0006-0000-0B00-000008000000}">
      <text>
        <r>
          <rPr>
            <sz val="9"/>
            <color indexed="81"/>
            <rFont val="Tahoma"/>
            <family val="2"/>
          </rPr>
          <t xml:space="preserve">D288, Dermal LD50 values
</t>
        </r>
      </text>
    </comment>
    <comment ref="C51" authorId="0" shapeId="0" xr:uid="{00000000-0006-0000-0B00-000009000000}">
      <text>
        <r>
          <rPr>
            <sz val="9"/>
            <color indexed="81"/>
            <rFont val="Tahoma"/>
            <family val="2"/>
          </rPr>
          <t xml:space="preserve">c300
</t>
        </r>
      </text>
    </comment>
    <comment ref="A68" authorId="0" shapeId="0" xr:uid="{00000000-0006-0000-0B00-00000A000000}">
      <text>
        <r>
          <rPr>
            <sz val="9"/>
            <color indexed="81"/>
            <rFont val="Tahoma"/>
            <family val="2"/>
          </rPr>
          <t xml:space="preserve">3Cu(OH)2.CuCl2
</t>
        </r>
      </text>
    </comment>
    <comment ref="C76" authorId="0" shapeId="0" xr:uid="{00000000-0006-0000-0B00-00000B000000}">
      <text>
        <r>
          <rPr>
            <sz val="9"/>
            <color indexed="81"/>
            <rFont val="Tahoma"/>
            <family val="2"/>
          </rPr>
          <t xml:space="preserve">c144,representing a  range </t>
        </r>
      </text>
    </comment>
    <comment ref="C79" authorId="0" shapeId="0" xr:uid="{00000000-0006-0000-0B00-00000C000000}">
      <text>
        <r>
          <rPr>
            <sz val="9"/>
            <color indexed="81"/>
            <rFont val="Tahoma"/>
            <family val="2"/>
          </rPr>
          <t xml:space="preserve">c250, representing a range
</t>
        </r>
      </text>
    </comment>
    <comment ref="C84" authorId="0" shapeId="0" xr:uid="{00000000-0006-0000-0B00-00000D000000}">
      <text>
        <r>
          <rPr>
            <sz val="9"/>
            <color indexed="81"/>
            <rFont val="Tahoma"/>
            <family val="2"/>
          </rPr>
          <t xml:space="preserve">representing a range
</t>
        </r>
      </text>
    </comment>
    <comment ref="C88" authorId="0" shapeId="0" xr:uid="{00000000-0006-0000-0B00-00000E000000}">
      <text>
        <r>
          <rPr>
            <sz val="9"/>
            <color indexed="81"/>
            <rFont val="Tahoma"/>
            <family val="2"/>
          </rPr>
          <t xml:space="preserve">500-5000, a mixture of orto, meta amd para -isomeres
</t>
        </r>
      </text>
    </comment>
    <comment ref="C93" authorId="0" shapeId="0" xr:uid="{00000000-0006-0000-0B00-00000F000000}">
      <text>
        <r>
          <rPr>
            <sz val="9"/>
            <color indexed="81"/>
            <rFont val="Tahoma"/>
            <family val="2"/>
          </rPr>
          <t xml:space="preserve">representing a range
</t>
        </r>
      </text>
    </comment>
    <comment ref="C103" authorId="0" shapeId="0" xr:uid="{00000000-0006-0000-0B00-000010000000}">
      <text>
        <r>
          <rPr>
            <sz val="9"/>
            <color indexed="81"/>
            <rFont val="Tahoma"/>
            <family val="2"/>
          </rPr>
          <t xml:space="preserve">Representiing a range
</t>
        </r>
      </text>
    </comment>
    <comment ref="C131" authorId="0" shapeId="0" xr:uid="{00000000-0006-0000-0B00-000011000000}">
      <text>
        <r>
          <rPr>
            <sz val="9"/>
            <color indexed="81"/>
            <rFont val="Tahoma"/>
            <family val="2"/>
          </rPr>
          <t xml:space="preserve">Representing a range
</t>
        </r>
      </text>
    </comment>
    <comment ref="C134" authorId="0" shapeId="0" xr:uid="{00000000-0006-0000-0B00-000012000000}">
      <text>
        <r>
          <rPr>
            <sz val="9"/>
            <color indexed="81"/>
            <rFont val="Tahoma"/>
            <family val="2"/>
          </rPr>
          <t>Dermal LD50 value</t>
        </r>
      </text>
    </comment>
    <comment ref="C137" authorId="0" shapeId="0" xr:uid="{00000000-0006-0000-0B00-000013000000}">
      <text>
        <r>
          <rPr>
            <sz val="9"/>
            <color indexed="81"/>
            <rFont val="Tahoma"/>
            <family val="2"/>
          </rPr>
          <t xml:space="preserve">Representing a range
</t>
        </r>
      </text>
    </comment>
    <comment ref="C176" authorId="0" shapeId="0" xr:uid="{00000000-0006-0000-0B00-000014000000}">
      <text>
        <r>
          <rPr>
            <sz val="9"/>
            <color indexed="81"/>
            <rFont val="Tahoma"/>
            <family val="2"/>
          </rPr>
          <t xml:space="preserve">Representing a range
</t>
        </r>
      </text>
    </comment>
    <comment ref="A177" authorId="0" shapeId="0" xr:uid="{00000000-0006-0000-0B00-000015000000}">
      <text>
        <r>
          <rPr>
            <sz val="9"/>
            <color indexed="81"/>
            <rFont val="Tahoma"/>
            <family val="2"/>
          </rPr>
          <t xml:space="preserve">PbHAsO4
</t>
        </r>
      </text>
    </comment>
    <comment ref="C210" authorId="0" shapeId="0" xr:uid="{00000000-0006-0000-0B00-000016000000}">
      <text>
        <r>
          <rPr>
            <sz val="9"/>
            <color indexed="81"/>
            <rFont val="Tahoma"/>
            <family val="2"/>
          </rPr>
          <t>D50
Dermal LD50 values</t>
        </r>
      </text>
    </comment>
    <comment ref="C225" authorId="0" shapeId="0" xr:uid="{00000000-0006-0000-0B00-000017000000}">
      <text>
        <r>
          <rPr>
            <sz val="9"/>
            <color indexed="81"/>
            <rFont val="Tahoma"/>
            <family val="2"/>
          </rPr>
          <t>D80
Dermal LD50 values</t>
        </r>
      </text>
    </comment>
    <comment ref="C226" authorId="0" shapeId="0" xr:uid="{00000000-0006-0000-0B00-000018000000}">
      <text>
        <r>
          <rPr>
            <sz val="9"/>
            <color indexed="81"/>
            <rFont val="Tahoma"/>
            <family val="2"/>
          </rPr>
          <t xml:space="preserve">Representing a range
</t>
        </r>
      </text>
    </comment>
    <comment ref="C227" authorId="0" shapeId="0" xr:uid="{00000000-0006-0000-0B00-000019000000}">
      <text>
        <r>
          <rPr>
            <sz val="9"/>
            <color indexed="81"/>
            <rFont val="Tahoma"/>
            <family val="2"/>
          </rPr>
          <t xml:space="preserve">Representing a range
</t>
        </r>
      </text>
    </comment>
    <comment ref="C233" authorId="0" shapeId="0" xr:uid="{00000000-0006-0000-0B00-00001A000000}">
      <text>
        <r>
          <rPr>
            <sz val="9"/>
            <color indexed="81"/>
            <rFont val="Tahoma"/>
            <family val="2"/>
          </rPr>
          <t xml:space="preserve">Dermal LD50 values 
</t>
        </r>
      </text>
    </comment>
    <comment ref="C241" authorId="0" shapeId="0" xr:uid="{00000000-0006-0000-0B00-00001B000000}">
      <text>
        <r>
          <rPr>
            <sz val="9"/>
            <color indexed="81"/>
            <rFont val="Tahoma"/>
            <family val="2"/>
          </rPr>
          <t xml:space="preserve">Representing a range
</t>
        </r>
      </text>
    </comment>
    <comment ref="C250" authorId="0" shapeId="0" xr:uid="{00000000-0006-0000-0B00-00001C000000}">
      <text>
        <r>
          <rPr>
            <sz val="9"/>
            <color indexed="81"/>
            <rFont val="Tahoma"/>
            <family val="2"/>
          </rPr>
          <t xml:space="preserve">500 - 1000
</t>
        </r>
      </text>
    </comment>
    <comment ref="C258" authorId="0" shapeId="0" xr:uid="{00000000-0006-0000-0B00-00001D000000}">
      <text>
        <r>
          <rPr>
            <sz val="9"/>
            <color indexed="81"/>
            <rFont val="Tahoma"/>
            <family val="2"/>
          </rPr>
          <t xml:space="preserve">132-1500
</t>
        </r>
      </text>
    </comment>
    <comment ref="C273" authorId="0" shapeId="0" xr:uid="{00000000-0006-0000-0B00-00001E000000}">
      <text>
        <r>
          <rPr>
            <sz val="9"/>
            <color indexed="81"/>
            <rFont val="Tahoma"/>
            <family val="2"/>
          </rPr>
          <t xml:space="preserve">c22
</t>
        </r>
      </text>
    </comment>
    <comment ref="C286" authorId="0" shapeId="0" xr:uid="{00000000-0006-0000-0B00-00001F000000}">
      <text>
        <r>
          <rPr>
            <sz val="9"/>
            <color indexed="81"/>
            <rFont val="Tahoma"/>
            <family val="2"/>
          </rPr>
          <t xml:space="preserve">representing a range
</t>
        </r>
      </text>
    </comment>
    <comment ref="C289" authorId="0" shapeId="0" xr:uid="{00000000-0006-0000-0B00-000020000000}">
      <text>
        <r>
          <rPr>
            <sz val="9"/>
            <color indexed="81"/>
            <rFont val="Tahoma"/>
            <family val="2"/>
          </rPr>
          <t xml:space="preserve">50-100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E1" authorId="0" shapeId="0" xr:uid="{00000000-0006-0000-0C00-000001000000}">
      <text>
        <r>
          <rPr>
            <sz val="9"/>
            <color indexed="81"/>
            <rFont val="Tahoma"/>
            <family val="2"/>
          </rPr>
          <t xml:space="preserve">Either the total decrease (+) or decrease (-) of indicator units due to the emission (=substance flow group)
or
decrease or increase of indicator units from 1 kg of a reference substance. The latter is used to model the characterisation factors, when  equivalency factors are available. </t>
        </r>
      </text>
    </comment>
    <comment ref="F1" authorId="0" shapeId="0" xr:uid="{00000000-0006-0000-0C00-000002000000}">
      <text>
        <r>
          <rPr>
            <sz val="9"/>
            <color indexed="81"/>
            <rFont val="Tahoma"/>
            <family val="2"/>
          </rPr>
          <t>If not specifically noted, the uncertaitny is expressed as a factor equal ti one standard deviation in a log normal distribution</t>
        </r>
      </text>
    </comment>
    <comment ref="H1" authorId="0" shapeId="0" xr:uid="{00000000-0006-0000-0C00-000003000000}">
      <text>
        <r>
          <rPr>
            <sz val="9"/>
            <color indexed="81"/>
            <rFont val="Tahoma"/>
            <family val="2"/>
          </rPr>
          <t>If not specifically noted, the uncertaitny is expressed as a factor equal ti one standard deviation in a log normal distribution</t>
        </r>
      </text>
    </comment>
    <comment ref="A4" authorId="0" shapeId="0" xr:uid="{00000000-0006-0000-0C00-000004000000}">
      <text>
        <r>
          <rPr>
            <sz val="9"/>
            <color indexed="81"/>
            <rFont val="Tahoma"/>
            <family val="2"/>
          </rPr>
          <t>A linear model of contributions from noise emissions to exposure levels is problematic as the dB measure is a logarithmic one. 
The number of decibels is ten times the logarithm to base 10 of the ratio of two power quantities, i.e. 10*log(W1/W2)
A change in power by a factor of 10 corresponds to a 10 dB change in level.
Threfore the noise emissions need to be expressed in power measures, i.e. 10^(dBA/10) in order to be added in a linear model.</t>
        </r>
      </text>
    </comment>
    <comment ref="E4" authorId="0" shapeId="0" xr:uid="{00000000-0006-0000-0C00-000005000000}">
      <text>
        <r>
          <rPr>
            <sz val="9"/>
            <color indexed="81"/>
            <rFont val="Tahoma"/>
            <family val="2"/>
          </rPr>
          <t>Annually 5.5 million persons worldwide die from infarcts. The average YOLL (inkluding mortality) due to stroke is 6 years per 1000 inhabitants worldwide  (Thomas Truelsen, Stephen Begg, Colin Mathers, The global burden of cerebrovascular disease, Cerebrovascular disease 21-06-06 Global Burden of Disease 2000, WHO) More than 30% in EU is exposed to levels exceeding 55 dB(A) at night (http://www.euro.who.int/en/health-topics/environment-and-health/noise/data-and-statistics). A 10% increase of infarcts due to high noise levels is estimated from the dose response curves given in EUs "COMMISSION STAFF WORKING PAPER IMPACT ASSESSMENT
Accompanying the document Proposal for a Regulation of the European Parliament and of the Council on the sound level of motor vehicles. Brussels, 9.12.2011 SEC(2011) 1505 final".</t>
        </r>
      </text>
    </comment>
    <comment ref="G4" authorId="0" shapeId="0" xr:uid="{00000000-0006-0000-0C00-000006000000}">
      <text>
        <r>
          <rPr>
            <sz val="9"/>
            <color indexed="81"/>
            <rFont val="Tahoma"/>
            <family val="2"/>
          </rPr>
          <t>The global road vehicle fleet consists of 700 million cars, 7 million Light Duty Vehicles and 300 milion Heavy Duty Vehicles. Among the cars 50 % is diesel powered (EU27), among LDVs  97 % and among HDVs 100%.</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D00-000001000000}">
      <text>
        <r>
          <rPr>
            <sz val="9"/>
            <color indexed="81"/>
            <rFont val="Tahoma"/>
            <family val="2"/>
          </rPr>
          <t xml:space="preserve">The list of radionuclids are limited to those considered to have a significan impact.
</t>
        </r>
      </text>
    </comment>
    <comment ref="E4" authorId="0" shapeId="0" xr:uid="{00000000-0006-0000-0D00-000002000000}">
      <text>
        <r>
          <rPr>
            <sz val="9"/>
            <color indexed="81"/>
            <rFont val="Tahoma"/>
            <family val="2"/>
          </rPr>
          <t xml:space="preserve">Incidence of fatal cancer is 0,05/TBq (Edlund 2001). The average loss of lifew expectancy is 24 years. (Steen 1999)
</t>
        </r>
      </text>
    </comment>
    <comment ref="F4" authorId="0" shapeId="0" xr:uid="{00000000-0006-0000-0D00-000003000000}">
      <text>
        <r>
          <rPr>
            <sz val="9"/>
            <color indexed="81"/>
            <rFont val="Tahoma"/>
            <family val="2"/>
          </rPr>
          <t xml:space="preserve">The cancer incidence is 0.12/TBq (Edlund 2001). The average length of  cancer disablility is assumed to be 5 years.
</t>
        </r>
      </text>
    </comment>
    <comment ref="C5" authorId="0" shapeId="0" xr:uid="{00000000-0006-0000-0D00-000004000000}">
      <text>
        <r>
          <rPr>
            <sz val="9"/>
            <color indexed="81"/>
            <rFont val="Tahoma"/>
            <family val="2"/>
          </rPr>
          <t xml:space="preserve">For release to air or fresh water. (Edlund, O. Estimation of Years of Lost Life (YOLL) as a consequence of the nuclear fuel cycle. Chalmers University of Technology, CPM report 2001:3. Available at lifecyclecenter.se)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C6" authorId="0" shapeId="0" xr:uid="{00000000-0006-0000-0E00-000001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6" authorId="0" shapeId="0" xr:uid="{00000000-0006-0000-0E00-000002000000}">
      <text>
        <r>
          <rPr>
            <sz val="9"/>
            <color indexed="81"/>
            <rFont val="Tahoma"/>
            <family val="2"/>
          </rPr>
          <t xml:space="preserve">There is a large variation in climate sensitivity depending on latitude.
</t>
        </r>
      </text>
    </comment>
    <comment ref="E6" authorId="0" shapeId="0" xr:uid="{00000000-0006-0000-0E00-000003000000}">
      <text>
        <r>
          <rPr>
            <sz val="9"/>
            <color indexed="81"/>
            <rFont val="Tahoma"/>
            <family val="2"/>
          </rPr>
          <t xml:space="preserve">An average production capacity of 6 tons/hectare and year is assumed
</t>
        </r>
      </text>
    </comment>
    <comment ref="I6" authorId="0" shapeId="0" xr:uid="{00000000-0006-0000-0E00-000004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6" authorId="0" shapeId="0" xr:uid="{00000000-0006-0000-0E00-000005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7" authorId="0" shapeId="0" xr:uid="{00000000-0006-0000-0E00-000006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7" authorId="0" shapeId="0" xr:uid="{00000000-0006-0000-0E00-000007000000}">
      <text>
        <r>
          <rPr>
            <sz val="9"/>
            <color indexed="81"/>
            <rFont val="Tahoma"/>
            <family val="2"/>
          </rPr>
          <t xml:space="preserve">There is a large variation in climate sensitivity depending on latitude.
</t>
        </r>
      </text>
    </comment>
    <comment ref="G7" authorId="0" shapeId="0" xr:uid="{00000000-0006-0000-0E00-000008000000}">
      <text>
        <r>
          <rPr>
            <sz val="9"/>
            <color indexed="81"/>
            <rFont val="Tahoma"/>
            <family val="2"/>
          </rPr>
          <t xml:space="preserve">An average growth capacity of 5 tons per hectare and years is assumed.
</t>
        </r>
      </text>
    </comment>
    <comment ref="I7" authorId="0" shapeId="0" xr:uid="{00000000-0006-0000-0E00-000009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7" authorId="0" shapeId="0" xr:uid="{00000000-0006-0000-0E00-00000A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8" authorId="0" shapeId="0" xr:uid="{00000000-0006-0000-0E00-00000B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8" authorId="0" shapeId="0" xr:uid="{00000000-0006-0000-0E00-00000C000000}">
      <text>
        <r>
          <rPr>
            <sz val="9"/>
            <color indexed="81"/>
            <rFont val="Tahoma"/>
            <family val="2"/>
          </rPr>
          <t xml:space="preserve">There is a large variation in climate sensitivity depending on latitude.
</t>
        </r>
      </text>
    </comment>
    <comment ref="I8" authorId="0" shapeId="0" xr:uid="{00000000-0006-0000-0E00-00000D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8" authorId="0" shapeId="0" xr:uid="{00000000-0006-0000-0E00-00000E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9" authorId="0" shapeId="0" xr:uid="{00000000-0006-0000-0E00-00000F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9" authorId="0" shapeId="0" xr:uid="{00000000-0006-0000-0E00-000010000000}">
      <text>
        <r>
          <rPr>
            <sz val="9"/>
            <color indexed="81"/>
            <rFont val="Tahoma"/>
            <family val="2"/>
          </rPr>
          <t xml:space="preserve">There is a large variation in climate sensitivity depending on latitude.
</t>
        </r>
      </text>
    </comment>
    <comment ref="E9" authorId="0" shapeId="0" xr:uid="{00000000-0006-0000-0E00-000011000000}">
      <text>
        <r>
          <rPr>
            <sz val="9"/>
            <color indexed="81"/>
            <rFont val="Tahoma"/>
            <family val="2"/>
          </rPr>
          <t xml:space="preserve">An average production capacity of 6 tons/hectare and year is assumed
</t>
        </r>
      </text>
    </comment>
    <comment ref="I9" authorId="0" shapeId="0" xr:uid="{00000000-0006-0000-0E00-000012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9" authorId="0" shapeId="0" xr:uid="{00000000-0006-0000-0E00-000013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0" authorId="0" shapeId="0" xr:uid="{00000000-0006-0000-0E00-000014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10" authorId="0" shapeId="0" xr:uid="{00000000-0006-0000-0E00-000015000000}">
      <text>
        <r>
          <rPr>
            <sz val="9"/>
            <color indexed="81"/>
            <rFont val="Tahoma"/>
            <family val="2"/>
          </rPr>
          <t xml:space="preserve">There is a large variation in climate sensitivity depending on latitude.
</t>
        </r>
      </text>
    </comment>
    <comment ref="G10" authorId="0" shapeId="0" xr:uid="{00000000-0006-0000-0E00-000016000000}">
      <text>
        <r>
          <rPr>
            <sz val="9"/>
            <color indexed="81"/>
            <rFont val="Tahoma"/>
            <family val="2"/>
          </rPr>
          <t xml:space="preserve">An average growth capacity of 5 tons per hectare and years is assumed.
</t>
        </r>
      </text>
    </comment>
    <comment ref="I10" authorId="0" shapeId="0" xr:uid="{00000000-0006-0000-0E00-000017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0" authorId="0" shapeId="0" xr:uid="{00000000-0006-0000-0E00-000018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1" authorId="0" shapeId="0" xr:uid="{00000000-0006-0000-0E00-000019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11" authorId="0" shapeId="0" xr:uid="{00000000-0006-0000-0E00-00001A000000}">
      <text>
        <r>
          <rPr>
            <sz val="9"/>
            <color indexed="81"/>
            <rFont val="Tahoma"/>
            <family val="2"/>
          </rPr>
          <t xml:space="preserve">There is a large variation in climate sensitivity depending on latitude.
</t>
        </r>
      </text>
    </comment>
    <comment ref="I11" authorId="0" shapeId="0" xr:uid="{00000000-0006-0000-0E00-00001B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1" authorId="0" shapeId="0" xr:uid="{00000000-0006-0000-0E00-00001C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K12" authorId="0" shapeId="0" xr:uid="{00000000-0006-0000-0E00-00001D000000}">
      <text>
        <r>
          <rPr>
            <sz val="9"/>
            <color indexed="81"/>
            <rFont val="Tahoma"/>
            <family val="2"/>
          </rPr>
          <t>The area covered is unknown. As an approximation, the same area as is covered by urban developments is assumed.
The share of species redlisted due to tourism and recreational areas is 0.037 (IUCN 2014)</t>
        </r>
      </text>
    </comment>
    <comment ref="C14" authorId="0" shapeId="0" xr:uid="{00000000-0006-0000-0E00-00001E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4" authorId="0" shapeId="0" xr:uid="{00000000-0006-0000-0E00-00001F000000}">
      <text>
        <r>
          <rPr>
            <sz val="9"/>
            <color indexed="81"/>
            <rFont val="Tahoma"/>
            <family val="2"/>
          </rPr>
          <t xml:space="preserve">There is a large variation in climate sensitivity depending on latitude.
</t>
        </r>
      </text>
    </comment>
    <comment ref="E14" authorId="0" shapeId="0" xr:uid="{00000000-0006-0000-0E00-000020000000}">
      <text>
        <r>
          <rPr>
            <sz val="9"/>
            <color indexed="81"/>
            <rFont val="Tahoma"/>
            <family val="2"/>
          </rPr>
          <t xml:space="preserve">An average production capacity of 6 tons/hectare and year is assumed
</t>
        </r>
      </text>
    </comment>
    <comment ref="I14" authorId="0" shapeId="0" xr:uid="{00000000-0006-0000-0E00-000021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4" authorId="0" shapeId="0" xr:uid="{00000000-0006-0000-0E00-000022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15" authorId="0" shapeId="0" xr:uid="{00000000-0006-0000-0E00-000023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5" authorId="0" shapeId="0" xr:uid="{00000000-0006-0000-0E00-000024000000}">
      <text>
        <r>
          <rPr>
            <sz val="9"/>
            <color indexed="81"/>
            <rFont val="Tahoma"/>
            <family val="2"/>
          </rPr>
          <t xml:space="preserve">There is a large variation in climate sensitivity depending on latitude.
</t>
        </r>
      </text>
    </comment>
    <comment ref="G15" authorId="0" shapeId="0" xr:uid="{00000000-0006-0000-0E00-000025000000}">
      <text>
        <r>
          <rPr>
            <sz val="9"/>
            <color indexed="81"/>
            <rFont val="Tahoma"/>
            <family val="2"/>
          </rPr>
          <t xml:space="preserve">An average growth capacity of 5 tons per hectare and years is assumed.
</t>
        </r>
      </text>
    </comment>
    <comment ref="I15" authorId="0" shapeId="0" xr:uid="{00000000-0006-0000-0E00-000026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5" authorId="0" shapeId="0" xr:uid="{00000000-0006-0000-0E00-000027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16" authorId="0" shapeId="0" xr:uid="{00000000-0006-0000-0E00-000028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6" authorId="0" shapeId="0" xr:uid="{00000000-0006-0000-0E00-000029000000}">
      <text>
        <r>
          <rPr>
            <sz val="9"/>
            <color indexed="81"/>
            <rFont val="Tahoma"/>
            <family val="2"/>
          </rPr>
          <t xml:space="preserve">There is a large variation in climate sensitivity depending on latitude.
</t>
        </r>
      </text>
    </comment>
    <comment ref="I16" authorId="0" shapeId="0" xr:uid="{00000000-0006-0000-0E00-00002A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6" authorId="0" shapeId="0" xr:uid="{00000000-0006-0000-0E00-00002B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17" authorId="0" shapeId="0" xr:uid="{00000000-0006-0000-0E00-00002C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7" authorId="0" shapeId="0" xr:uid="{00000000-0006-0000-0E00-00002D000000}">
      <text>
        <r>
          <rPr>
            <sz val="9"/>
            <color indexed="81"/>
            <rFont val="Tahoma"/>
            <family val="2"/>
          </rPr>
          <t xml:space="preserve">There is a large variation in climate sensitivity depending on latitude.
</t>
        </r>
      </text>
    </comment>
    <comment ref="E17" authorId="0" shapeId="0" xr:uid="{00000000-0006-0000-0E00-00002E000000}">
      <text>
        <r>
          <rPr>
            <sz val="9"/>
            <color indexed="81"/>
            <rFont val="Tahoma"/>
            <family val="2"/>
          </rPr>
          <t xml:space="preserve">An average production capacity of 6 tons/hectare and year is assumed
</t>
        </r>
      </text>
    </comment>
    <comment ref="I17" authorId="0" shapeId="0" xr:uid="{00000000-0006-0000-0E00-00002F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7" authorId="0" shapeId="0" xr:uid="{00000000-0006-0000-0E00-000030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8" authorId="0" shapeId="0" xr:uid="{00000000-0006-0000-0E00-000031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8" authorId="0" shapeId="0" xr:uid="{00000000-0006-0000-0E00-000032000000}">
      <text>
        <r>
          <rPr>
            <sz val="9"/>
            <color indexed="81"/>
            <rFont val="Tahoma"/>
            <family val="2"/>
          </rPr>
          <t xml:space="preserve">There is a large variation in climate sensitivity depending on latitude.
</t>
        </r>
      </text>
    </comment>
    <comment ref="G18" authorId="0" shapeId="0" xr:uid="{00000000-0006-0000-0E00-000033000000}">
      <text>
        <r>
          <rPr>
            <sz val="9"/>
            <color indexed="81"/>
            <rFont val="Tahoma"/>
            <family val="2"/>
          </rPr>
          <t xml:space="preserve">An average growth capacity of 5 tons per hectare and years is assumed.
</t>
        </r>
      </text>
    </comment>
    <comment ref="I18" authorId="0" shapeId="0" xr:uid="{00000000-0006-0000-0E00-000034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8" authorId="0" shapeId="0" xr:uid="{00000000-0006-0000-0E00-000035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9" authorId="0" shapeId="0" xr:uid="{00000000-0006-0000-0E00-000036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9" authorId="0" shapeId="0" xr:uid="{00000000-0006-0000-0E00-000037000000}">
      <text>
        <r>
          <rPr>
            <sz val="9"/>
            <color indexed="81"/>
            <rFont val="Tahoma"/>
            <family val="2"/>
          </rPr>
          <t xml:space="preserve">There is a large variation in climate sensitivity depending on latitude.
</t>
        </r>
      </text>
    </comment>
    <comment ref="I19" authorId="0" shapeId="0" xr:uid="{00000000-0006-0000-0E00-000038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9" authorId="0" shapeId="0" xr:uid="{00000000-0006-0000-0E00-000039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K20" authorId="0" shapeId="0" xr:uid="{00000000-0006-0000-0E00-00003A000000}">
      <text>
        <r>
          <rPr>
            <sz val="9"/>
            <color indexed="81"/>
            <rFont val="Tahoma"/>
            <family val="2"/>
          </rPr>
          <t xml:space="preserve">The area covered is unknown. As an approximation, the same area as is covered by urban developments is assumed.
</t>
        </r>
      </text>
    </comment>
    <comment ref="K22" authorId="0" shapeId="0" xr:uid="{00000000-0006-0000-0E00-00003B000000}">
      <text>
        <r>
          <rPr>
            <sz val="9"/>
            <color indexed="81"/>
            <rFont val="Tahoma"/>
            <family val="2"/>
          </rPr>
          <t>Total global arable land is  
1.53E13 m2 according to FAO</t>
        </r>
      </text>
    </comment>
    <comment ref="K23" authorId="0" shapeId="0" xr:uid="{00000000-0006-0000-0E00-00003C000000}">
      <text>
        <r>
          <rPr>
            <sz val="9"/>
            <color indexed="81"/>
            <rFont val="Tahoma"/>
            <family val="2"/>
          </rPr>
          <t xml:space="preserve">The average share of redlisted species threatened by wood and pulp plantations is 0.024 (IUNC 2014). The total area of wood plantations in the world is 120 million ha. (http://www.fao.org/docrep/004/y1997e/y1997e0n.jpg)
</t>
        </r>
      </text>
    </comment>
    <comment ref="K24" authorId="0" shapeId="0" xr:uid="{00000000-0006-0000-0E00-00003D000000}">
      <text>
        <r>
          <rPr>
            <sz val="9"/>
            <color indexed="81"/>
            <rFont val="Tahoma"/>
            <family val="2"/>
          </rPr>
          <t>The share of redlisted species threatened by livestock farming and ranching is 0.112 (IUCN 2014). The area used for livestock farming and ranching is 3.36E13 m2 (FAO 2014).</t>
        </r>
      </text>
    </comment>
    <comment ref="K25" authorId="0" shapeId="0" xr:uid="{00000000-0006-0000-0E00-00003E000000}">
      <text>
        <r>
          <rPr>
            <sz val="9"/>
            <color indexed="81"/>
            <rFont val="Tahoma"/>
            <family val="2"/>
          </rPr>
          <t xml:space="preserve">The average share of redlisted species (animalia and plantae) threatened by Marine and freshwater aquaculture (IUCN 2014) is 0.0042. Global production from aquaculture is 67 million tons 2012 (http://www.fao.org/aquaculture/en/).
</t>
        </r>
      </text>
    </comment>
    <comment ref="K27" authorId="0" shapeId="0" xr:uid="{00000000-0006-0000-0E00-00003F000000}">
      <text>
        <r>
          <rPr>
            <sz val="9"/>
            <color indexed="81"/>
            <rFont val="Tahoma"/>
            <family val="2"/>
          </rPr>
          <t xml:space="preserve">The average share of redlisted species (animalia and plantae) threatened by oil and gas drilling (IUCN 2014) is 0.00176. The global production of oil and gas is 3.53E12 kg/year.
</t>
        </r>
      </text>
    </comment>
    <comment ref="A28" authorId="0" shapeId="0" xr:uid="{00000000-0006-0000-0E00-000040000000}">
      <text>
        <r>
          <rPr>
            <sz val="9"/>
            <color indexed="81"/>
            <rFont val="Tahoma"/>
            <family val="2"/>
          </rPr>
          <t xml:space="preserve">Actual transformed land (open mining or tailings)
</t>
        </r>
      </text>
    </comment>
    <comment ref="G28" authorId="0" shapeId="0" xr:uid="{00000000-0006-0000-0E00-000041000000}">
      <text>
        <r>
          <rPr>
            <sz val="9"/>
            <color indexed="81"/>
            <rFont val="Tahoma"/>
            <family val="2"/>
          </rPr>
          <t xml:space="preserve">An average growth capacity of 5 tons per hectare and years is assumed.
</t>
        </r>
      </text>
    </comment>
    <comment ref="I28" authorId="0" shapeId="0" xr:uid="{00000000-0006-0000-0E00-000042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28" authorId="0" shapeId="0" xr:uid="{00000000-0006-0000-0E00-000043000000}">
      <text>
        <r>
          <rPr>
            <sz val="9"/>
            <color indexed="81"/>
            <rFont val="Tahoma"/>
            <family val="2"/>
          </rPr>
          <t>The average share of redlisted species (animalia and plantae) threatened by mining and quarrying (IUCN 2014) is 0.0378. Mining areas cover 0.37 % of the EU surface area 
http://ec.europa.eu/eurostat/statistics-explained/index.php/Land_cover,_land_use_and_landIf applied to global conditions the total area would be 0.0037*148940000 km2 = 551078 km2</t>
        </r>
      </text>
    </comment>
    <comment ref="A29" authorId="0" shapeId="0" xr:uid="{00000000-0006-0000-0E00-000044000000}">
      <text>
        <r>
          <rPr>
            <sz val="9"/>
            <color indexed="81"/>
            <rFont val="Tahoma"/>
            <family val="2"/>
          </rPr>
          <t xml:space="preserve">Assumed to concern arable land
</t>
        </r>
      </text>
    </comment>
    <comment ref="K29" authorId="0" shapeId="0" xr:uid="{00000000-0006-0000-0E00-000045000000}">
      <text>
        <r>
          <rPr>
            <sz val="9"/>
            <color indexed="81"/>
            <rFont val="Tahoma"/>
            <family val="2"/>
          </rPr>
          <t xml:space="preserve">The average share of redlisted species (animalia and plantae) threatened by energy crops (IUCN 2014) is 0.00118.The area used for production of energy crops is estimated by FAO to 40 million ha.
</t>
        </r>
      </text>
    </comment>
    <comment ref="G31" authorId="0" shapeId="0" xr:uid="{00000000-0006-0000-0E00-000046000000}">
      <text>
        <r>
          <rPr>
            <sz val="9"/>
            <color indexed="81"/>
            <rFont val="Tahoma"/>
            <family val="2"/>
          </rPr>
          <t xml:space="preserve">An average growth capacity of 5 tons per hectare and years is assumed.
</t>
        </r>
      </text>
    </comment>
    <comment ref="I31" authorId="0" shapeId="0" xr:uid="{00000000-0006-0000-0E00-000047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31" authorId="0" shapeId="0" xr:uid="{00000000-0006-0000-0E00-000048000000}">
      <text>
        <r>
          <rPr>
            <sz val="9"/>
            <color indexed="81"/>
            <rFont val="Tahoma"/>
            <family val="2"/>
          </rPr>
          <t xml:space="preserve">The average share of redlisted species (animalia and plantae) threatened by roads and railroads (IUCN 2014) is 0.0245.The area used for roads and railroads is estimated to 6.11E9 m2 from World Bank statistics on road&amp; rail lengths and an assumption of an average width of 7 m.
</t>
        </r>
      </text>
    </comment>
    <comment ref="K32" authorId="0" shapeId="0" xr:uid="{00000000-0006-0000-0E00-000049000000}">
      <text>
        <r>
          <rPr>
            <sz val="9"/>
            <color indexed="81"/>
            <rFont val="Tahoma"/>
            <family val="2"/>
          </rPr>
          <t>The average share of redlisted species (animalia and plantae) threatened by energy crops (IUCN 2014) is 0.0024.The area used for utility and service lines is difficult to assess as some utility lines are underground and there is only temporary interference with biodiversity. The area used for power transmission is around 200000 hectars in Sweden (Jordbruksverket Rapport 2012:36). That would mean about 0.02 hectar/person or globally 1.4 million km2</t>
        </r>
      </text>
    </comment>
    <comment ref="A34" authorId="0" shapeId="0" xr:uid="{00000000-0006-0000-0E00-00004A000000}">
      <text>
        <r>
          <rPr>
            <b/>
            <sz val="9"/>
            <color indexed="81"/>
            <rFont val="Tahoma"/>
            <family val="2"/>
          </rPr>
          <t>Bengt Steen:</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7" authorId="0" shapeId="0" xr:uid="{00000000-0006-0000-0F00-000001000000}">
      <text>
        <r>
          <rPr>
            <sz val="9"/>
            <color indexed="81"/>
            <rFont val="Tahoma"/>
            <family val="2"/>
          </rPr>
          <t xml:space="preserve">A rough guess is that 4 seconds are required to collect a piecei of litter on the groud or at a sewa shore.
</t>
        </r>
      </text>
    </comment>
    <comment ref="J8" authorId="0" shapeId="0" xr:uid="{00000000-0006-0000-0F00-000002000000}">
      <text>
        <r>
          <rPr>
            <sz val="9"/>
            <color indexed="81"/>
            <rFont val="Tahoma"/>
            <family val="2"/>
          </rPr>
          <t>Plastic waste causes $13 billion in annual damage to marine ecosystems, says UN agency (http://www.un.org/apps/news/story.asp?NewsID=48113#.VGDzBMnYfaI)
Plastic wastenis a big problem for marine environments, but the quantitative knowledge on impacts is low. The cost estimate abbove does not meet scientific requirements, but is an indications of the sigficicance of the problem.
"It is estimated that 10 to 20 million tonnes of plastic is finding its way into the world’s oceans each year, costing approximately US$13 billion per year in environmental damage to marine ecosystems. This includes financial losses incurred by fisheries and tourism as well as time spent cleaning up beaches."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Bengt Steen</author>
    <author>Elisabet Hallberg</author>
  </authors>
  <commentList>
    <comment ref="A1" authorId="0" shapeId="0" xr:uid="{00000000-0006-0000-0200-000001000000}">
      <text>
        <r>
          <rPr>
            <sz val="9"/>
            <color indexed="81"/>
            <rFont val="Tahoma"/>
            <family val="2"/>
          </rPr>
          <t>The restoration of substances close to those in fossil oil is approximated by production of hydrocarbon from wood or other biomass using a Fisher-Tropsch process</t>
        </r>
      </text>
    </comment>
    <comment ref="E15" authorId="1" shapeId="0" xr:uid="{00000000-0006-0000-0200-000002000000}">
      <text>
        <r>
          <rPr>
            <b/>
            <sz val="8"/>
            <color indexed="81"/>
            <rFont val="Tahoma"/>
            <family val="2"/>
          </rPr>
          <t>Elisabet Hallberg:</t>
        </r>
        <r>
          <rPr>
            <sz val="8"/>
            <color indexed="81"/>
            <rFont val="Tahoma"/>
            <family val="2"/>
          </rPr>
          <t xml:space="preserve">
oilvalue
Linked to Gabi sheet</t>
        </r>
      </text>
    </comment>
    <comment ref="C42" authorId="0" shapeId="0" xr:uid="{00000000-0006-0000-0200-000003000000}">
      <text>
        <r>
          <rPr>
            <sz val="9"/>
            <color indexed="81"/>
            <rFont val="Tahoma"/>
            <family val="2"/>
          </rPr>
          <t>Normal world prices for pulpwood is 80 $/odmt (oven dry metric ton) corrresponding to 57 €/ton (Wood Resource Quarterly - 3Q/2011)</t>
        </r>
      </text>
    </comment>
    <comment ref="D42" authorId="0" shapeId="0" xr:uid="{00000000-0006-0000-0200-000004000000}">
      <text>
        <r>
          <rPr>
            <sz val="9"/>
            <color indexed="81"/>
            <rFont val="Tahoma"/>
            <family val="2"/>
          </rPr>
          <t>Optimal charcoal yields are 40-50% of dry wood mass.
Besides charcoal, char and volatile gases are produced, e.g. CO and methane. An energy balance on the equilibrium product mixture from the model compound cellulose at 400 °C and 1 MPa indicates that the carbon productretains 52.2% of the higher heating value (HHV) of the cellulose (17.4 MJ/kg), and 36.2% is captured by the gas products
(primarily methane). The remaining 2.0 MJ/kg is released as heat by the exothermic pyrolysis reaction.  (Antal J and GrØnli M, The Art, Science, and Technology of Charcoal Production, Ind. Eng. Chem. Res. 2003, 42, 1619-1640) 
As a first approximation 52.2/(52.2+36.2) = 59% of the wood feed is allocated to Charcoal.</t>
        </r>
      </text>
    </comment>
    <comment ref="E42" authorId="0" shapeId="0" xr:uid="{00000000-0006-0000-0200-000005000000}">
      <text>
        <r>
          <rPr>
            <sz val="9"/>
            <color indexed="81"/>
            <rFont val="Tahoma"/>
            <family val="2"/>
          </rPr>
          <t>Normal world prices for pulpwood is 80 $/odmt (oven dry metric ton) corrresponding to 57 €/ton (Wood Resource Quarterly - 3Q/2011)</t>
        </r>
      </text>
    </comment>
    <comment ref="F42" authorId="0" shapeId="0" xr:uid="{00000000-0006-0000-0200-000006000000}">
      <text>
        <r>
          <rPr>
            <sz val="9"/>
            <color indexed="81"/>
            <rFont val="Tahoma"/>
            <family val="2"/>
          </rPr>
          <t>Optimal charcoal yields are 40-50% of dry wood mass.
Besides charcoal, char and volatile gases are produced, e.g. CO and methane. An energy balance on the equilibrium product mixture from the model compound cellulose at 400 °C and 1 MPa indicates that the carbon productretains 52.2% of the higher heating value (HHV) of the cellulose (17.4 MJ/kg), and 36.2% is captured by the gas products
(primarily methane). The remaining 2.0 MJ/kg is released as heat by the exothermic pyrolysis reaction.  (Antal J and GrØnli M, The Art, Science, and Technology of Charcoal Production, Ind. Eng. Chem. Res. 2003, 42, 1619-1640) 
As a first approximation 52.2/(52.2+36.2) = 59% of the wood feed is allocated to Charcoal.</t>
        </r>
      </text>
    </comment>
    <comment ref="C43" authorId="0" shapeId="0" xr:uid="{00000000-0006-0000-0200-000007000000}">
      <text>
        <r>
          <rPr>
            <sz val="9"/>
            <color indexed="81"/>
            <rFont val="Tahoma"/>
            <family val="2"/>
          </rPr>
          <t xml:space="preserve">Terry NORGATE and David LANGBERG, Environmental and Economic Aspects of Charcoal Use in
Steelmaking, ISIJ International, Vol. 49 (2009), No. 4, pp. 587–595
</t>
        </r>
      </text>
    </comment>
    <comment ref="A47" authorId="0" shapeId="0" xr:uid="{00000000-0006-0000-0200-000008000000}">
      <text>
        <r>
          <rPr>
            <sz val="9"/>
            <color indexed="81"/>
            <rFont val="Tahoma"/>
            <family val="2"/>
          </rPr>
          <t xml:space="preserve">Is given the same value as hard coal, with respect to heating value, as an approximation of its carbon resource value
</t>
        </r>
      </text>
    </comment>
    <comment ref="B58" authorId="0" shapeId="0" xr:uid="{00000000-0006-0000-0200-000009000000}">
      <text>
        <r>
          <rPr>
            <sz val="9"/>
            <color indexed="81"/>
            <rFont val="Tahoma"/>
            <family val="2"/>
          </rPr>
          <t>An Analysis of Energy Production Costs from Anaerobic Digestion Systems on U.S. Livestock Production Facilities, United States Department of
Agriculture, Natural Resources Conservation Service, Tecnical note no1, 2007</t>
        </r>
      </text>
    </comment>
    <comment ref="B59" authorId="0" shapeId="0" xr:uid="{00000000-0006-0000-0200-00000A000000}">
      <text>
        <r>
          <rPr>
            <sz val="9"/>
            <color indexed="81"/>
            <rFont val="Tahoma"/>
            <family val="2"/>
          </rPr>
          <t>If woodbased, with a cost of 60 $/ton dry substance and with 40% C as in (CH2O)n. If grass crop is used the cost will be about the same. Kämpe and Andermo, Teknik för etablering av vall, Hushållningssällskapet i Skaraborg, rapport 3/10 . Accessed at 13 sept 2014. www.hushallningssallskapet.se/r
Includes capital cost for land use, which is depends on alternative use of land, for e.g. food production.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300-000001000000}">
      <text>
        <r>
          <rPr>
            <sz val="9"/>
            <color indexed="81"/>
            <rFont val="Tahoma"/>
            <family val="2"/>
          </rPr>
          <t xml:space="preserve">Bengt Steen, A Systematic Approach to Environmental Priority Strategies in In Product Development (EPS). Version 2000 – Models and Data. Chalmers University of Technology, Centre for Environmental Assessment of Products and material Systems (CPM) Report 1999:5, Gothenburg 1999.
</t>
        </r>
      </text>
    </comment>
    <comment ref="L14" authorId="0" shapeId="0" xr:uid="{00000000-0006-0000-0300-000002000000}">
      <text>
        <r>
          <rPr>
            <sz val="9"/>
            <color indexed="81"/>
            <rFont val="Tahoma"/>
            <family val="2"/>
          </rPr>
          <t>During the Second World War, aluminium was produced from silicate rock in Sweden. The mineral andalusite (Al2OSiO4) was leached by sodium hydroxide to produce aluminium oxide which was used in a similar way as bauxite (Lindberg, G. "Aluminium i Sverige", Ljungföretagen, Örebro 1973/3, (1973) (In Swedish)). The exact details of the process is not documented, but it is possible to calculate the amount of NaOH (1.48 kg/kg Al) that would be necessary to dissolve Al2O3 as Al(OH)4- ions according to the formula:
   Al2O3 + 2NaOH + 3H2O * 2 Al(OH)4- + 2Na+
The dissolved aluminate ion is then transformed to aluminium hydroxide after neutralisation with sulphuric acid.</t>
        </r>
      </text>
    </comment>
    <comment ref="F19" authorId="0" shapeId="0" xr:uid="{00000000-0006-0000-0300-000003000000}">
      <text>
        <r>
          <rPr>
            <sz val="9"/>
            <color indexed="81"/>
            <rFont val="Tahoma"/>
            <family val="2"/>
          </rPr>
          <t>If the energy in the production process comes from a more sustainable source like wood, the resource impact values decrease as well as the CO2 and CH4 emissions. The remaining impact values will be from wood based process energy at 5.5010-5 ELU/MJ. In the optimized process NMVOC emissions are assumed to be practically eliminated and NOx and SOx emissions are assumed to be reduced by 50 and 90% respectively. The ground use is assumed to correspond to a 10 m deep strip-mine, preventing forestry for 100 years. The ground use will therefore be 0.03 m2 yr and kg Al. and the value for ground use will be negligible.</t>
        </r>
      </text>
    </comment>
    <comment ref="B41" authorId="0" shapeId="0" xr:uid="{00000000-0006-0000-0300-000004000000}">
      <text>
        <r>
          <rPr>
            <sz val="9"/>
            <color indexed="81"/>
            <rFont val="Tahoma"/>
            <family val="2"/>
          </rPr>
          <t>Open pit mining cost distribution–industry average according to "Capital Markets Day November2008 Mine cost drivers Jan Moström President BA Mines" is
􀂃Mining 50%–(Drilling 5%–Blasting 6%–Digging 9%–Hauling 30%)
􀂃Milling 50%–(Grinding 30%–Flotation 10%–Dewatering 10%)
The pure mining cost for an open pit mine in western USA is described in
http://costs.infomine.com/costdatacenter/miningcostmodel.aspx
and would be about 3.6 $/metric ton for a 10000 ton/day bed rock mine. The capital cost would be 20 million $. If lilfe time is 10 years and with 7% discounting the cost per ton would be about 3.7 $/ton for the mining and the double for milling. Adding extra costs for leaching an precipitation we would have costs around 4 €/ton or 0,004/kg bedrock, or 0,08 €/kg Al assuming an extraction efficiency corresponding to 5% Al per kg rock.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400-000001000000}">
      <text>
        <r>
          <rPr>
            <sz val="9"/>
            <color indexed="81"/>
            <rFont val="Tahoma"/>
            <family val="2"/>
          </rPr>
          <t xml:space="preserve">Bengt Steen, A Systematic Approach to Environmental Priority Strategies in In Product Development (EPS). Version 2000 – Models and Data. Chalmers University of Technology, Centre for Environmental Assessment of Products and material Systems (CPM) Report 1999:5, Gothenburg 1999.
</t>
        </r>
      </text>
    </comment>
    <comment ref="C27" authorId="0" shapeId="0" xr:uid="{00000000-0006-0000-0400-000002000000}">
      <text>
        <r>
          <rPr>
            <sz val="9"/>
            <color indexed="81"/>
            <rFont val="Tahoma"/>
            <family val="2"/>
          </rPr>
          <t>According to the presentation "Open pit mining cost distribution–industry average, Capital Markets Day November2008 Mine cost drivers Jan Moström President BA Mines" the costs for mining and milling are
􀂃Mining 50%–(Drilling 5%–Blasting 6%–Digging 9%–Hauling 30%)
􀂃Milling 50%–(Grinding 30%–Flotation 10%–Dewatering 10%)
The pure mining cost for an open pit mine in western USA is described in
http://costs.infomine.com/costdatacenter/miningcostmodel.aspx
and would be about 3.6 $/metric ton for a 10000 ton/day bed rock mine. The capital cost would be 20 million $. If lilfe time is 10 years and with 7% discounting the cost per ton would be about 3.7 $/ton for the mining and the double when including milling. Adding extra costs for leaching an precipitation we would have costs around 4 €/ton or 0,004/kg bedrock.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C1" authorId="0" shapeId="0" xr:uid="{00000000-0006-0000-0500-000001000000}">
      <text>
        <r>
          <rPr>
            <sz val="9"/>
            <color indexed="81"/>
            <rFont val="Tahoma"/>
            <family val="2"/>
          </rPr>
          <t>If not specifically referenced, data are from Scott M. McLennan, Relationships between the trace element composition of sedimentary rocks and upper continental crust, Geochemistry, Geophysics, Geosystems, Volume 2, Issue 4, April 2001 referenced in Estimating Long-Run Geological Stocks of Metals , UNEP International Panel on Sustainable Resource Management, Working Group on Geological Stocks of Metals, 
Working Paper, April 6, 2011</t>
        </r>
      </text>
    </comment>
    <comment ref="D1" authorId="0" shapeId="0" xr:uid="{00000000-0006-0000-0500-000002000000}">
      <text>
        <r>
          <rPr>
            <sz val="9"/>
            <color indexed="81"/>
            <rFont val="Tahoma"/>
            <family val="2"/>
          </rPr>
          <t>If nothing else is noted, all elements are valued eqivalent to copper inversed proportional to its abundance in earths upper crust and increased with a factor 1.6 representing a correction for Cu being more leachable than the average element in the Steen&amp;Borg study. The abundance in ppm by weight is divided by a factor 3638 to give the value in ELU.
3638 = 159*14.3*82.3/51.5, where 159 is the cost of producing a Cu concentrate from bedrock at 14.3 mg/kg and 82.3 % leaching efficiency. 51.5 is the average leaching efficiency for the elements tested.</t>
        </r>
      </text>
    </comment>
    <comment ref="D8" authorId="0" shapeId="0" xr:uid="{00000000-0006-0000-0500-000003000000}">
      <text>
        <r>
          <rPr>
            <sz val="9"/>
            <color indexed="81"/>
            <rFont val="Tahoma"/>
            <family val="2"/>
          </rPr>
          <t>Ca is currently extracted in a sustainable way</t>
        </r>
      </text>
    </comment>
    <comment ref="D9" authorId="0" shapeId="0" xr:uid="{00000000-0006-0000-0500-000004000000}">
      <text>
        <r>
          <rPr>
            <sz val="9"/>
            <color indexed="81"/>
            <rFont val="Tahoma"/>
            <family val="2"/>
          </rPr>
          <t xml:space="preserve">Adapted from Steen and Borg, Ecological Economics 42 (2002) 401 /413. The leaching fficiency for Cd is lower than for Cu.
</t>
        </r>
      </text>
    </comment>
    <comment ref="D11" authorId="0" shapeId="0" xr:uid="{00000000-0006-0000-0500-000005000000}">
      <text>
        <r>
          <rPr>
            <sz val="9"/>
            <color indexed="81"/>
            <rFont val="Tahoma"/>
            <family val="2"/>
          </rPr>
          <t xml:space="preserve">Adapted from Steen and Borg, Ecological Economics 42 (2002) 401 /413. 
</t>
        </r>
      </text>
    </comment>
    <comment ref="D12" authorId="0" shapeId="0" xr:uid="{00000000-0006-0000-0500-000006000000}">
      <text>
        <r>
          <rPr>
            <sz val="9"/>
            <color indexed="81"/>
            <rFont val="Tahoma"/>
            <family val="2"/>
          </rPr>
          <t xml:space="preserve">Adapted from Steen and Borg, Ecological Economics 42 (2002) 401 /413. 
</t>
        </r>
      </text>
    </comment>
    <comment ref="D14" authorId="0" shapeId="0" xr:uid="{00000000-0006-0000-0500-000007000000}">
      <text>
        <r>
          <rPr>
            <sz val="9"/>
            <color indexed="81"/>
            <rFont val="Tahoma"/>
            <family val="2"/>
          </rPr>
          <t xml:space="preserve">Adapted from Steen and Borg, Ecological Economics 42 (2002) 401 /413. 
</t>
        </r>
      </text>
    </comment>
    <comment ref="C18" authorId="0" shapeId="0" xr:uid="{00000000-0006-0000-0500-000008000000}">
      <text>
        <r>
          <rPr>
            <sz val="9"/>
            <color indexed="81"/>
            <rFont val="Tahoma"/>
            <family val="2"/>
          </rPr>
          <t xml:space="preserve">Data from v 2000d. 
</t>
        </r>
      </text>
    </comment>
    <comment ref="C26" authorId="0" shapeId="0" xr:uid="{00000000-0006-0000-0500-000009000000}">
      <text>
        <r>
          <rPr>
            <sz val="9"/>
            <color indexed="81"/>
            <rFont val="Tahoma"/>
            <family val="2"/>
          </rPr>
          <t xml:space="preserve">Estimations on the Ir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
</t>
        </r>
      </text>
    </comment>
    <comment ref="D28" authorId="0" shapeId="0" xr:uid="{00000000-0006-0000-0500-00000A000000}">
      <text>
        <r>
          <rPr>
            <sz val="9"/>
            <color indexed="81"/>
            <rFont val="Tahoma"/>
            <family val="2"/>
          </rPr>
          <t xml:space="preserve">Not used, Li is easier extracted from sea salt
</t>
        </r>
      </text>
    </comment>
    <comment ref="D30" authorId="0" shapeId="0" xr:uid="{00000000-0006-0000-0500-00000B000000}">
      <text>
        <r>
          <rPr>
            <sz val="9"/>
            <color indexed="81"/>
            <rFont val="Tahoma"/>
            <family val="2"/>
          </rPr>
          <t xml:space="preserve">Adapted from Steen and Borg, Ecological Economics 42 (2002) 401 /413. 
</t>
        </r>
      </text>
    </comment>
    <comment ref="H32" authorId="0" shapeId="0" xr:uid="{00000000-0006-0000-0500-00000C000000}">
      <text>
        <r>
          <rPr>
            <sz val="9"/>
            <color indexed="81"/>
            <rFont val="Tahoma"/>
            <family val="2"/>
          </rPr>
          <t xml:space="preserve">From Steen and Borg
Ecological Economics 42 (2002) 401 /413
</t>
        </r>
      </text>
    </comment>
    <comment ref="D34" authorId="0" shapeId="0" xr:uid="{00000000-0006-0000-0500-00000D000000}">
      <text>
        <r>
          <rPr>
            <sz val="9"/>
            <color indexed="81"/>
            <rFont val="Tahoma"/>
            <family val="2"/>
          </rPr>
          <t xml:space="preserve">Adapted from Steen and Borg, Ecological Economics 42 (2002) 401 /413. 
</t>
        </r>
      </text>
    </comment>
    <comment ref="C35" authorId="0" shapeId="0" xr:uid="{00000000-0006-0000-0500-00000E000000}">
      <text>
        <r>
          <rPr>
            <sz val="9"/>
            <color indexed="81"/>
            <rFont val="Tahoma"/>
            <family val="2"/>
          </rPr>
          <t xml:space="preserve"> Wedepohl, Hans K (1995). "The composition of the continental crust". Geochimica et Cosmochimica Acta 59 (7): 1217–1232
</t>
        </r>
      </text>
    </comment>
    <comment ref="D37" authorId="0" shapeId="0" xr:uid="{00000000-0006-0000-0500-00000F000000}">
      <text>
        <r>
          <rPr>
            <sz val="9"/>
            <color indexed="81"/>
            <rFont val="Tahoma"/>
            <family val="2"/>
          </rPr>
          <t xml:space="preserve">Adapted from Steen and Borg, Ecological Economics 42 (2002) 401 /413. 
</t>
        </r>
      </text>
    </comment>
    <comment ref="C38" authorId="0" shapeId="0" xr:uid="{00000000-0006-0000-0500-000010000000}">
      <text>
        <r>
          <rPr>
            <sz val="9"/>
            <color indexed="81"/>
            <rFont val="Tahoma"/>
            <family val="2"/>
          </rPr>
          <t xml:space="preserve">Estimations on the Pd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
</t>
        </r>
      </text>
    </comment>
    <comment ref="C40" authorId="0" shapeId="0" xr:uid="{00000000-0006-0000-0500-000011000000}">
      <text>
        <r>
          <rPr>
            <sz val="9"/>
            <color indexed="81"/>
            <rFont val="Tahoma"/>
            <family val="2"/>
          </rPr>
          <t xml:space="preserve">Estimations on the Pt abundance varies with several orders of magnitude in the literature. Most figures are not primary data, but referenced to other sources that are in turn referenced etc. Here the concentrations determined by Park et al in loess soil, which is a mixture of several minerals (Geochimica et Cosmochimica Acta 93 (2012) 63–76) is used. Park et al give a detailed description of their procedure and compare it with other results.
</t>
        </r>
      </text>
    </comment>
    <comment ref="C41" authorId="0" shapeId="0" xr:uid="{00000000-0006-0000-0500-000012000000}">
      <text>
        <r>
          <rPr>
            <sz val="9"/>
            <color indexed="81"/>
            <rFont val="Tahoma"/>
            <family val="2"/>
          </rPr>
          <t xml:space="preserve"> Wedepohl, Hans K (1995). "The composition of the continental crust". Geochimica et Cosmochimica Acta 59 (7): 1217–1232
</t>
        </r>
      </text>
    </comment>
    <comment ref="C43" authorId="0" shapeId="0" xr:uid="{00000000-0006-0000-0500-000013000000}">
      <text>
        <r>
          <rPr>
            <sz val="9"/>
            <color indexed="81"/>
            <rFont val="Tahoma"/>
            <family val="2"/>
          </rPr>
          <t xml:space="preserve">Estimations on the Rh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
</t>
        </r>
      </text>
    </comment>
    <comment ref="C44" authorId="0" shapeId="0" xr:uid="{00000000-0006-0000-0500-000014000000}">
      <text>
        <r>
          <rPr>
            <sz val="9"/>
            <color indexed="81"/>
            <rFont val="Tahoma"/>
            <family val="2"/>
          </rPr>
          <t>Estimations on the Ru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t>
        </r>
      </text>
    </comment>
    <comment ref="C53" authorId="0" shapeId="0" xr:uid="{00000000-0006-0000-0500-000015000000}">
      <text>
        <r>
          <rPr>
            <sz val="9"/>
            <color indexed="81"/>
            <rFont val="Tahoma"/>
            <family val="2"/>
          </rPr>
          <t xml:space="preserve">Ayres, Robert U.; Ayres, Leslie (2002). A handbook of industrial ecology. Edward Elgar Publishing. p. 396.
</t>
        </r>
      </text>
    </comment>
    <comment ref="D59" authorId="0" shapeId="0" xr:uid="{00000000-0006-0000-0500-000016000000}">
      <text>
        <r>
          <rPr>
            <sz val="9"/>
            <color indexed="81"/>
            <rFont val="Tahoma"/>
            <family val="2"/>
          </rPr>
          <t xml:space="preserve">Adapted from Steen and Borg, Ecological Economics 42 (2002) 401 /413. 
</t>
        </r>
      </text>
    </comment>
    <comment ref="D63" authorId="0" shapeId="0" xr:uid="{00000000-0006-0000-0500-000017000000}">
      <text>
        <r>
          <rPr>
            <sz val="9"/>
            <color indexed="81"/>
            <rFont val="Tahoma"/>
            <family val="2"/>
          </rPr>
          <t xml:space="preserve">Adapted from Steen and Borg, Ecological Economics 42 (2002) 401 /413. 
</t>
        </r>
      </text>
    </comment>
    <comment ref="D66" authorId="0" shapeId="0" xr:uid="{00000000-0006-0000-0500-000018000000}">
      <text>
        <r>
          <rPr>
            <sz val="9"/>
            <color indexed="81"/>
            <rFont val="Tahoma"/>
            <family val="2"/>
          </rPr>
          <t xml:space="preserve">If extracted from sea salt, Li salt concentrates may be produced at a reasonable cost. LiCl and LiSO4 is more soluble than the Na and K salts and will be concentrated in the brines of evaporating seawater. In present extraction technology when the minerals mentioned above are used, Li is separated from Na and K via its carbonates where Li2CO3 has a comparatively low solubility at 100 oC. The overall cost of extracting Li from seawater will depend on how much sea salt that is produced. If Li can be concentrated as a by-product to similar levels as the minerals, which are used today, the cost should be in the order of 0.1 EUR/kg representing a relatively simple process technology and moderate energy consumption. The resource value is thus assumed to be 0.1 ELU/kg as a best estimate with an uncertainty of a factor of 10. The uncertainty lies mainly in the uncertainty of the volumes of Li needed. If large volumes are needed, another technology must be used.
</t>
        </r>
      </text>
    </comment>
    <comment ref="D67" authorId="0" shapeId="0" xr:uid="{00000000-0006-0000-0500-000019000000}">
      <text>
        <r>
          <rPr>
            <sz val="9"/>
            <color indexed="81"/>
            <rFont val="Tahoma"/>
            <family val="2"/>
          </rPr>
          <t xml:space="preserve">Borates are mined today from deposits originating from evaporated inland seas. This means that it is likely that it can be obtained from evaporating sea water at certain salt concentrations. The exact procedure is not identified, but its complexity and cost is assumed to be somewhere between that of Li and K.
</t>
        </r>
      </text>
    </comment>
    <comment ref="D68" authorId="0" shapeId="0" xr:uid="{00000000-0006-0000-0500-00001A000000}">
      <text>
        <r>
          <rPr>
            <sz val="9"/>
            <color indexed="81"/>
            <rFont val="Tahoma"/>
            <family val="2"/>
          </rPr>
          <t>Part of the Br is today extracted from seawater, why its resource value is estimated to 0 ELU/kg.</t>
        </r>
      </text>
    </comment>
    <comment ref="D69" authorId="0" shapeId="0" xr:uid="{00000000-0006-0000-0500-00001B000000}">
      <text>
        <r>
          <rPr>
            <sz val="9"/>
            <color indexed="81"/>
            <rFont val="Tahoma"/>
            <family val="2"/>
          </rPr>
          <t xml:space="preserve">Current resource, water is considered sustainable
</t>
        </r>
      </text>
    </comment>
    <comment ref="D70" authorId="0" shapeId="0" xr:uid="{00000000-0006-0000-0500-00001C000000}">
      <text>
        <r>
          <rPr>
            <sz val="9"/>
            <color indexed="81"/>
            <rFont val="Tahoma"/>
            <family val="2"/>
          </rPr>
          <t xml:space="preserve">Current resources like sea water is considered sustainable
</t>
        </r>
      </text>
    </comment>
    <comment ref="D71" authorId="0" shapeId="0" xr:uid="{00000000-0006-0000-0500-00001D000000}">
      <text>
        <r>
          <rPr>
            <sz val="9"/>
            <color indexed="81"/>
            <rFont val="Tahoma"/>
            <family val="2"/>
          </rPr>
          <t xml:space="preserve">Estimated to be equal to the cost for concentration of K in sea salt brines to the same level as is present in K-rich rock salt, which is the main source of K today. This is a rather simple process, carried out in connection with the initial evaporation of seawater. KCl is somewhat less soluble in water (276 g/l) than NaCl (357 g/l). The first precipitates of salt in a batch of seawater, which is evaporated, is thus likely to be enriched in K. The estimated to cost for concentrating K is in the order of 10 EUR/ton K why the resource value of K-rich rock salt is 0.01 ELU/kg K.
</t>
        </r>
      </text>
    </comment>
    <comment ref="D72" authorId="0" shapeId="0" xr:uid="{00000000-0006-0000-0500-00001E000000}">
      <text>
        <r>
          <rPr>
            <sz val="9"/>
            <color indexed="81"/>
            <rFont val="Tahoma"/>
            <family val="2"/>
          </rPr>
          <t xml:space="preserve">Mg is today produced from sea water
</t>
        </r>
      </text>
    </comment>
    <comment ref="D73" authorId="0" shapeId="0" xr:uid="{00000000-0006-0000-0500-00001F000000}">
      <text>
        <r>
          <rPr>
            <sz val="9"/>
            <color indexed="81"/>
            <rFont val="Tahoma"/>
            <family val="2"/>
          </rPr>
          <t>Sulphur is today mined in elementary form or extracted from fossil fuel. If extracted from seawater, sulphates may be produced at low costs, probably in the same range as K, i.e. corresponding to a resource value of 0.01 ELU/kg. To produce elementary sulphur one would have to reduce the sulphates, for instance with carbon. Theoretically there is at least a need for as much carbon mass as sulphur mass in this reaction. Having a resource value of coal of 0.05 ELU/kg we would get a resource value of elementary S in the order of 0.1 ELU/kg.</t>
        </r>
      </text>
    </comment>
    <comment ref="D74" authorId="0" shapeId="0" xr:uid="{00000000-0006-0000-0500-000020000000}">
      <text>
        <r>
          <rPr>
            <sz val="9"/>
            <color indexed="81"/>
            <rFont val="Tahoma"/>
            <family val="2"/>
          </rPr>
          <t xml:space="preserve">Iodine is currently extracted from seawater via kelp.
</t>
        </r>
      </text>
    </comment>
    <comment ref="D75" authorId="0" shapeId="0" xr:uid="{00000000-0006-0000-0500-000021000000}">
      <text>
        <r>
          <rPr>
            <sz val="9"/>
            <color indexed="81"/>
            <rFont val="Tahoma"/>
            <family val="2"/>
          </rPr>
          <t xml:space="preserve">Current resources like sea water is considered sustainable
</t>
        </r>
      </text>
    </comment>
    <comment ref="D77" authorId="0" shapeId="0" xr:uid="{00000000-0006-0000-0500-000022000000}">
      <text>
        <r>
          <rPr>
            <sz val="9"/>
            <color indexed="81"/>
            <rFont val="Tahoma"/>
            <family val="2"/>
          </rPr>
          <t xml:space="preserve">Currently produced from air, which is considered a sustainable resource
</t>
        </r>
      </text>
    </comment>
    <comment ref="D78" authorId="0" shapeId="0" xr:uid="{00000000-0006-0000-0500-000023000000}">
      <text>
        <r>
          <rPr>
            <sz val="9"/>
            <color indexed="81"/>
            <rFont val="Tahoma"/>
            <family val="2"/>
          </rPr>
          <t xml:space="preserve">Currently produced from air, which is considered a sustainable resource
</t>
        </r>
      </text>
    </comment>
    <comment ref="D79" authorId="0" shapeId="0" xr:uid="{00000000-0006-0000-0500-000024000000}">
      <text>
        <r>
          <rPr>
            <sz val="9"/>
            <color indexed="81"/>
            <rFont val="Tahoma"/>
            <family val="2"/>
          </rPr>
          <t xml:space="preserve">Currently produced from air, which is considered a sustainable resource
</t>
        </r>
      </text>
    </comment>
    <comment ref="D80" authorId="0" shapeId="0" xr:uid="{00000000-0006-0000-0500-000025000000}">
      <text>
        <r>
          <rPr>
            <sz val="9"/>
            <color indexed="81"/>
            <rFont val="Tahoma"/>
            <family val="2"/>
          </rPr>
          <t xml:space="preserve">Currently produced from air, which is considered a sustainable resource
</t>
        </r>
      </text>
    </comment>
    <comment ref="D81" authorId="0" shapeId="0" xr:uid="{00000000-0006-0000-0500-000026000000}">
      <text>
        <r>
          <rPr>
            <sz val="9"/>
            <color indexed="81"/>
            <rFont val="Tahoma"/>
            <family val="2"/>
          </rPr>
          <t xml:space="preserve">Currently produced from air, which is considered a sustainable resource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1" authorId="0" shapeId="0" xr:uid="{00000000-0006-0000-0600-000001000000}">
      <text>
        <r>
          <rPr>
            <sz val="9"/>
            <color indexed="81"/>
            <rFont val="Tahoma"/>
            <family val="2"/>
          </rPr>
          <t>If not specifically noted, the uncertaitny is expressed as a factor equal ti one standard deviation in a log normal distribution</t>
        </r>
      </text>
    </comment>
    <comment ref="H1" authorId="0" shapeId="0" xr:uid="{00000000-0006-0000-0600-000002000000}">
      <text>
        <r>
          <rPr>
            <sz val="9"/>
            <color indexed="81"/>
            <rFont val="Tahoma"/>
            <family val="2"/>
          </rPr>
          <t>If not specifically noted, the uncertaitny is expressed as a factor equal to one standard deviation in a log normal distribution</t>
        </r>
      </text>
    </comment>
    <comment ref="E3" authorId="0" shapeId="0" xr:uid="{00000000-0006-0000-0600-000003000000}">
      <text>
        <r>
          <rPr>
            <sz val="9"/>
            <color indexed="81"/>
            <rFont val="Tahoma"/>
            <family val="2"/>
          </rPr>
          <t>UN global environmental statistics from GEMSTAT
http://www.gemstat.org/queryrgn.aspx, accessed October 18 2014, show that Dissolved Oxygen (DO) levels are less than 9.5 mg/l, (which cause reduced production capacity in lakes with an average temperature below 20 oC) in 62% of the monitoring sites and less than 6 mg/l (which cause reduced production capacity in lakes with an average temperature above 20 oC) in 12% of the monitoring sites. 63% of the lakes have temperatures below 20 degrees C and the rest 37% lies above 20 degrees C. This allows an approximate estimate of the share of lakes with oxygen deficiency to 0,12*0,37+0,63*0,12+0,63*0,45 = 0.40 or 40% of the lakes. The growth rate of fish is assumed to be directly proportional to DO at these levels. The DO levels below 9.5 and 6 is as an average 7.5 mg/l indicating a decreased fish growth rate of 2/9.5 = 0.21 for the &lt;20 degree lakes covering 36% of the area  (0.63*0.12+0.63*0.45) and below 5 in &gt;20 degrees lakes indicating a decreased fish growth of 1/6 or 16.7% in 4.4% (0.37*0.12) of the lake areas. The total global freshwater area is 5988250 km2 (http://en.worldstat.info/World/List_of_countries_by_Water_surface_%28percentage_of_total_area%29). The average fish growth capacity is assumed to be 1000 kg/km2, year. This means a total loss of production capacity of (0.21*0.36+0.167*0.044)*1000*5988250 kg/year = 4.97E8 kg/year.</t>
        </r>
      </text>
    </comment>
    <comment ref="F3" authorId="0" shapeId="0" xr:uid="{00000000-0006-0000-0600-000004000000}">
      <text>
        <r>
          <rPr>
            <sz val="9"/>
            <color indexed="81"/>
            <rFont val="Tahoma"/>
            <family val="2"/>
          </rPr>
          <t>The model builds on several assumptions: 1) Extrapolation of DO levels to waters not monitored, 2) independency between temperature and DO levels, 3) a linear relation between DO deficiency and decreased growth rate and 4) average production capacity of 1000 kg/km2 (which is relevant for temperate regions). Therfore a standard deviation of a factor of 2 is estimated.</t>
        </r>
      </text>
    </comment>
    <comment ref="G3" authorId="0" shapeId="0" xr:uid="{00000000-0006-0000-0600-000005000000}">
      <text>
        <r>
          <rPr>
            <sz val="9"/>
            <color indexed="81"/>
            <rFont val="Tahoma"/>
            <family val="2"/>
          </rPr>
          <t>Total global BOD emission to freshwater estimated from country specific Worldbank data for 2004-2007 is estimated to 1.6E10 kg. This estimation is based on an assumption that per capita emissions from the countries not covered by Worldbank statistics (46% of the population) are the same as those covered. Oxygen deficiency in freshwater is also caused by P emissions. Global Ptot emissions to freshwater is estimated to 3.8E10 kg/yr. (Yi Liu, Gara Villalba, Robert U. Ayres, and Hans Schroder, Global Phosphorus Flows and Environmental Impacts from a Consumption Perspective, Journal of Industrial Ecology, Volume 12, Number 2, p 229-247)
Assuming a Redfield ratio in fish productivity, 1 kg of P will correspond to 0,0072 kg BOD in terms of DO depletion. Therefore the contribution from BOD to DO depletion in freshwaters are 0.0072/(1.6E10*0.0072+3.8E10) = 1.89E-13</t>
        </r>
      </text>
    </comment>
    <comment ref="H3" authorId="0" shapeId="0" xr:uid="{00000000-0006-0000-0600-000006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An uncertainty of a factor of 4 is therfore assumed. 
</t>
        </r>
      </text>
    </comment>
    <comment ref="E4" authorId="0" shapeId="0" xr:uid="{00000000-0006-0000-0600-000007000000}">
      <text>
        <r>
          <rPr>
            <sz val="9"/>
            <color indexed="81"/>
            <rFont val="Tahoma"/>
            <family val="2"/>
          </rPr>
          <t xml:space="preserve">IUCN redlist http://www.iucnredlist.org/search, accessed at 15 October 2014
</t>
        </r>
      </text>
    </comment>
    <comment ref="F4" authorId="0" shapeId="0" xr:uid="{00000000-0006-0000-0600-000008000000}">
      <text>
        <r>
          <rPr>
            <sz val="9"/>
            <color indexed="81"/>
            <rFont val="Tahoma"/>
            <family val="2"/>
          </rPr>
          <t>It is unclear how well the data reported to IUCN cover the real situation. 
An uncertainty of a factor of 3 is assumed.</t>
        </r>
      </text>
    </comment>
    <comment ref="G4" authorId="0" shapeId="0" xr:uid="{00000000-0006-0000-0600-000009000000}">
      <text>
        <r>
          <rPr>
            <sz val="9"/>
            <color indexed="81"/>
            <rFont val="Tahoma"/>
            <family val="2"/>
          </rPr>
          <t>Total global BOD emission to freshwater estimated from country specific Worldbank data for 2004-2007 representing 54% of the global population is estimated to 1.6E10 kg. This estimation is based on an assumption that per capita emissions from the countries not covered by Worldbank statistics are the same as those covered. Oxygen deficiency in freshwater is also caused by P emissions. Global Ptot emissions to freshwater is estimated to 3.8E10 kg/yr. (Yi Liu, Gara Villalba, Robert U. Ayres, and Hans Schroder, Global Phosphorus Flows and Environmental Impacts from a Consumption Perspective, Journal of Industrial Ecology, Volume 12, Number 2, p 229-247)
Assuming a Redfield ratio, 1 kg of P will correspond to 0,0072 kg BOD in terms of DO depletion. Thereefore the contribution from BOD to DO depletion in freshwaters are 0.0072/(1.6E10*0.0072+3.8E10) = 1.89E-13</t>
        </r>
      </text>
    </comment>
    <comment ref="H4" authorId="0" shapeId="0" xr:uid="{00000000-0006-0000-0600-00000A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An uncertainty of a factor of 4 is therfore assumed. 
</t>
        </r>
      </text>
    </comment>
    <comment ref="G7" authorId="0" shapeId="0" xr:uid="{00000000-0006-0000-0600-00000B000000}">
      <text>
        <r>
          <rPr>
            <sz val="9"/>
            <color indexed="81"/>
            <rFont val="Tahoma"/>
            <family val="2"/>
          </rPr>
          <t xml:space="preserve">Most emissions are directly to freshwater and later to seawater. A transfer efficiency of 50% is assumed.
</t>
        </r>
      </text>
    </comment>
    <comment ref="H7" authorId="0" shapeId="0" xr:uid="{00000000-0006-0000-0600-00000C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Besides, some of the emissions to freshwater will not reach seawater and contribute to the impact there. An uncertainty of a factor of 5 is therfore assumed. 
</t>
        </r>
      </text>
    </comment>
    <comment ref="E8" authorId="0" shapeId="0" xr:uid="{00000000-0006-0000-0600-00000D000000}">
      <text>
        <r>
          <rPr>
            <sz val="9"/>
            <color indexed="81"/>
            <rFont val="Tahoma"/>
            <family val="2"/>
          </rPr>
          <t xml:space="preserve">IUCN redlist http://www.iucnredlist.org/search, accessed at 15 October 2014 estimates that 0.007 of all redlisted aspecies are threatened in aquatic environments from effluents from agriculture and forestry. Most of these are assumed to be in freshwater environments and less than a tenth in sewater environments.
</t>
        </r>
      </text>
    </comment>
    <comment ref="F8" authorId="0" shapeId="0" xr:uid="{00000000-0006-0000-0600-00000E000000}">
      <text>
        <r>
          <rPr>
            <sz val="9"/>
            <color indexed="81"/>
            <rFont val="Tahoma"/>
            <family val="2"/>
          </rPr>
          <t>It is unclear how well the data reported to IUCN cover the real situation. 
An uncertainty of a factor of 3 is assumed.</t>
        </r>
      </text>
    </comment>
    <comment ref="G8" authorId="0" shapeId="0" xr:uid="{00000000-0006-0000-0600-00000F000000}">
      <text>
        <r>
          <rPr>
            <sz val="9"/>
            <color indexed="81"/>
            <rFont val="Tahoma"/>
            <family val="2"/>
          </rPr>
          <t xml:space="preserve">Most emissions are directly to freshwater and later to seawater
</t>
        </r>
      </text>
    </comment>
    <comment ref="H8" authorId="0" shapeId="0" xr:uid="{00000000-0006-0000-0600-000010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Besides, some of the emissions to freshwater will not reach seawater and contribute to the impact there. An uncertainty of a factor of 5 is therfore assumed. 
</t>
        </r>
      </text>
    </comment>
    <comment ref="G11" authorId="0" shapeId="0" xr:uid="{00000000-0006-0000-0600-000011000000}">
      <text>
        <r>
          <rPr>
            <sz val="9"/>
            <color indexed="81"/>
            <rFont val="Tahoma"/>
            <family val="2"/>
          </rPr>
          <t>The model is similar to that for BOD to freshwater but adjusted by the average ratio between BOD and COD in freshwater.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G12" authorId="0" shapeId="0" xr:uid="{00000000-0006-0000-0600-000012000000}">
      <text>
        <r>
          <rPr>
            <sz val="9"/>
            <color indexed="81"/>
            <rFont val="Tahoma"/>
            <family val="2"/>
          </rPr>
          <t>The model is similar to that for BOD to freshwater but adjusted by the average ratio between BOD and COD in freshwater.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G15" authorId="0" shapeId="0" xr:uid="{00000000-0006-0000-0600-000013000000}">
      <text>
        <r>
          <rPr>
            <sz val="9"/>
            <color indexed="81"/>
            <rFont val="Tahoma"/>
            <family val="2"/>
          </rPr>
          <t>The model is similar to that for BOD to seawater but adjusted by the average ratio between BOD and COD in freshwater (supplied into seawater via rivers).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G16" authorId="0" shapeId="0" xr:uid="{00000000-0006-0000-0600-000014000000}">
      <text>
        <r>
          <rPr>
            <sz val="9"/>
            <color indexed="81"/>
            <rFont val="Tahoma"/>
            <family val="2"/>
          </rPr>
          <t>The model is similar to that for BOD to seawater but adjusted by the average ratio between BOD and COD in freshwater (supplied into seawater via rivers).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E19" authorId="0" shapeId="0" xr:uid="{00000000-0006-0000-0600-000015000000}">
      <text>
        <r>
          <rPr>
            <sz val="9"/>
            <color indexed="81"/>
            <rFont val="Tahoma"/>
            <family val="2"/>
          </rPr>
          <t xml:space="preserve">As P is rate limiiting Ntot's impact on fish productivity in freshwater is neglected, but impacts to  seawater is included. 
</t>
        </r>
      </text>
    </comment>
    <comment ref="G19" authorId="0" shapeId="0" xr:uid="{00000000-0006-0000-0600-000016000000}">
      <text>
        <r>
          <rPr>
            <sz val="9"/>
            <color indexed="81"/>
            <rFont val="Tahoma"/>
            <family val="2"/>
          </rPr>
          <t>Galloway et al (Biogeochemistry 70: 153–226, 2004) estimates the input to rivers in the 1990ies of Nr (Ntot) to 118.1 Tg/yr and the riverine flux to oceans to 47.8 Tg/yr. This giives an averqage transfer efficiency of 40%. Galloway estimated the total input to rivers 1860 to 69.8 Tg/yr. If assuming that the total input to rivers 1990 compared to 1860 represents the antropogenic contribution, we get a total antropogenic emission to freshwater equal to 48.3 Tg/yr. BOD emissions are estimated to 0.83 Tg/yr N-eq. I kg of N emitted to freshwater is thus contributing to 0.4/(48.3E9+0.83E9) = 8.14E-12 to the decrease in fish productivity.</t>
        </r>
      </text>
    </comment>
    <comment ref="H19" authorId="0" shapeId="0" xr:uid="{00000000-0006-0000-0600-000017000000}">
      <text>
        <r>
          <rPr>
            <sz val="9"/>
            <color indexed="81"/>
            <rFont val="Tahoma"/>
            <family val="2"/>
          </rPr>
          <t xml:space="preserve">The transfer efficiency is likely to vary substatially (orders of magnitude) depending on how close the emissios are to seawater and how close it is to areas with oxygen depletion. </t>
        </r>
      </text>
    </comment>
    <comment ref="H20" authorId="0" shapeId="0" xr:uid="{00000000-0006-0000-0600-000018000000}">
      <text>
        <r>
          <rPr>
            <sz val="9"/>
            <color indexed="81"/>
            <rFont val="Tahoma"/>
            <family val="2"/>
          </rPr>
          <t xml:space="preserve">The transfer efficiency is likely to vary substatially (orders of magnitude) depending on how close the emissios are to seawater. </t>
        </r>
      </text>
    </comment>
    <comment ref="H21" authorId="0" shapeId="0" xr:uid="{00000000-0006-0000-0600-000019000000}">
      <text>
        <r>
          <rPr>
            <sz val="9"/>
            <color indexed="81"/>
            <rFont val="Tahoma"/>
            <family val="2"/>
          </rPr>
          <t xml:space="preserve">The transfer efficiency is likely to vary substatially (orders of magnitude) depending on how close the emissios are to seawater and how close it is to areas with oxygen depletion. </t>
        </r>
      </text>
    </comment>
    <comment ref="G24" authorId="0" shapeId="0" xr:uid="{00000000-0006-0000-0600-00001A000000}">
      <text>
        <r>
          <rPr>
            <sz val="9"/>
            <color indexed="81"/>
            <rFont val="Tahoma"/>
            <family val="2"/>
          </rPr>
          <t>Galloway et al (Biogeochemistry 70: 153–226, 2004) estimates  the riverine flux to oceans to 47.8 Tg/yr.  . BOD emissions are estimated to 0.83 Tg/yr N-eq. 1 kg of N emitted to freshwater is thus contributing to 1/(48.3E9+0.83E9) = 2.4E-11 to the decrease in fish productivity.</t>
        </r>
      </text>
    </comment>
    <comment ref="H24" authorId="0" shapeId="0" xr:uid="{00000000-0006-0000-0600-00001B000000}">
      <text>
        <r>
          <rPr>
            <sz val="9"/>
            <color indexed="81"/>
            <rFont val="Tahoma"/>
            <family val="2"/>
          </rPr>
          <t xml:space="preserve">The differences in contribution is in the order of magnitudes, depending on whether the emissions occur in coastal areas with oxygen deficient zones or not
</t>
        </r>
      </text>
    </comment>
    <comment ref="H25" authorId="0" shapeId="0" xr:uid="{00000000-0006-0000-0600-00001C000000}">
      <text>
        <r>
          <rPr>
            <sz val="9"/>
            <color indexed="81"/>
            <rFont val="Tahoma"/>
            <family val="2"/>
          </rPr>
          <t xml:space="preserve">The contribution is likely to vary depending on   local currents and other growth rate factors.
</t>
        </r>
      </text>
    </comment>
    <comment ref="H26" authorId="0" shapeId="0" xr:uid="{00000000-0006-0000-0600-00001D000000}">
      <text>
        <r>
          <rPr>
            <sz val="9"/>
            <color indexed="81"/>
            <rFont val="Tahoma"/>
            <family val="2"/>
          </rPr>
          <t xml:space="preserve">The differences in contribution is in the order of magnitudes, depending on whether the emissions occur in coastal areas with oxygen deficient zones or not
</t>
        </r>
      </text>
    </comment>
    <comment ref="G29" authorId="0" shapeId="0" xr:uid="{00000000-0006-0000-0600-00001E000000}">
      <text>
        <r>
          <rPr>
            <sz val="9"/>
            <color indexed="81"/>
            <rFont val="Tahoma"/>
            <family val="2"/>
          </rPr>
          <t xml:space="preserve"> Global Ptot emissions to freshwater is estimated to 3.8E10 kg/yr. (Yi Liu, Gara Villalba, Robert U. Ayres, and Hans Schroder, Global Phosphorus Flows and Environmental Impacts from a Consumption Perspective, Journal of Industrial Ecology, Volume 12, Number 2, p 229-247)
Oxygen deficiency in freshwater is also caused by BOD emissions.Total global BOD emission to freshwater estimated from country specific Worldbank data for 2004-2007 is estimated to 1.6E10 kg. This estimation is based on an assumption that per capita emissions from the countries not covered by Worldbank statistics (46% of the population) are the same as those covered. 
Assuming a Redfield ratio in fish productivity, 1 kg of P will correspond to 0,0072 kg BOD in terms of DO depletion. Therefore the contribution from P to DO depletion in freshwaters are 1/(1.6E10*0.0072+3.8E10) = 2.62E-11
</t>
        </r>
      </text>
    </comment>
    <comment ref="H29" authorId="0" shapeId="0" xr:uid="{00000000-0006-0000-0600-00001F000000}">
      <text>
        <r>
          <rPr>
            <sz val="9"/>
            <color indexed="81"/>
            <rFont val="Tahoma"/>
            <family val="2"/>
          </rPr>
          <t xml:space="preserve">The contribution to impacts depend highly on local conditions. About half of the  </t>
        </r>
      </text>
    </comment>
    <comment ref="G30" authorId="0" shapeId="0" xr:uid="{00000000-0006-0000-0600-000020000000}">
      <text>
        <r>
          <rPr>
            <sz val="9"/>
            <color indexed="81"/>
            <rFont val="Tahoma"/>
            <family val="2"/>
          </rPr>
          <t xml:space="preserve"> Global Ptot emissions to freshwater is estimated to 3.8E10 kg/yr. (Yi Liu, Gara Villalba, Robert U. Ayres, and Hans Schroder, Global Phosphorus Flows and Environmental Impacts from a Consumption Perspective, Journal of Industrial Ecology, Volume 12, Number 2, p 229-247)
Oxygen deficiency in freshwater is also caused by BOD emissions.Total global BOD emission to freshwater estimated from country specific Worldbank data for 2004-2007 is estimated to 1.6E10 kg. This estimation is based on an assumption that per capita emissions from the countries not covered by Worldbank statistics (46% of the population) are the same as those covered. 
Assuming a Redfield ratio in fish productivity, 1 kg of P will correspond to 0,0072 kg BOD in terms of DO depletion. Therefore the contribution from P to DO depletion in freshwaters are 1/(1.6E10*0.0072+3.8E10) = 2.62E-11
</t>
        </r>
      </text>
    </comment>
    <comment ref="H30" authorId="0" shapeId="0" xr:uid="{00000000-0006-0000-0600-000021000000}">
      <text>
        <r>
          <rPr>
            <sz val="9"/>
            <color indexed="81"/>
            <rFont val="Tahoma"/>
            <family val="2"/>
          </rPr>
          <t xml:space="preserve">The transfer efficiency is likely to vary substatially (orders of magnitude) depending on how close the emissios are to seawater and how close it is to areas with oxygen depletion. </t>
        </r>
      </text>
    </comment>
    <comment ref="E33" authorId="0" shapeId="0" xr:uid="{00000000-0006-0000-0600-000022000000}">
      <text>
        <r>
          <rPr>
            <sz val="9"/>
            <color indexed="81"/>
            <rFont val="Tahoma"/>
            <family val="2"/>
          </rPr>
          <t xml:space="preserve">P is rarely rate limiting in seawater, why the impact is approximately zero
</t>
        </r>
      </text>
    </comment>
    <comment ref="G33" authorId="0" shapeId="0" xr:uid="{00000000-0006-0000-0600-000023000000}">
      <text>
        <r>
          <rPr>
            <sz val="9"/>
            <color indexed="81"/>
            <rFont val="Tahoma"/>
            <family val="2"/>
          </rPr>
          <t xml:space="preserve">P is rarely rate limiting in seawater, why the impact is approximately zero
</t>
        </r>
      </text>
    </comment>
    <comment ref="E34" authorId="0" shapeId="0" xr:uid="{00000000-0006-0000-0600-000024000000}">
      <text>
        <r>
          <rPr>
            <sz val="9"/>
            <color indexed="81"/>
            <rFont val="Tahoma"/>
            <family val="2"/>
          </rPr>
          <t xml:space="preserve">P is rarely rate limiting in seawater, why the impact is approximately zero
</t>
        </r>
      </text>
    </comment>
    <comment ref="G34" authorId="0" shapeId="0" xr:uid="{00000000-0006-0000-0600-000025000000}">
      <text>
        <r>
          <rPr>
            <sz val="9"/>
            <color indexed="81"/>
            <rFont val="Tahoma"/>
            <family val="2"/>
          </rPr>
          <t xml:space="preserve">P is rarely rate limiting in seawater, why the impact is approximately zero
</t>
        </r>
      </text>
    </comment>
    <comment ref="E37" authorId="0" shapeId="0" xr:uid="{00000000-0006-0000-0600-000026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 risk for bladder cancer is increased by 0,01%/μg/day (EU project ESPREME) and the global average incidence is 1.7E-4 Global average Lancet 2012; 380: 2095–128. Thus there is an absolute risk of 3.22E-7 per ug/day lifetime exposure. 
The marginal  reduction of life expectancy is estimated to 3.7 years based on WHO estimates of global YOLL/years for different age groups and an average life expectancy of 70 years. 
The average mortality in bladder cancer is about 50%.
Thus the average YOLL/kg As is 0.00857*3.22E-7*3.7*0.5 =2.9E-9 YOLL/kg</t>
        </r>
      </text>
    </comment>
    <comment ref="F37" authorId="0" shapeId="0" xr:uid="{00000000-0006-0000-0600-000027000000}">
      <text>
        <r>
          <rPr>
            <sz val="9"/>
            <color indexed="81"/>
            <rFont val="Tahoma"/>
            <family val="2"/>
          </rPr>
          <t>The main uncertainty lies in the estimation of exposure levels, as the model is very simplistic and only covers one pathway. There is also an uncertainty in dose-respons
rates.</t>
        </r>
      </text>
    </comment>
    <comment ref="E38" authorId="0" shapeId="0" xr:uid="{00000000-0006-0000-0600-000028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0,025% risk/ug/day to die from CVD due to As exposure. (ESPREME, 2007, Exposure response functions for HM impacts on human health) The marginal  reduction of life expectancy is estimated to 5.0 years based on WHO estimates of global YOLL/years for different age groups and an average life expectancy of 70 years. 
Thus the average YOLL/kg As is 0.00025*0.00875*5 =1.09E-5 YOLL/kg As</t>
        </r>
      </text>
    </comment>
    <comment ref="F38" authorId="0" shapeId="0" xr:uid="{00000000-0006-0000-0600-000029000000}">
      <text>
        <r>
          <rPr>
            <sz val="9"/>
            <color indexed="81"/>
            <rFont val="Tahoma"/>
            <family val="2"/>
          </rPr>
          <t xml:space="preserve">The main uncertainty lies in the estimation of exposure levels. There is also an uncertainty in dose-respons
rates.
</t>
        </r>
      </text>
    </comment>
    <comment ref="E39" authorId="0" shapeId="0" xr:uid="{00000000-0006-0000-0600-00002A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 risk for skin cancer including malignent melanoma is increased by 0,002%/μg/day (EU project ESPREME) and the global average incidence is 0,00093  (49100 deaths out of total 52700000. Lancet 2012; 380: 2095–128). Thus there is an absolute risk of 1.86E-8 per ug/day lifetime exposure. 
The marginal  reduction of life expectancy from Melanoma and skin cancer is estimated to 7.4 years based on WHO estimates of global YOLL/years for different age groups and an average life expectancy of 70 years. 
 Mortality in skin cancer is low, about 12% for melanoma and 0,2% for SCC and BCC. If applying the ratio of predicted cancer incidences for melanoma vs SCC + BCC the US (HUMAN HEALTH BENEFITS OF STRATOSPHERIC OZONE PROTECTION, USEPA April 2006) which estimate the mealnoma incidence to 2.7% of all cases, the global mortality rate until 2100 will be 0.12*0.027+0.002*0.973=0.00518.
Thus the average YOLL/kg As is 0.00857*1.68E-8*7.4*0.00518 =2.9E-9 YOLL/kg</t>
        </r>
      </text>
    </comment>
    <comment ref="F39" authorId="0" shapeId="0" xr:uid="{00000000-0006-0000-0600-00002B000000}">
      <text>
        <r>
          <rPr>
            <sz val="9"/>
            <color indexed="81"/>
            <rFont val="Tahoma"/>
            <family val="2"/>
          </rPr>
          <t xml:space="preserve">The main uncertainty lies in the estimation of exposure levels. There is also an uncertainty in dose-respons
rates.
</t>
        </r>
      </text>
    </comment>
    <comment ref="E42" authorId="0" shapeId="0" xr:uid="{00000000-0006-0000-0600-00002C000000}">
      <text>
        <r>
          <rPr>
            <sz val="9"/>
            <color indexed="81"/>
            <rFont val="Tahoma"/>
            <family val="2"/>
          </rPr>
          <t xml:space="preserve">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0,8% risk/ug/day to develop osteoporosis due to Cd exposure. (ESPREME, 2007, Exposure response functions for HM impacts on human health) 
Thus the average cases/kg Cd is 0.008*0.00875 =7.00E-5 </t>
        </r>
      </text>
    </comment>
    <comment ref="F42" authorId="0" shapeId="0" xr:uid="{00000000-0006-0000-0600-00002D000000}">
      <text>
        <r>
          <rPr>
            <sz val="9"/>
            <color indexed="81"/>
            <rFont val="Tahoma"/>
            <family val="2"/>
          </rPr>
          <t xml:space="preserve">The main uncertainty lies in the estimation of exposure levels. There is also an uncertainty in dose-respons
rates.
</t>
        </r>
      </text>
    </comment>
    <comment ref="E43" authorId="0" shapeId="0" xr:uid="{00000000-0006-0000-0600-00002E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0.04% risk/ug/day to develop renal dysfunction due to Cd exposure. (ESPREME, 2007, Exposure response functions for HM impacts on human health) 
Thus the average cases/kg Cd is 0.0004*0.00875 =</t>
        </r>
      </text>
    </comment>
    <comment ref="F43" authorId="0" shapeId="0" xr:uid="{00000000-0006-0000-0600-00002F000000}">
      <text>
        <r>
          <rPr>
            <sz val="9"/>
            <color indexed="81"/>
            <rFont val="Tahoma"/>
            <family val="2"/>
          </rPr>
          <t xml:space="preserve">The main uncertainty lies in the estimation of exposure levels. There is also an uncertainty in dose-respons
rates.
</t>
        </r>
      </text>
    </comment>
    <comment ref="E46" authorId="0" shapeId="0" xr:uid="{00000000-0006-0000-0600-000030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0.3% increased risk/ug/daily intake to develop renal dysfunction due to Cr6+ exposure and an absolute risk of 1.35E-4 ug/daily intake (ESPREME, 2007, Exposure response functions for HM impacts on human health). 
Thus the average cases/kg Cd is 0.000135*0.00875 =1.1E-6</t>
        </r>
      </text>
    </comment>
    <comment ref="E48" authorId="0" shapeId="0" xr:uid="{00000000-0006-0000-0600-000031000000}">
      <text>
        <r>
          <rPr>
            <sz val="9"/>
            <color indexed="81"/>
            <rFont val="Tahoma"/>
            <family val="2"/>
          </rPr>
          <t xml:space="preserve">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evidence of an increased to develop renal dysfunction due to Ni intake but no quantitative dose-respons estimates (ESPREME, 2007, Exposure response functions for HM impacts on human health). 
</t>
        </r>
      </text>
    </comment>
    <comment ref="E50" authorId="0" shapeId="0" xr:uid="{00000000-0006-0000-0600-000032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0.2% increased risk/ug/dl in blood to develop renal dysfunction due to Pb exposure and an absolute risk of 6E-4 ug/daily intake (derived from ESPREME, 2007, Exposure response functions for HM impacts on human health). 
Thus the average cases/kg Pb is 0.0006*0.00875 =5.14E-6</t>
        </r>
      </text>
    </comment>
    <comment ref="E52" authorId="0" shapeId="0" xr:uid="{00000000-0006-0000-0600-000033000000}">
      <text>
        <r>
          <rPr>
            <sz val="9"/>
            <color indexed="81"/>
            <rFont val="Tahoma"/>
            <family val="2"/>
          </rPr>
          <t>Some groups of the population in North America, Europe and New Zealand eating much locally caught fish tend to get high mercury concentrations in body tissue. This may lead to various health effects but the one of most concern is mental retardation of children due to prenatal exposure (Kjellström et al., 1988). In a New Zealand study, 1000 out of 11000 new mothers had consumed fish more than three times a week. 73 of these had hair mercury levels above 6 mg/kg. 50% of the high mercury level children had abnormal or questionable test results in a Denver Development Screening Test, whereas only 17% of the reference children had such results. This indicates that 0.2% of a “fish eating” population like New Zealand is affected. Globally the “fish eating” population is in the order of 200 millions. 0.2% of these are 400000. .
In a USEPA study to the Congress 1997, 166000 pregnant women were estimated to be eating fish above 100 g/day. This corresponds to  0.07% of the population.  Upscaled to the global population, 4.8 million people/year will be eating fish above 100 g/day. If the same frequency of high mercury levels are assumed as in New Zealand (73/1000), we obtain a figure of 0.073*4.8 million =345000 personyears per year.
In an Iraqi study, cited by USEPA, severe neurogical effects is observed first at hair concentrations above 10 - 50 mg/kg. The effect corresponding to DALY clessification of mild mental retardations is thereore estimated to 1000000 personyears per year.</t>
        </r>
      </text>
    </comment>
    <comment ref="F52" authorId="0" shapeId="0" xr:uid="{00000000-0006-0000-0600-000034000000}">
      <text>
        <r>
          <rPr>
            <sz val="9"/>
            <color indexed="81"/>
            <rFont val="Tahoma"/>
            <family val="2"/>
          </rPr>
          <t xml:space="preserve">Most of the literature on health risks from mercury aims at finding safe levels and setting standards. What actually happens at high exposures is unclear and in particular is it unclear how the effects recorded at the accidental exposure in Iraq coincides with the DALY classification, in this case "intellectual disability: mild, moderate, severe or profound". In the Iraqi study of the 1971 Iraqi methylmercury poisoning incident 8 out of 54 children with doses of mercury in hair above 10 ppm had mental symptoms, but significant impacts where evident first at those children having exposures at 53 ppm and above.
</t>
        </r>
      </text>
    </comment>
    <comment ref="G52" authorId="0" shapeId="0" xr:uid="{00000000-0006-0000-0600-000035000000}">
      <text>
        <r>
          <rPr>
            <sz val="9"/>
            <color indexed="81"/>
            <rFont val="Tahoma"/>
            <family val="2"/>
          </rPr>
          <t xml:space="preserve">The global anthropogenic emission of Hg to air is estimated to 1960 tonnes and 1000 tonnes to water in 2010 (UNEP, 2010). The natural emission is around 670 tonnes, and there is a substatial reemission of mercury from old depositions, approximately 4000 tonnes. Totally the emissions contributing to the population exposure via fish is thus 7630 ton.
</t>
        </r>
      </text>
    </comment>
    <comment ref="H52" authorId="0" shapeId="0" xr:uid="{00000000-0006-0000-0600-000036000000}">
      <text>
        <r>
          <rPr>
            <sz val="9"/>
            <color indexed="81"/>
            <rFont val="Tahoma"/>
            <family val="2"/>
          </rPr>
          <t xml:space="preserve">Even if mercury is distributed on a global scale, it is uncertain how much of a single emissions that is transfeerd to methylmercury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E1" authorId="0" shapeId="0" xr:uid="{00000000-0006-0000-0700-000001000000}">
      <text>
        <r>
          <rPr>
            <sz val="9"/>
            <color indexed="81"/>
            <rFont val="Tahoma"/>
            <family val="2"/>
          </rPr>
          <t xml:space="preserve">Either the total decrease (+) or decrease (-) of indicator units due to the emission (=substance flow group)
or
decrease or increase of indicator units from 1 kg of a reference substance. The latter is used to model the characterisation factors, when  equivalency factors are available. </t>
        </r>
      </text>
    </comment>
    <comment ref="F1" authorId="0" shapeId="0" xr:uid="{00000000-0006-0000-0700-000002000000}">
      <text>
        <r>
          <rPr>
            <sz val="9"/>
            <color indexed="81"/>
            <rFont val="Tahoma"/>
            <family val="2"/>
          </rPr>
          <t>If not specifically noted, the uncertaitny is expressed as a factor equal ti one standard deviation in a log normal distribution</t>
        </r>
      </text>
    </comment>
    <comment ref="H1" authorId="0" shapeId="0" xr:uid="{00000000-0006-0000-0700-000003000000}">
      <text>
        <r>
          <rPr>
            <sz val="9"/>
            <color indexed="81"/>
            <rFont val="Tahoma"/>
            <family val="2"/>
          </rPr>
          <t>If not specifically noted, the uncertaitny is expressed as a factor equal ti one standard deviation in a log normal distribution</t>
        </r>
      </text>
    </comment>
    <comment ref="D3" authorId="0" shapeId="0" xr:uid="{00000000-0006-0000-0700-000004000000}">
      <text>
        <r>
          <rPr>
            <sz val="9"/>
            <color indexed="81"/>
            <rFont val="Tahoma"/>
            <family val="2"/>
          </rPr>
          <t>CO2 impact pathways are from IPCC AR5</t>
        </r>
      </text>
    </comment>
    <comment ref="E3" authorId="0" shapeId="0" xr:uid="{00000000-0006-0000-0700-000005000000}">
      <text>
        <r>
          <rPr>
            <sz val="9"/>
            <color indexed="81"/>
            <rFont val="Tahoma"/>
            <family val="2"/>
          </rPr>
          <t>IPCC AR5 refers to several studies on extreme heat and concludes that it is very likely that health effects from these will increase. But there is no quantitative estimation of the extension. The dose-respons data used here are the same as in Steen, CPM report 1999:5, but it is updated with regional responses and a new value for the YOLL per impact occasion (1 month) estimated from the heat wave in France 2003, where the impact were reduced by 75% when compared to average monthly mortality. (Impact of Summer Heat on Urban Population Mortality in Europe during the 1990s: An Evaluation of Years of Life Lost Adjusted for Harvesting, Michela Baccini1, Tom Kosatsky, Annibale Biggeri, PLOS ONE, July 2013, Volume 8, Issue 7)</t>
        </r>
      </text>
    </comment>
    <comment ref="F3" authorId="0" shapeId="0" xr:uid="{00000000-0006-0000-0700-000006000000}">
      <text>
        <r>
          <rPr>
            <sz val="9"/>
            <color indexed="81"/>
            <rFont val="Tahoma"/>
            <family val="2"/>
          </rPr>
          <t>Most unceratiny is in the loss  in YOLL/case</t>
        </r>
      </text>
    </comment>
    <comment ref="G3" authorId="0" shapeId="0" xr:uid="{00000000-0006-0000-0700-000007000000}">
      <text>
        <r>
          <rPr>
            <sz val="9"/>
            <color indexed="81"/>
            <rFont val="Tahoma"/>
            <family val="2"/>
          </rPr>
          <t>IPCC AR5 WGI SPM, table SPM.3, Scenario RCP6 estimates mean CO2 emissions to 3885Gton accumulated and CO2 contribution to temperature raise 88% (figure 12.3 in the full report).</t>
        </r>
      </text>
    </comment>
    <comment ref="H3" authorId="0" shapeId="0" xr:uid="{00000000-0006-0000-0700-000008000000}">
      <text>
        <r>
          <rPr>
            <sz val="9"/>
            <color indexed="81"/>
            <rFont val="Tahoma"/>
            <family val="2"/>
          </rPr>
          <t>standard deviation in emission scenarios RCP 2.6 to RCP 8.5</t>
        </r>
      </text>
    </comment>
    <comment ref="E4" authorId="0" shapeId="0" xr:uid="{00000000-0006-0000-0700-000009000000}">
      <text>
        <r>
          <rPr>
            <sz val="9"/>
            <color indexed="81"/>
            <rFont val="Tahoma"/>
            <family val="2"/>
          </rPr>
          <t xml:space="preserve">Similar modelling as for heat stress but there is no studies on YOLL/Case to refer to. This increases uncertainty. </t>
        </r>
      </text>
    </comment>
    <comment ref="F4" authorId="0" shapeId="0" xr:uid="{00000000-0006-0000-0700-00000A000000}">
      <text>
        <r>
          <rPr>
            <sz val="9"/>
            <color indexed="81"/>
            <rFont val="Tahoma"/>
            <family val="2"/>
          </rPr>
          <t>Increased uncertainty compared to heat stress as no studies on YOLL/case have been found.</t>
        </r>
      </text>
    </comment>
    <comment ref="G4" authorId="0" shapeId="0" xr:uid="{00000000-0006-0000-0700-00000B000000}">
      <text>
        <r>
          <rPr>
            <sz val="9"/>
            <color indexed="81"/>
            <rFont val="Tahoma"/>
            <family val="2"/>
          </rPr>
          <t>IPCC AR5 WGI SPM, table SPM.3, Scenario RCP6 estimates mean CO2 emissions to 3885Gton accumulated and CO2 contribution to temperature raise 88% (figure 12.3 in the full report).</t>
        </r>
      </text>
    </comment>
    <comment ref="H4" authorId="0" shapeId="0" xr:uid="{00000000-0006-0000-0700-00000C000000}">
      <text>
        <r>
          <rPr>
            <sz val="9"/>
            <color indexed="81"/>
            <rFont val="Tahoma"/>
            <family val="2"/>
          </rPr>
          <t>standard deviation in emission scenarios RCP 2.6 to RCP 8.5</t>
        </r>
      </text>
    </comment>
    <comment ref="E5" authorId="0" shapeId="0" xr:uid="{00000000-0006-0000-0700-00000D000000}">
      <text>
        <r>
          <rPr>
            <sz val="9"/>
            <color indexed="81"/>
            <rFont val="Tahoma"/>
            <family val="2"/>
          </rPr>
          <t>842 millions are starving today http://www.wfp.org/hunger/stats, 3.1 million children under 5 is estimated to die from starvation http://en.wikipedia.org/wiki/Starvation. 
Assuming a 27 year reduction in life expectancy for adults, based on conditions in the porest countries (Salomon et al, Lancet, Vol 380 December 15/22/29, 2012) and the present mortality rate from malnutrition (684000 cases per year (Lozano et al, Lancet, Vol 380 December 15/22/29, 2012) we get a total life expectancy decreasee of 3.1*75+0.684*27 =251million personyears/year. Assuming 10% increase from climate change (as for crop production) we get 25.1 million YOLL/year</t>
        </r>
      </text>
    </comment>
    <comment ref="F5" authorId="0" shapeId="0" xr:uid="{00000000-0006-0000-0700-00000E000000}">
      <text>
        <r>
          <rPr>
            <sz val="9"/>
            <color indexed="81"/>
            <rFont val="Tahoma"/>
            <family val="2"/>
          </rPr>
          <t xml:space="preserve">Assuming the present state will be representative for the time until 2100, the uncertainty is about a factor of 3. The estimation is based on two modelling approaches giving a factor of two in difference and a large uncertainty in how to allocate multifactor causes of mortality to malnutrition.
</t>
        </r>
      </text>
    </comment>
    <comment ref="G5" authorId="0" shapeId="0" xr:uid="{00000000-0006-0000-0700-00000F000000}">
      <text>
        <r>
          <rPr>
            <sz val="9"/>
            <color indexed="81"/>
            <rFont val="Tahoma"/>
            <family val="2"/>
          </rPr>
          <t>IPCC AR5 WGI SPM, table SPM.3, Scenario RCP6 estimates mean CO2 emissions to 3885Gton accumulated and CO2 contribution to temperature raise 88% (figure 12.3 in the full report).</t>
        </r>
      </text>
    </comment>
    <comment ref="H5" authorId="0" shapeId="0" xr:uid="{00000000-0006-0000-0700-000010000000}">
      <text>
        <r>
          <rPr>
            <sz val="9"/>
            <color indexed="81"/>
            <rFont val="Tahoma"/>
            <family val="2"/>
          </rPr>
          <t>standard deviation in emission scenarios RCP 2.6 to RCP 8.5</t>
        </r>
      </text>
    </comment>
    <comment ref="E6" authorId="0" shapeId="0" xr:uid="{00000000-0006-0000-0700-000011000000}">
      <text>
        <r>
          <rPr>
            <sz val="9"/>
            <color indexed="81"/>
            <rFont val="Tahoma"/>
            <family val="2"/>
          </rPr>
          <t>IPCC AR5 WGII Chapter 11.4.2.2 quoting Dasgupta et al. (2009)</t>
        </r>
      </text>
    </comment>
    <comment ref="G6" authorId="0" shapeId="0" xr:uid="{00000000-0006-0000-0700-000012000000}">
      <text>
        <r>
          <rPr>
            <sz val="9"/>
            <color indexed="81"/>
            <rFont val="Tahoma"/>
            <family val="2"/>
          </rPr>
          <t>IPCC AR5 WGI SPM, table SPM.3, Scenario RCP6 estimates mean CO2 emissions to 3885Gton accumulated and CO2 contribution to temperature raise 88% (figure 12.3 in the full report).</t>
        </r>
      </text>
    </comment>
    <comment ref="H6" authorId="0" shapeId="0" xr:uid="{00000000-0006-0000-0700-000013000000}">
      <text>
        <r>
          <rPr>
            <sz val="9"/>
            <color indexed="81"/>
            <rFont val="Tahoma"/>
            <family val="2"/>
          </rPr>
          <t>standard deviation in emission scenarios RCP 2.6 to RCP 8.5</t>
        </r>
      </text>
    </comment>
    <comment ref="E7" authorId="0" shapeId="0" xr:uid="{00000000-0006-0000-0700-000014000000}">
      <text>
        <r>
          <rPr>
            <sz val="9"/>
            <color indexed="81"/>
            <rFont val="Tahoma"/>
            <family val="2"/>
          </rPr>
          <t>Kolstad and Johansson (2011) projected an increase of 8-11% in the risk of diarrhea in the tropics and subtropics in
2039 due to climate change (from AR5 WGII Ch11). 2010 1,4 million persons died in diarrhoeal diseases. Lozano et al The Lancet Vol 380 December 15/22/29, 2012.</t>
        </r>
      </text>
    </comment>
    <comment ref="G7" authorId="0" shapeId="0" xr:uid="{00000000-0006-0000-0700-000015000000}">
      <text>
        <r>
          <rPr>
            <sz val="9"/>
            <color indexed="81"/>
            <rFont val="Tahoma"/>
            <family val="2"/>
          </rPr>
          <t>IPCC AR5 WGI SPM, table SPM.3, Scenario RCP6 estimates mean CO2 emissions to 3885Gton accumulated and CO2 contribution to temperature raise 88% (figure 12.3 in the full report).</t>
        </r>
      </text>
    </comment>
    <comment ref="H7" authorId="0" shapeId="0" xr:uid="{00000000-0006-0000-0700-000016000000}">
      <text>
        <r>
          <rPr>
            <sz val="9"/>
            <color indexed="81"/>
            <rFont val="Tahoma"/>
            <family val="2"/>
          </rPr>
          <t>standard deviation in emission scenarios RCP 2.6 to RCP 8.5</t>
        </r>
      </text>
    </comment>
    <comment ref="G8" authorId="0" shapeId="0" xr:uid="{00000000-0006-0000-0700-000017000000}">
      <text>
        <r>
          <rPr>
            <sz val="9"/>
            <color indexed="81"/>
            <rFont val="Tahoma"/>
            <family val="2"/>
          </rPr>
          <t>IPCC AR5 WGI SPM, table SPM.3, Scenario RCP6 estimates mean CO2 emissions to 3885Gton accumulated and CO2 contribution to temperature raise 88% (figure 12.3 in the full report).</t>
        </r>
      </text>
    </comment>
    <comment ref="H8" authorId="0" shapeId="0" xr:uid="{00000000-0006-0000-0700-000018000000}">
      <text>
        <r>
          <rPr>
            <sz val="9"/>
            <color indexed="81"/>
            <rFont val="Tahoma"/>
            <family val="2"/>
          </rPr>
          <t>standard deviation in emission scenarios RCP 2.6 to RCP 8.5</t>
        </r>
      </text>
    </comment>
    <comment ref="E9" authorId="0" shapeId="0" xr:uid="{00000000-0006-0000-0700-000019000000}">
      <text>
        <r>
          <rPr>
            <sz val="9"/>
            <color indexed="81"/>
            <rFont val="Tahoma"/>
            <family val="2"/>
          </rPr>
          <t xml:space="preserve">25 million under-nourished children under 5 the year 2050 according to WGII AR5 chapter 11, table 11-2.This is an increase with 22%. Later studies have indicated 10% increase. Children under 5 is about 10% of the population in developing countries. It is assumed that the rest of the family also is starving, i.e. total extention of malnutrition is 120 million per year. The present (2010) YLD is 49,9 million according to Vos et al, Lancet Vol 380 December 15/22/29, 2012. </t>
        </r>
      </text>
    </comment>
    <comment ref="F9" authorId="0" shapeId="0" xr:uid="{00000000-0006-0000-0700-00001A000000}">
      <text>
        <r>
          <rPr>
            <sz val="9"/>
            <color indexed="81"/>
            <rFont val="Tahoma"/>
            <family val="2"/>
          </rPr>
          <t xml:space="preserve">IPCC AR5 WGII have reported the increase in undernutrition to 22% and 10%. The YLD is today half of the estimation for 2050. </t>
        </r>
      </text>
    </comment>
    <comment ref="G9" authorId="0" shapeId="0" xr:uid="{00000000-0006-0000-0700-00001B000000}">
      <text>
        <r>
          <rPr>
            <sz val="9"/>
            <color indexed="81"/>
            <rFont val="Tahoma"/>
            <family val="2"/>
          </rPr>
          <t>IPCC AR5 WGI SPM, table SPM.3, Scenario RCP6 estimates mean CO2 emissions to 3885Gton accumulated and CO2 contribution to temperature raise 88% (figure 12.3 in the full report).</t>
        </r>
      </text>
    </comment>
    <comment ref="H9" authorId="0" shapeId="0" xr:uid="{00000000-0006-0000-0700-00001C000000}">
      <text>
        <r>
          <rPr>
            <sz val="9"/>
            <color indexed="81"/>
            <rFont val="Tahoma"/>
            <family val="2"/>
          </rPr>
          <t>standard deviation in emission scenarios RCP 2.6 to RCP 8.5</t>
        </r>
      </text>
    </comment>
    <comment ref="E10" authorId="0" shapeId="0" xr:uid="{00000000-0006-0000-0700-00001D000000}">
      <text>
        <r>
          <rPr>
            <sz val="9"/>
            <color indexed="81"/>
            <rFont val="Tahoma"/>
            <family val="2"/>
          </rPr>
          <t>AR5 WGII, Chapter 11.6.2.4 cites an estimation from Dunne et al of a 20% loss of productivity globally in RCP4.5 by 2100 compared to 1990 and 30% for RCP. From Dunne et al. figure 2 (Nature Climate Change, 3, 563-566, 2013) the decrease in productivity for the global labour force (performing physical labour) is estimated to 5% as an average for RCP6. The total workforce with a population of 9 billion is estimated to 6*0.65*0.3, where 6 is the population in ages 20-65 years, and 0.65 is the approximate present employment rate in OECD countries and 0.3 is the share of the work force performing physical labour (estimate from ILO database ILOSTAT and thehttp://www.oecd.org/els/emp/oecdlabourmarketoutcomes-employmentrates.htm )
Another estimation of the loss of productivity is 19%, made by   
Tord Kjellstrom, R Sari Kovats, Simon J. Lloyd, Tom Holt,
Richard S.J. Tol, The Direct Impact of Climate Change on Regional Labour
Productivity, ESRI working paper  260, October 2008 .</t>
        </r>
      </text>
    </comment>
    <comment ref="F10" authorId="0" shapeId="0" xr:uid="{00000000-0006-0000-0700-00001E000000}">
      <text>
        <r>
          <rPr>
            <sz val="9"/>
            <color indexed="81"/>
            <rFont val="Tahoma"/>
            <family val="2"/>
          </rPr>
          <t>There is an uncertainty in the estimation of the size of the physical workforce during the time until 2100, its work intensity distribution and to what extent this is included in the modelling made by Dunne et al.</t>
        </r>
      </text>
    </comment>
    <comment ref="G10" authorId="0" shapeId="0" xr:uid="{00000000-0006-0000-0700-00001F000000}">
      <text>
        <r>
          <rPr>
            <sz val="9"/>
            <color indexed="81"/>
            <rFont val="Tahoma"/>
            <family val="2"/>
          </rPr>
          <t>IPCC AR5 WGI SPM, table SPM.3, Scenario RCP6 estimates mean CO2 emissions to 3885Gton accumulated and CO2 contribution to temperature raise 88% (figure 12.3 in the full report).</t>
        </r>
      </text>
    </comment>
    <comment ref="H10" authorId="0" shapeId="0" xr:uid="{00000000-0006-0000-0700-000020000000}">
      <text>
        <r>
          <rPr>
            <sz val="9"/>
            <color indexed="81"/>
            <rFont val="Tahoma"/>
            <family val="2"/>
          </rPr>
          <t>standard deviation in emission scenarios RCP 2.6 to RCP 8.5</t>
        </r>
      </text>
    </comment>
    <comment ref="E11" authorId="0" shapeId="0" xr:uid="{00000000-0006-0000-0700-000021000000}">
      <text>
        <r>
          <rPr>
            <sz val="9"/>
            <color indexed="81"/>
            <rFont val="Tahoma"/>
            <family val="2"/>
          </rPr>
          <t>"In countries with endemic cholera, there appears to be a robust relationship between temperature and the disease (AR5, WGII, Ch 11.5.2 )."  "Kolstad and Johansson (2011) projected an increase of 8-11% in the risk of diarrhea in the tropics and subtropics in
2039 due to climate change, using the A1B scenario and 19 coupled atmosphere-ocean climate models from CMIP3. This study did not account for future changes in economic growth and social development" (AR5 WGII Ch 11.5.2.3). According to Vos et al. The Lancet, Vol 380 December 15/22/29, 2012 diarrhoeal deseases extended to 8 million personyears 2010.</t>
        </r>
      </text>
    </comment>
    <comment ref="F11" authorId="0" shapeId="0" xr:uid="{00000000-0006-0000-0700-000022000000}">
      <text>
        <r>
          <rPr>
            <sz val="9"/>
            <color indexed="81"/>
            <rFont val="Tahoma"/>
            <family val="2"/>
          </rPr>
          <t xml:space="preserve">Vos et al give a range in their estimation of YLD as 5.3 - 11.3 millions. There is also an uncertainty due to social development.
</t>
        </r>
      </text>
    </comment>
    <comment ref="G11" authorId="0" shapeId="0" xr:uid="{00000000-0006-0000-0700-000023000000}">
      <text>
        <r>
          <rPr>
            <sz val="9"/>
            <color indexed="81"/>
            <rFont val="Tahoma"/>
            <family val="2"/>
          </rPr>
          <t>IPCC AR5 WGI SPM, table SPM.3, Scenario RCP6 estimates mean CO2 emissions to 3885Gton accumulated and CO2 contribution to temperature raise 88% (figure 12.3 in the full report).</t>
        </r>
      </text>
    </comment>
    <comment ref="H11" authorId="0" shapeId="0" xr:uid="{00000000-0006-0000-0700-000024000000}">
      <text>
        <r>
          <rPr>
            <sz val="9"/>
            <color indexed="81"/>
            <rFont val="Tahoma"/>
            <family val="2"/>
          </rPr>
          <t>standard deviation in emission scenarios RCP 2.6 to RCP 8.5</t>
        </r>
      </text>
    </comment>
    <comment ref="D12" authorId="0" shapeId="0" xr:uid="{00000000-0006-0000-0700-000025000000}">
      <text>
        <r>
          <rPr>
            <sz val="9"/>
            <color indexed="81"/>
            <rFont val="Tahoma"/>
            <family val="2"/>
          </rPr>
          <t xml:space="preserve">temperature, draught, extreme temperature and precipitation, CO2 concentration
</t>
        </r>
      </text>
    </comment>
    <comment ref="E12" authorId="0" shapeId="0" xr:uid="{00000000-0006-0000-0700-000026000000}">
      <text>
        <r>
          <rPr>
            <sz val="9"/>
            <color indexed="81"/>
            <rFont val="Tahoma"/>
            <family val="2"/>
          </rPr>
          <t>Data from http://faostat.fao.org/site/339/default.aspx for total production of 2.9 billion tons and IPCC WGII AR5 Chapter 7 figure 7-7 for an average 5 % decline (1% per decade) until 2100. The world production is assumed to follow population growth.</t>
        </r>
      </text>
    </comment>
    <comment ref="F12" authorId="0" shapeId="0" xr:uid="{00000000-0006-0000-0700-000027000000}">
      <text>
        <r>
          <rPr>
            <sz val="9"/>
            <color indexed="81"/>
            <rFont val="Tahoma"/>
            <family val="2"/>
          </rPr>
          <t xml:space="preserve">AR5 WGII figure 7-7 gives an interval in predicted decrease of about a factor of 2.
</t>
        </r>
      </text>
    </comment>
    <comment ref="G12" authorId="0" shapeId="0" xr:uid="{00000000-0006-0000-0700-000028000000}">
      <text>
        <r>
          <rPr>
            <sz val="9"/>
            <color indexed="81"/>
            <rFont val="Tahoma"/>
            <family val="2"/>
          </rPr>
          <t>IPCC AR5 WGI SPM, table SPM.3, Scenario RCP6 estimates mean CO2 emissions to 3885Gton accumulated and CO2 contribution to temperature raise 88% (figure 12.3 in the full report).</t>
        </r>
      </text>
    </comment>
    <comment ref="H12" authorId="0" shapeId="0" xr:uid="{00000000-0006-0000-0700-000029000000}">
      <text>
        <r>
          <rPr>
            <sz val="9"/>
            <color indexed="81"/>
            <rFont val="Tahoma"/>
            <family val="2"/>
          </rPr>
          <t>standard deviation in emission scenarios RCP 2.6 to RCP 8.5</t>
        </r>
      </text>
    </comment>
    <comment ref="E13" authorId="0" shapeId="0" xr:uid="{00000000-0006-0000-0700-00002A000000}">
      <text>
        <r>
          <rPr>
            <sz val="9"/>
            <color indexed="81"/>
            <rFont val="Tahoma"/>
            <family val="2"/>
          </rPr>
          <t>Economy-wide Estimates of the Implications of Climate Change: Sea Level Rise FRANCESCO BOSELLO, ROBERTO ROSON
and RICHARD S. J. TOL
Environmental &amp; Resource Economics (2007) 37:549–571 estimates land loss to 1,25E5 km2. An anverage fertility of 5000kg/ha is assumed during 500 years</t>
        </r>
      </text>
    </comment>
    <comment ref="F13" authorId="0" shapeId="0" xr:uid="{00000000-0006-0000-0700-00002B000000}">
      <text>
        <r>
          <rPr>
            <sz val="9"/>
            <color indexed="81"/>
            <rFont val="Tahoma"/>
            <family val="2"/>
          </rPr>
          <t xml:space="preserve">Modelling made by Dasgupta 2009 indicate 30000 km2 to be affected in 84 developing countries. (AR5, WGII, Ch 11.4.2.2)
</t>
        </r>
      </text>
    </comment>
    <comment ref="G13" authorId="0" shapeId="0" xr:uid="{00000000-0006-0000-0700-00002C000000}">
      <text>
        <r>
          <rPr>
            <sz val="9"/>
            <color indexed="81"/>
            <rFont val="Tahoma"/>
            <family val="2"/>
          </rPr>
          <t>IPCC AR5 WGI SPM, table SPM.3, Scenario RCP6 estimates mean CO2 emissions to 3885Gton accumulated and CO2 contribution to temperature raise 88% (figure 12.3 in the full report).</t>
        </r>
      </text>
    </comment>
    <comment ref="H13" authorId="0" shapeId="0" xr:uid="{00000000-0006-0000-0700-00002D000000}">
      <text>
        <r>
          <rPr>
            <sz val="9"/>
            <color indexed="81"/>
            <rFont val="Tahoma"/>
            <family val="2"/>
          </rPr>
          <t>standard deviation in emission scenarios RCP 2.6 to RCP 8.5</t>
        </r>
      </text>
    </comment>
    <comment ref="G14" authorId="0" shapeId="0" xr:uid="{00000000-0006-0000-0700-00002E000000}">
      <text>
        <r>
          <rPr>
            <sz val="9"/>
            <color indexed="81"/>
            <rFont val="Tahoma"/>
            <family val="2"/>
          </rPr>
          <t>IPCC AR5 WGI SPM, table SPM.3, Scenario RCP6 estimates mean CO2 emissions to 3885Gton accumulated and CO2 contribution to temperature raise 88% (figure 12.3 in the full report).</t>
        </r>
      </text>
    </comment>
    <comment ref="H14" authorId="0" shapeId="0" xr:uid="{00000000-0006-0000-0700-00002F000000}">
      <text>
        <r>
          <rPr>
            <sz val="9"/>
            <color indexed="81"/>
            <rFont val="Tahoma"/>
            <family val="2"/>
          </rPr>
          <t>standard deviation in emission scenarios RCP 2.6 to RCP 8.5</t>
        </r>
      </text>
    </comment>
    <comment ref="E15" authorId="0" shapeId="0" xr:uid="{00000000-0006-0000-0700-000030000000}">
      <text>
        <r>
          <rPr>
            <sz val="9"/>
            <color indexed="81"/>
            <rFont val="Tahoma"/>
            <family val="2"/>
          </rPr>
          <t>Data from http://faostat.fao.org/site/339/default.aspx for total production of 0,99 billion tons of fruit and vegetables and assuming IPCC WGII AR5 Chapter 7 figure 7-7 for an average 5 % decline of crop being representative for fruit and vegetables (1% per decade) until 2100. The world production is assumed to follow population growth.</t>
        </r>
      </text>
    </comment>
    <comment ref="F15" authorId="0" shapeId="0" xr:uid="{00000000-0006-0000-0700-000031000000}">
      <text>
        <r>
          <rPr>
            <sz val="9"/>
            <color indexed="81"/>
            <rFont val="Tahoma"/>
            <family val="2"/>
          </rPr>
          <t xml:space="preserve">AR5 WGII figure 7-7 gives an interval in predicted decrease of about a factor of 2.
</t>
        </r>
      </text>
    </comment>
    <comment ref="G15" authorId="0" shapeId="0" xr:uid="{00000000-0006-0000-0700-000032000000}">
      <text>
        <r>
          <rPr>
            <sz val="9"/>
            <color indexed="81"/>
            <rFont val="Tahoma"/>
            <family val="2"/>
          </rPr>
          <t>IPCC AR5 WGI SPM, table SPM.3, Scenario RCP6 estimates mean CO2 emissions to 3885Gton accumulated and CO2 contribution to temperature raise 88% (figure 12.3 in the full report).</t>
        </r>
      </text>
    </comment>
    <comment ref="H15" authorId="0" shapeId="0" xr:uid="{00000000-0006-0000-0700-000033000000}">
      <text>
        <r>
          <rPr>
            <sz val="9"/>
            <color indexed="81"/>
            <rFont val="Tahoma"/>
            <family val="2"/>
          </rPr>
          <t>standard deviation in emission scenarios RCP 2.6 to RCP 8.5</t>
        </r>
      </text>
    </comment>
    <comment ref="E16" authorId="0" shapeId="0" xr:uid="{00000000-0006-0000-0700-000034000000}">
      <text>
        <r>
          <rPr>
            <sz val="9"/>
            <color indexed="81"/>
            <rFont val="Tahoma"/>
            <family val="2"/>
          </rPr>
          <t>Data from http://faostat.fao.org/site/339/default.aspx for total production of 0,39 billion tons of meat and assuming IPCC WGII AR5 Chapter 7.4.3 chapter  for an average 5 % decline of crop being representative for meat (1% per decade) until 2100. The world production is assumed to follow population growth.</t>
        </r>
      </text>
    </comment>
    <comment ref="F16" authorId="0" shapeId="0" xr:uid="{00000000-0006-0000-0700-000035000000}">
      <text>
        <r>
          <rPr>
            <sz val="9"/>
            <color indexed="81"/>
            <rFont val="Tahoma"/>
            <family val="2"/>
          </rPr>
          <t xml:space="preserve">AR5 WGII figure 7-7 gives an interval in predicted decrease of about a factor of 2.
</t>
        </r>
      </text>
    </comment>
    <comment ref="G16" authorId="0" shapeId="0" xr:uid="{00000000-0006-0000-0700-000036000000}">
      <text>
        <r>
          <rPr>
            <sz val="9"/>
            <color indexed="81"/>
            <rFont val="Tahoma"/>
            <family val="2"/>
          </rPr>
          <t>IPCC AR5 WGI SPM, table SPM.3, Scenario RCP6 estimates mean CO2 emissions to 3885Gton accumulated and CO2 contribution to temperature raise 88% (figure 12.3 in the full report).</t>
        </r>
      </text>
    </comment>
    <comment ref="H16" authorId="0" shapeId="0" xr:uid="{00000000-0006-0000-0700-000037000000}">
      <text>
        <r>
          <rPr>
            <sz val="9"/>
            <color indexed="81"/>
            <rFont val="Tahoma"/>
            <family val="2"/>
          </rPr>
          <t>standard deviation in emission scenarios RCP 2.6 to RCP 8.5</t>
        </r>
      </text>
    </comment>
    <comment ref="E17" authorId="0" shapeId="0" xr:uid="{00000000-0006-0000-0700-000038000000}">
      <text>
        <r>
          <rPr>
            <sz val="9"/>
            <color indexed="81"/>
            <rFont val="Tahoma"/>
            <family val="2"/>
          </rPr>
          <t>Forests cover about 4 billion hectars of land. An average production capacity is estimated to 3000 kg of dry wood/hectar and the average impact from climate change and increase of plus or minus a few % globally.Kramer et al indicates a growth of about 5% for boreal forests, while temperate and tropical forests may even be negatively influenced. AR5 WGII, chaper 4 reports on very different results for different areas and time periods in all three forest types (Boreal, temperate and tropica). A 2% change would give a chage of 240 billion kg/year in production. We assume an average of 0 and a linea normal distribution for the uncertainty with a standard deviation of 2.</t>
        </r>
      </text>
    </comment>
    <comment ref="F17" authorId="0" shapeId="0" xr:uid="{00000000-0006-0000-0700-000039000000}">
      <text>
        <r>
          <rPr>
            <sz val="9"/>
            <color indexed="81"/>
            <rFont val="Tahoma"/>
            <family val="2"/>
          </rPr>
          <t>A linear normal distribution is  assumed for the uncertainty</t>
        </r>
      </text>
    </comment>
    <comment ref="G17" authorId="0" shapeId="0" xr:uid="{00000000-0006-0000-0700-00003A000000}">
      <text>
        <r>
          <rPr>
            <sz val="9"/>
            <color indexed="81"/>
            <rFont val="Tahoma"/>
            <family val="2"/>
          </rPr>
          <t>IPCC AR5 WGI SPM, table SPM.3, Scenario RCP6 estimates mean CO2 emissions to 3885Gton accumulated and CO2 contribution to temperature raise 88% (figure 12.3 in the full report).</t>
        </r>
      </text>
    </comment>
    <comment ref="H17" authorId="0" shapeId="0" xr:uid="{00000000-0006-0000-0700-00003B000000}">
      <text>
        <r>
          <rPr>
            <sz val="9"/>
            <color indexed="81"/>
            <rFont val="Tahoma"/>
            <family val="2"/>
          </rPr>
          <t>standard deviation in emission scenarios RCP 2.6 to RCP 8.5</t>
        </r>
      </text>
    </comment>
    <comment ref="E18" authorId="0" shapeId="0" xr:uid="{00000000-0006-0000-0700-00003C000000}">
      <text>
        <r>
          <rPr>
            <sz val="9"/>
            <color indexed="81"/>
            <rFont val="Tahoma"/>
            <family val="2"/>
          </rPr>
          <t>AR5 WGII Chapter 3, 4.4:"Each degree of global warming (up to 2.7°C above pre-industrial levels; Schewe et al., 2013) is projected to decrease renewable water resources by at least 20% for an additional 7% of the world population." For RCP 6.0 this means about 1oC as an average from 2012- to 2100, 0.07*9billion persons living with water scarcity is affected. The average water withdrawal today is aroung 400-700 m3/person and year in countries at risk like Mexico, India and China. The decrease availablity of water is therefore estimated to around, 0.07*9billion persons*500m3/person*0.2 =6.3E12 kg/year. Half of this is assumed to have drinking water quality.</t>
        </r>
      </text>
    </comment>
    <comment ref="G18" authorId="0" shapeId="0" xr:uid="{00000000-0006-0000-0700-00003D000000}">
      <text>
        <r>
          <rPr>
            <sz val="9"/>
            <color indexed="81"/>
            <rFont val="Tahoma"/>
            <family val="2"/>
          </rPr>
          <t>IPCC AR5 WGI SPM, table SPM.3, Scenario RCP6 estimates mean CO2 emissions to 3885Gton accumulated and CO2 contribution to temperature raise 88% (figure 12.3 in the full report).</t>
        </r>
      </text>
    </comment>
    <comment ref="H18" authorId="0" shapeId="0" xr:uid="{00000000-0006-0000-0700-00003E000000}">
      <text>
        <r>
          <rPr>
            <sz val="9"/>
            <color indexed="81"/>
            <rFont val="Tahoma"/>
            <family val="2"/>
          </rPr>
          <t>standard deviation in emission scenarios RCP 2.6 to RCP 8.5</t>
        </r>
      </text>
    </comment>
    <comment ref="G19" authorId="0" shapeId="0" xr:uid="{00000000-0006-0000-0700-00003F000000}">
      <text>
        <r>
          <rPr>
            <sz val="9"/>
            <color indexed="81"/>
            <rFont val="Tahoma"/>
            <family val="2"/>
          </rPr>
          <t>IPCC AR5 WGI SPM, table SPM.3, Scenario RCP6 estimates mean CO2 emissions to 3885Gton accumulated and CO2 contribution to temperature raise 88% (figure 12.3 in the full report).</t>
        </r>
      </text>
    </comment>
    <comment ref="H19" authorId="0" shapeId="0" xr:uid="{00000000-0006-0000-0700-000040000000}">
      <text>
        <r>
          <rPr>
            <sz val="9"/>
            <color indexed="81"/>
            <rFont val="Tahoma"/>
            <family val="2"/>
          </rPr>
          <t>standard deviation in emission scenarios RCP 2.6 to RCP 8.5</t>
        </r>
      </text>
    </comment>
    <comment ref="E20" authorId="0" shapeId="0" xr:uid="{00000000-0006-0000-0700-000041000000}">
      <text>
        <r>
          <rPr>
            <sz val="9"/>
            <color indexed="81"/>
            <rFont val="Tahoma"/>
            <family val="2"/>
          </rPr>
          <t xml:space="preserve">1000 TWh increased use of energy for air conditioning (AR5, WGII Ch 10.2) Decreased use of energy in cold and temperate regions is not included as access to energy is not at risk there. It is assumed that the increased energy use has a duration of one month, corresponding to an iincreased effect of 1.4 billion kW </t>
        </r>
      </text>
    </comment>
    <comment ref="F20" authorId="0" shapeId="0" xr:uid="{00000000-0006-0000-0700-000042000000}">
      <text>
        <r>
          <rPr>
            <sz val="9"/>
            <color indexed="81"/>
            <rFont val="Tahoma"/>
            <family val="2"/>
          </rPr>
          <t>The extension value is highly dependent on technical development in regions at risk for extreme heat.</t>
        </r>
      </text>
    </comment>
    <comment ref="G20" authorId="0" shapeId="0" xr:uid="{00000000-0006-0000-0700-000043000000}">
      <text>
        <r>
          <rPr>
            <sz val="9"/>
            <color indexed="81"/>
            <rFont val="Tahoma"/>
            <family val="2"/>
          </rPr>
          <t>IPCC AR5 WGI SPM, table SPM.3, Scenario RCP6 estimates mean CO2 emissions to 3885Gton accumulated and CO2 contribution to temperature raise 88% (figure 12.3 in the full report).</t>
        </r>
      </text>
    </comment>
    <comment ref="H20" authorId="0" shapeId="0" xr:uid="{00000000-0006-0000-0700-000044000000}">
      <text>
        <r>
          <rPr>
            <sz val="9"/>
            <color indexed="81"/>
            <rFont val="Tahoma"/>
            <family val="2"/>
          </rPr>
          <t>standard deviation in emission scenarios RCP 2.6 to RCP 8.5</t>
        </r>
      </text>
    </comment>
    <comment ref="E21" authorId="0" shapeId="0" xr:uid="{00000000-0006-0000-0700-000045000000}">
      <text>
        <r>
          <rPr>
            <sz val="9"/>
            <color indexed="81"/>
            <rFont val="Tahoma"/>
            <family val="2"/>
          </rPr>
          <t>Global insured weather-related losses in the period 1980-2008 increased by US$2008 1.4bn per year on average (Barthel and Neumayer, 2012). (AR5 WGII Ch 10.7.3) If all is attributed to climate change which was about + 0.7 oC as land surface temperature  in that period, this indicates that there will be in the order of 2 bn € as an average until 2100. If all is housing, this corresponds to 1 million m2.</t>
        </r>
      </text>
    </comment>
    <comment ref="F21" authorId="0" shapeId="0" xr:uid="{00000000-0006-0000-0700-000046000000}">
      <text>
        <r>
          <rPr>
            <sz val="9"/>
            <color indexed="81"/>
            <rFont val="Tahoma"/>
            <family val="2"/>
          </rPr>
          <t xml:space="preserve">Future adaption and mitigation may decrease the impact. </t>
        </r>
      </text>
    </comment>
    <comment ref="G21" authorId="0" shapeId="0" xr:uid="{00000000-0006-0000-0700-000047000000}">
      <text>
        <r>
          <rPr>
            <sz val="9"/>
            <color indexed="81"/>
            <rFont val="Tahoma"/>
            <family val="2"/>
          </rPr>
          <t>IPCC AR5 WGI SPM, table SPM.3, Scenario RCP6 estimates mean CO2 emissions to 3885Gton accumulated and CO2 contribution to temperature raise 88% (figure 12.3 in the full report).</t>
        </r>
      </text>
    </comment>
    <comment ref="H21" authorId="0" shapeId="0" xr:uid="{00000000-0006-0000-0700-000048000000}">
      <text>
        <r>
          <rPr>
            <sz val="9"/>
            <color indexed="81"/>
            <rFont val="Tahoma"/>
            <family val="2"/>
          </rPr>
          <t>standard deviation in emission scenarios RCP 2.6 to RCP 8.5</t>
        </r>
      </text>
    </comment>
    <comment ref="E22" authorId="0" shapeId="0" xr:uid="{00000000-0006-0000-0700-000049000000}">
      <text>
        <r>
          <rPr>
            <sz val="9"/>
            <color indexed="81"/>
            <rFont val="Tahoma"/>
            <family val="2"/>
          </rPr>
          <t xml:space="preserve">"Nicholls et al. (2011) estimate that without protection 72 to 187 million people would be displaced due to land loss due to submergence and erosion by 2100 assuming GMSL
increases of 0.5 to 2.0 m by 2100. Upgrading coastal defenses and nourishing beaches would reduce these impacts roughly by three orders of magnitude. Hinkel et al. (2013) estimate the number of people flooded annually in 2100 to reach 170 to 260 million per year in 2100 without upgrading protection and two orders of magnitude smaller with dike (levee) upgrades, if GMSL rises 0.6 to 1.3 m by 2100." From AR5 WGII, Ch 5.4.3.1. Here, the best estimate is set to 1 bn separations during the 21st centrury.
</t>
        </r>
      </text>
    </comment>
    <comment ref="F22" authorId="0" shapeId="0" xr:uid="{00000000-0006-0000-0700-00004A000000}">
      <text>
        <r>
          <rPr>
            <sz val="9"/>
            <color indexed="81"/>
            <rFont val="Tahoma"/>
            <family val="2"/>
          </rPr>
          <t>The best estimate is highly uncertain and represents a likely magnitude rather than a figure.</t>
        </r>
      </text>
    </comment>
    <comment ref="G22" authorId="0" shapeId="0" xr:uid="{00000000-0006-0000-0700-00004B000000}">
      <text>
        <r>
          <rPr>
            <sz val="9"/>
            <color indexed="81"/>
            <rFont val="Tahoma"/>
            <family val="2"/>
          </rPr>
          <t>IPCC AR5 WGI SPM, table SPM.3, Scenario RCP6 estimates mean CO2 emissions to 3885Gton accumulated and CO2 contribution to temperature raise 88% (figure 12.3 in the full report).</t>
        </r>
      </text>
    </comment>
    <comment ref="H22" authorId="0" shapeId="0" xr:uid="{00000000-0006-0000-0700-00004C000000}">
      <text>
        <r>
          <rPr>
            <sz val="9"/>
            <color indexed="81"/>
            <rFont val="Tahoma"/>
            <family val="2"/>
          </rPr>
          <t>standard deviation in emission scenarios RCP 2.6 to RCP 8.5</t>
        </r>
      </text>
    </comment>
    <comment ref="E23" authorId="0" shapeId="0" xr:uid="{00000000-0006-0000-0700-00004D000000}">
      <text>
        <r>
          <rPr>
            <sz val="9"/>
            <color indexed="81"/>
            <rFont val="Tahoma"/>
            <family val="2"/>
          </rPr>
          <t>70% of the present population of birds will be affected of changing habitat (AR5 WGII).
Future conservation measures need to be increased and climate change alone is aaumed tol require this magnitude of means.</t>
        </r>
      </text>
    </comment>
    <comment ref="F23" authorId="0" shapeId="0" xr:uid="{00000000-0006-0000-0700-00004E000000}">
      <text>
        <r>
          <rPr>
            <sz val="9"/>
            <color indexed="81"/>
            <rFont val="Tahoma"/>
            <family val="2"/>
          </rPr>
          <t>The best estimate is highly uncertain and represents a likely magnitude rather than a figure.</t>
        </r>
      </text>
    </comment>
    <comment ref="G23" authorId="0" shapeId="0" xr:uid="{00000000-0006-0000-0700-00004F000000}">
      <text>
        <r>
          <rPr>
            <sz val="9"/>
            <color indexed="81"/>
            <rFont val="Tahoma"/>
            <family val="2"/>
          </rPr>
          <t>IPCC AR5 WGI SPM, table SPM.3, Scenario RCP6 estimates mean CO2 emissions to 3885Gton accumulated and CO2 contribution to temperature raise 88% (figure 12.3 in the full report).</t>
        </r>
      </text>
    </comment>
    <comment ref="H23" authorId="0" shapeId="0" xr:uid="{00000000-0006-0000-0700-000050000000}">
      <text>
        <r>
          <rPr>
            <sz val="9"/>
            <color indexed="81"/>
            <rFont val="Tahoma"/>
            <family val="2"/>
          </rPr>
          <t>standard deviation in emission scenarios RCP 2.6 to RCP 8.5</t>
        </r>
      </text>
    </comment>
    <comment ref="G26" authorId="0" shapeId="0" xr:uid="{00000000-0006-0000-0700-000051000000}">
      <text>
        <r>
          <rPr>
            <sz val="9"/>
            <color indexed="81"/>
            <rFont val="Tahoma"/>
            <family val="2"/>
          </rPr>
          <t>Table 8.A.4 AR5, WGI gives a GWP100 of 5,3 +/- 2,3</t>
        </r>
      </text>
    </comment>
    <comment ref="H26" authorId="0" shapeId="0" xr:uid="{00000000-0006-0000-0700-000052000000}">
      <text>
        <r>
          <rPr>
            <sz val="9"/>
            <color indexed="81"/>
            <rFont val="Tahoma"/>
            <family val="2"/>
          </rPr>
          <t>Table 8.A.4 AR5, WGI gives a GWP100 of 5.3+/-2.3 as 95% confidence interval.</t>
        </r>
      </text>
    </comment>
    <comment ref="G27" authorId="0" shapeId="0" xr:uid="{00000000-0006-0000-0700-000053000000}">
      <text>
        <r>
          <rPr>
            <sz val="9"/>
            <color indexed="81"/>
            <rFont val="Tahoma"/>
            <family val="2"/>
          </rPr>
          <t>Average of POCP AOT40 and AOT 60  for Nox is 0.62 and for CO 0.021 according to
Eric Labouze, Cécile Honoré, Lamya Moulay, Bénédicte Couffignal and Matthias Beekmann, Photochemical Ozone Creation Potentials, Int J LCA 9 (3) 187- 195 (2004)</t>
        </r>
      </text>
    </comment>
    <comment ref="H27" authorId="0" shapeId="0" xr:uid="{00000000-0006-0000-0700-000054000000}">
      <text>
        <r>
          <rPr>
            <sz val="9"/>
            <color indexed="81"/>
            <rFont val="Tahoma"/>
            <family val="2"/>
          </rPr>
          <t>The contribution to the impact on YOLL varies considerably between regions</t>
        </r>
      </text>
    </comment>
    <comment ref="E28" authorId="0" shapeId="0" xr:uid="{00000000-0006-0000-0700-000055000000}">
      <text>
        <r>
          <rPr>
            <sz val="9"/>
            <color indexed="81"/>
            <rFont val="Tahoma"/>
            <family val="2"/>
          </rPr>
          <t>Most of the impacts assessments of CO was made in USA 1960-1990. A significant improvement was achived in this period. According to Flachsbart, Ott, and Switzer 2003, there was a decrease corresponding to a factor of 5 during that period. Air pollution statistics from the EPA's Air Quality Trends information states that carbon monoxide pollution in the United States went down by 51% from 2000 to 2010. EU statistics also show low CO concentrations. The figures from Steen 1999 (EPS v 2000d) is therefore used as a conservative figure.</t>
        </r>
      </text>
    </comment>
    <comment ref="F28" authorId="0" shapeId="0" xr:uid="{00000000-0006-0000-0700-000056000000}">
      <text>
        <r>
          <rPr>
            <sz val="9"/>
            <color indexed="81"/>
            <rFont val="Tahoma"/>
            <family val="2"/>
          </rPr>
          <t xml:space="preserve">Very little is known about population exposure in developing countries. 
</t>
        </r>
      </text>
    </comment>
    <comment ref="G28" authorId="0" shapeId="0" xr:uid="{00000000-0006-0000-0700-000057000000}">
      <text>
        <r>
          <rPr>
            <sz val="9"/>
            <color indexed="81"/>
            <rFont val="Tahoma"/>
            <family val="2"/>
          </rPr>
          <t>The annual global emissions of carbon monoxide into the atmosphere have been estimated to be as
high as 2600 million tonnes, of which about 60% are from human activities and about 40% from
natural processes (Air quality criteria for carbon monoxide. Washington, DC. US Environmental Protection
Agency, Office of Research and Development, 1991 (publication no. EPA-600/B-90/045F)).</t>
        </r>
      </text>
    </comment>
    <comment ref="H28" authorId="0" shapeId="0" xr:uid="{00000000-0006-0000-0700-000058000000}">
      <text>
        <r>
          <rPr>
            <sz val="9"/>
            <color indexed="81"/>
            <rFont val="Tahoma"/>
            <family val="2"/>
          </rPr>
          <t xml:space="preserve">An emission of CO contributes very differently to health impacts depending on local conditions. To some degree, these differences are decreased as most emissions are from transports and occur at many places.
</t>
        </r>
      </text>
    </comment>
    <comment ref="G29" authorId="0" shapeId="0" xr:uid="{00000000-0006-0000-0700-000059000000}">
      <text>
        <r>
          <rPr>
            <sz val="9"/>
            <color indexed="81"/>
            <rFont val="Tahoma"/>
            <family val="2"/>
          </rPr>
          <t>Table 8.A.4 AR5, WGI gives a GWP100 of 5,3 +/- 2,3</t>
        </r>
      </text>
    </comment>
    <comment ref="G30" authorId="0" shapeId="0" xr:uid="{00000000-0006-0000-0700-00005A000000}">
      <text>
        <r>
          <rPr>
            <sz val="9"/>
            <color indexed="81"/>
            <rFont val="Tahoma"/>
            <family val="2"/>
          </rPr>
          <t>Table 8.A.4 AR5, WGI gives a GWP100 of 5,3 +/- 2,3</t>
        </r>
      </text>
    </comment>
    <comment ref="H30" authorId="0" shapeId="0" xr:uid="{00000000-0006-0000-0700-00005B000000}">
      <text>
        <r>
          <rPr>
            <sz val="9"/>
            <color indexed="81"/>
            <rFont val="Tahoma"/>
            <family val="2"/>
          </rPr>
          <t>Table 8.A.4 AR5, WGI gives a GWP100 of 5.3+/-2.3 as 95% confidence interval.</t>
        </r>
      </text>
    </comment>
    <comment ref="G31" authorId="0" shapeId="0" xr:uid="{00000000-0006-0000-0700-00005C000000}">
      <text>
        <r>
          <rPr>
            <sz val="9"/>
            <color indexed="81"/>
            <rFont val="Tahoma"/>
            <family val="2"/>
          </rPr>
          <t>Table 8.A.4 AR5, WGI gives a GWP100 of 5,3 +/- 2,3</t>
        </r>
      </text>
    </comment>
    <comment ref="H31" authorId="0" shapeId="0" xr:uid="{00000000-0006-0000-0700-00005D000000}">
      <text>
        <r>
          <rPr>
            <sz val="9"/>
            <color indexed="81"/>
            <rFont val="Tahoma"/>
            <family val="2"/>
          </rPr>
          <t>Table 8.A.4 AR5, WGI gives a GWP100 of 5.3+/-2.3 as 95% confidence interval.</t>
        </r>
      </text>
    </comment>
    <comment ref="G32" authorId="0" shapeId="0" xr:uid="{00000000-0006-0000-0700-00005E000000}">
      <text>
        <r>
          <rPr>
            <sz val="9"/>
            <color indexed="81"/>
            <rFont val="Tahoma"/>
            <family val="2"/>
          </rPr>
          <t>Table 8.A.4 AR5, WGI gives a GWP100 of 5,3 +/- 2,3</t>
        </r>
      </text>
    </comment>
    <comment ref="H32" authorId="0" shapeId="0" xr:uid="{00000000-0006-0000-0700-00005F000000}">
      <text>
        <r>
          <rPr>
            <sz val="9"/>
            <color indexed="81"/>
            <rFont val="Tahoma"/>
            <family val="2"/>
          </rPr>
          <t>Table 8.A.4 AR5, WGI gives a GWP100 of 5.3+/-2.3 as 95% confidence interval.</t>
        </r>
      </text>
    </comment>
    <comment ref="G33" authorId="0" shapeId="0" xr:uid="{00000000-0006-0000-0700-000060000000}">
      <text>
        <r>
          <rPr>
            <sz val="9"/>
            <color indexed="81"/>
            <rFont val="Tahoma"/>
            <family val="2"/>
          </rPr>
          <t>Table 8.A.4 AR5, WGI gives a GWP100 of 5,3 +/- 2,3</t>
        </r>
      </text>
    </comment>
    <comment ref="H33" authorId="0" shapeId="0" xr:uid="{00000000-0006-0000-0700-000061000000}">
      <text>
        <r>
          <rPr>
            <sz val="9"/>
            <color indexed="81"/>
            <rFont val="Tahoma"/>
            <family val="2"/>
          </rPr>
          <t>Table 8.A.4 AR5, WGI gives a GWP100 of 5.3+/-2.3 as 95% confidence interval.</t>
        </r>
      </text>
    </comment>
    <comment ref="G34" authorId="0" shapeId="0" xr:uid="{00000000-0006-0000-0700-000062000000}">
      <text>
        <r>
          <rPr>
            <sz val="9"/>
            <color indexed="81"/>
            <rFont val="Tahoma"/>
            <family val="2"/>
          </rPr>
          <t>Table 8.A.4 AR5, WGI gives a GWP100 of 5,3 +/- 2,3</t>
        </r>
      </text>
    </comment>
    <comment ref="H34" authorId="0" shapeId="0" xr:uid="{00000000-0006-0000-0700-000063000000}">
      <text>
        <r>
          <rPr>
            <sz val="9"/>
            <color indexed="81"/>
            <rFont val="Tahoma"/>
            <family val="2"/>
          </rPr>
          <t>Table 8.A.4 AR5, WGI gives a GWP100 of 5.3+/-2.3 as 95% confidence interval.</t>
        </r>
      </text>
    </comment>
    <comment ref="F35" authorId="0" shapeId="0" xr:uid="{00000000-0006-0000-0700-000064000000}">
      <text>
        <r>
          <rPr>
            <sz val="9"/>
            <color indexed="81"/>
            <rFont val="Tahoma"/>
            <family val="2"/>
          </rPr>
          <t>A linear normal distribution is  assumed for the uncertainty</t>
        </r>
      </text>
    </comment>
    <comment ref="G35" authorId="0" shapeId="0" xr:uid="{00000000-0006-0000-0700-000065000000}">
      <text>
        <r>
          <rPr>
            <sz val="9"/>
            <color indexed="81"/>
            <rFont val="Tahoma"/>
            <family val="2"/>
          </rPr>
          <t>Table 8.A.4 AR5, WGI gives a GWP100 of 5,3 +/- 2,3</t>
        </r>
      </text>
    </comment>
    <comment ref="H35" authorId="0" shapeId="0" xr:uid="{00000000-0006-0000-0700-000066000000}">
      <text>
        <r>
          <rPr>
            <sz val="9"/>
            <color indexed="81"/>
            <rFont val="Tahoma"/>
            <family val="2"/>
          </rPr>
          <t>Table 8.A.4 AR5, WGI gives a GWP100 of 5.3+/-2.3 as 95% confidence interval.</t>
        </r>
      </text>
    </comment>
    <comment ref="G36" authorId="0" shapeId="0" xr:uid="{00000000-0006-0000-0700-000067000000}">
      <text>
        <r>
          <rPr>
            <sz val="9"/>
            <color indexed="81"/>
            <rFont val="Tahoma"/>
            <family val="2"/>
          </rPr>
          <t>Table 8.A.4 AR5, WGI gives a GWP100 of 5,3 +/- 2,3</t>
        </r>
      </text>
    </comment>
    <comment ref="H36" authorId="0" shapeId="0" xr:uid="{00000000-0006-0000-0700-000068000000}">
      <text>
        <r>
          <rPr>
            <sz val="9"/>
            <color indexed="81"/>
            <rFont val="Tahoma"/>
            <family val="2"/>
          </rPr>
          <t>Table 8.A.4 AR5, WGI gives a GWP100 of 5.3+/-2.3 as 95% confidence interval.</t>
        </r>
      </text>
    </comment>
    <comment ref="G37" authorId="0" shapeId="0" xr:uid="{00000000-0006-0000-0700-000069000000}">
      <text>
        <r>
          <rPr>
            <sz val="9"/>
            <color indexed="81"/>
            <rFont val="Tahoma"/>
            <family val="2"/>
          </rPr>
          <t>Table 8.A.4 AR5, WGI gives a GWP100 of 5,3 +/- 2,3</t>
        </r>
      </text>
    </comment>
    <comment ref="H37" authorId="0" shapeId="0" xr:uid="{00000000-0006-0000-0700-00006A000000}">
      <text>
        <r>
          <rPr>
            <sz val="9"/>
            <color indexed="81"/>
            <rFont val="Tahoma"/>
            <family val="2"/>
          </rPr>
          <t>Table 8.A.4 AR5, WGI gives a GWP100 of 5.3+/-2.3 as 95% confidence interval.</t>
        </r>
      </text>
    </comment>
    <comment ref="G38" authorId="0" shapeId="0" xr:uid="{00000000-0006-0000-0700-00006B000000}">
      <text>
        <r>
          <rPr>
            <sz val="9"/>
            <color indexed="81"/>
            <rFont val="Tahoma"/>
            <family val="2"/>
          </rPr>
          <t>Table 8.A.4 AR5, WGI gives a GWP100 of 5,3 +/- 2,3</t>
        </r>
      </text>
    </comment>
    <comment ref="H38" authorId="0" shapeId="0" xr:uid="{00000000-0006-0000-0700-00006C000000}">
      <text>
        <r>
          <rPr>
            <sz val="9"/>
            <color indexed="81"/>
            <rFont val="Tahoma"/>
            <family val="2"/>
          </rPr>
          <t>Table 8.A.4 AR5, WGI gives a GWP100 of 5.3+/-2.3 as 95% confidence interval.</t>
        </r>
      </text>
    </comment>
    <comment ref="G39" authorId="0" shapeId="0" xr:uid="{00000000-0006-0000-0700-00006D000000}">
      <text>
        <r>
          <rPr>
            <sz val="9"/>
            <color indexed="81"/>
            <rFont val="Tahoma"/>
            <family val="2"/>
          </rPr>
          <t>Table 8.A.4 AR5, WGI gives a GWP100 of 5,3 +/- 2,3</t>
        </r>
      </text>
    </comment>
    <comment ref="H39" authorId="0" shapeId="0" xr:uid="{00000000-0006-0000-0700-00006E000000}">
      <text>
        <r>
          <rPr>
            <sz val="9"/>
            <color indexed="81"/>
            <rFont val="Tahoma"/>
            <family val="2"/>
          </rPr>
          <t>Table 8.A.4 AR5, WGI gives a GWP100 of 5.3+/-2.3 as 95% confidence interval.</t>
        </r>
      </text>
    </comment>
    <comment ref="G40" authorId="0" shapeId="0" xr:uid="{00000000-0006-0000-0700-00006F000000}">
      <text>
        <r>
          <rPr>
            <sz val="9"/>
            <color indexed="81"/>
            <rFont val="Tahoma"/>
            <family val="2"/>
          </rPr>
          <t>Table 8.A.4 AR5, WGI gives a GWP100 of 5,3 +/- 2,3</t>
        </r>
      </text>
    </comment>
    <comment ref="H40" authorId="0" shapeId="0" xr:uid="{00000000-0006-0000-0700-000070000000}">
      <text>
        <r>
          <rPr>
            <sz val="9"/>
            <color indexed="81"/>
            <rFont val="Tahoma"/>
            <family val="2"/>
          </rPr>
          <t>Table 8.A.4 AR5, WGI gives a GWP100 of 5.3+/-2.3 as 95% confidence interval.</t>
        </r>
      </text>
    </comment>
    <comment ref="G41" authorId="0" shapeId="0" xr:uid="{00000000-0006-0000-0700-000071000000}">
      <text>
        <r>
          <rPr>
            <sz val="9"/>
            <color indexed="81"/>
            <rFont val="Tahoma"/>
            <family val="2"/>
          </rPr>
          <t>Table 8.A.4 AR5, WGI gives a GWP100 of 5,3 +/- 2,3</t>
        </r>
      </text>
    </comment>
    <comment ref="H41" authorId="0" shapeId="0" xr:uid="{00000000-0006-0000-0700-000072000000}">
      <text>
        <r>
          <rPr>
            <sz val="9"/>
            <color indexed="81"/>
            <rFont val="Tahoma"/>
            <family val="2"/>
          </rPr>
          <t>Table 8.A.4 AR5, WGI gives a GWP100 of 5.3+/-2.3 as 95% confidence interval.</t>
        </r>
      </text>
    </comment>
    <comment ref="A44" authorId="0" shapeId="0" xr:uid="{00000000-0006-0000-0700-000073000000}">
      <text>
        <r>
          <rPr>
            <sz val="9"/>
            <color indexed="81"/>
            <rFont val="Tahoma"/>
            <family val="2"/>
          </rPr>
          <t xml:space="preserve">As NO2
</t>
        </r>
      </text>
    </comment>
    <comment ref="E44" authorId="0" shapeId="0" xr:uid="{00000000-0006-0000-0700-000074000000}">
      <text>
        <r>
          <rPr>
            <sz val="9"/>
            <color indexed="81"/>
            <rFont val="Tahoma"/>
            <family val="2"/>
          </rPr>
          <t>There is no indication of health effects of sulphate and nitrate particles in air (Inhal Toxicol. 2007 May;19(5):419-49. Evidence of health impacts of sulfate-and nitrate-containing particles in ambient air. Reiss R1, Anderson EL, Cross CE, Hidy G, Hoel D, McClellan R, Moolgavkar S.)
Only climate change impacts are included.</t>
        </r>
      </text>
    </comment>
    <comment ref="F44" authorId="0" shapeId="0" xr:uid="{00000000-0006-0000-0700-000075000000}">
      <text>
        <r>
          <rPr>
            <sz val="9"/>
            <color indexed="81"/>
            <rFont val="Tahoma"/>
            <family val="2"/>
          </rPr>
          <t xml:space="preserve">A similar uncertainty exists as for CO2, and added to that comes a larger uncertainty for GWP for particles
</t>
        </r>
      </text>
    </comment>
    <comment ref="G44" authorId="0" shapeId="0" xr:uid="{00000000-0006-0000-0700-000076000000}">
      <text>
        <r>
          <rPr>
            <sz val="9"/>
            <color indexed="81"/>
            <rFont val="Tahoma"/>
            <family val="2"/>
          </rPr>
          <t>When NO2 is oxidised to nitrate, mass increases with 26%. However all No2 is not converted to particles. The same conversion factor as for sulphate is assumed, i.e. 50%. This gives an equivalency factor of 0.63.</t>
        </r>
      </text>
    </comment>
    <comment ref="G45" authorId="0" shapeId="0" xr:uid="{00000000-0006-0000-0700-000077000000}">
      <text>
        <r>
          <rPr>
            <sz val="9"/>
            <color indexed="81"/>
            <rFont val="Tahoma"/>
            <family val="2"/>
          </rPr>
          <t xml:space="preserve">Estimation of GWP100 for NOx from shipping is made in AR5 WGII Table 8.SM.18, to values between -73 to -25 per kg N. Here a best estimate of -50 is used as global average for ground level emissions. The impact on Nox on radiative forcing is mainly from its decrease of CH4 ( –0.254 Wm2) and from increase of ozone (0.143 Wm2). The effect of nitrate is low (-0,04 Wm2) (Table 8.SM.6).
</t>
        </r>
      </text>
    </comment>
    <comment ref="E46" authorId="0" shapeId="0" xr:uid="{00000000-0006-0000-0700-000078000000}">
      <text>
        <r>
          <rPr>
            <sz val="9"/>
            <color indexed="81"/>
            <rFont val="Tahoma"/>
            <family val="2"/>
          </rPr>
          <t>Risk assessment s are available from USA estimating YOLL from ozone to 36000/year at a mean ozone concernation of 48 ppb (Neal Fann,∗ Amy D. Lamson, Susan C. Anenberg, Karen Wesson, David Risley, and Bryan J. Hubbell, Estimating the National Public Health Burden Associated with Exposure to Ambient PM2.5 and Ozone, 0272-4332/11/0100-0001$22.00/1 C   2011 Society for Risk Analysis, DOI: 10.1111/j.1539-6924.2011.01630.x)
Scaling up these estimates to a global level with an estimated similar  average concentration, 36000/314*7200 YOLLs per year in obtained totally from ozone.
The contribution from NOx to ground level ozone formation may be estimated by multiplying the emissions (AR5, WGI, Table 8.SM.19) of all ozone forming substances, mainly NOx (1.22E5 Gg/yr), CO (8.93E5 Gg/yr), NMVOC (1.6E5 Gg/yr) and methane (3.64E5 Gg/yr) with their respective POCP, i.e. 0.62, 0.021, 0.029 (data from Labouze et al, Int J LCA 9 (3) 2004) and 0.008 (data from Johanna Altenstedt and Karin Pleijel, IVL report B-1305 Göteborg, Sweden september 1998). The contribution to ground level ozone from NOx is the 52.7% and the YOLLS caused by NOx are 36000/314*7200*0,27.</t>
        </r>
      </text>
    </comment>
    <comment ref="G46" authorId="0" shapeId="0" xr:uid="{00000000-0006-0000-0700-000079000000}">
      <text>
        <r>
          <rPr>
            <sz val="9"/>
            <color indexed="81"/>
            <rFont val="Tahoma"/>
            <family val="2"/>
          </rPr>
          <t xml:space="preserve">Global emissions of NOx as N is 3.72E+04 Gg (Table 8.SM.19). </t>
        </r>
      </text>
    </comment>
    <comment ref="B48" authorId="0" shapeId="0" xr:uid="{00000000-0006-0000-0700-00007A000000}">
      <text>
        <r>
          <rPr>
            <sz val="9"/>
            <color indexed="81"/>
            <rFont val="Tahoma"/>
            <family val="2"/>
          </rPr>
          <t>asthma cases are used as a proxy for the acute decreased lung capacity at episodes of exposure to high particle concentration</t>
        </r>
      </text>
    </comment>
    <comment ref="E48" authorId="0" shapeId="0" xr:uid="{00000000-0006-0000-0700-00007B000000}">
      <text>
        <r>
          <rPr>
            <sz val="9"/>
            <color indexed="81"/>
            <rFont val="Tahoma"/>
            <family val="2"/>
          </rPr>
          <t>Nitrates contribute with 11% to the PM2.5 mass</t>
        </r>
      </text>
    </comment>
    <comment ref="F48" authorId="0" shapeId="0" xr:uid="{00000000-0006-0000-0700-00007C000000}">
      <text>
        <r>
          <rPr>
            <sz val="9"/>
            <color indexed="81"/>
            <rFont val="Tahoma"/>
            <family val="2"/>
          </rPr>
          <t>There is a large uncertainty about how much nitrate aerosols contribute to the extension of the total effect.</t>
        </r>
      </text>
    </comment>
    <comment ref="G48" authorId="0" shapeId="0" xr:uid="{00000000-0006-0000-0700-00007D000000}">
      <text>
        <r>
          <rPr>
            <sz val="9"/>
            <color indexed="81"/>
            <rFont val="Tahoma"/>
            <family val="2"/>
          </rPr>
          <t xml:space="preserve">Global emissions of Nox as N is 3.72E+04 Gg (Table 8.SM.19). </t>
        </r>
      </text>
    </comment>
    <comment ref="H48" authorId="0" shapeId="0" xr:uid="{00000000-0006-0000-0700-00007E000000}">
      <text>
        <r>
          <rPr>
            <sz val="9"/>
            <color indexed="81"/>
            <rFont val="Tahoma"/>
            <family val="2"/>
          </rPr>
          <t xml:space="preserve">The formation  rate of particles indicate that it is regional scale of the exposure, which means that the exact location of the source become less important.
</t>
        </r>
      </text>
    </comment>
    <comment ref="E49" authorId="0" shapeId="0" xr:uid="{00000000-0006-0000-0700-00007F000000}">
      <text>
        <r>
          <rPr>
            <sz val="9"/>
            <color indexed="81"/>
            <rFont val="Tahoma"/>
            <family val="2"/>
          </rPr>
          <t>Nitrates contribute with 11% to the PM2.5 mass</t>
        </r>
      </text>
    </comment>
    <comment ref="F49" authorId="0" shapeId="0" xr:uid="{00000000-0006-0000-0700-000080000000}">
      <text>
        <r>
          <rPr>
            <sz val="9"/>
            <color indexed="81"/>
            <rFont val="Tahoma"/>
            <family val="2"/>
          </rPr>
          <t>There is a large uncertainty about how much nitrate aerosols contribute to the extension of the total effect.</t>
        </r>
      </text>
    </comment>
    <comment ref="G49" authorId="0" shapeId="0" xr:uid="{00000000-0006-0000-0700-000081000000}">
      <text>
        <r>
          <rPr>
            <sz val="9"/>
            <color indexed="81"/>
            <rFont val="Tahoma"/>
            <family val="2"/>
          </rPr>
          <t xml:space="preserve">Global emissions of Nox as N is 3.72E+04 Gg (Table 8.SM.19). </t>
        </r>
      </text>
    </comment>
    <comment ref="G50" authorId="0" shapeId="0" xr:uid="{00000000-0006-0000-0700-000082000000}">
      <text>
        <r>
          <rPr>
            <sz val="9"/>
            <color indexed="81"/>
            <rFont val="Tahoma"/>
            <family val="2"/>
          </rPr>
          <t xml:space="preserve">GWP100 including primary  effects from aerosols included (Table 8.A.3 in AR5, WGI)
</t>
        </r>
      </text>
    </comment>
    <comment ref="H50" authorId="0" shapeId="0" xr:uid="{00000000-0006-0000-0700-000083000000}">
      <text>
        <r>
          <rPr>
            <sz val="9"/>
            <color indexed="81"/>
            <rFont val="Tahoma"/>
            <family val="2"/>
          </rPr>
          <t xml:space="preserve">Table 8.A.3, AR5, WG1
</t>
        </r>
      </text>
    </comment>
    <comment ref="G51" authorId="0" shapeId="0" xr:uid="{00000000-0006-0000-0700-000084000000}">
      <text>
        <r>
          <rPr>
            <sz val="9"/>
            <color indexed="81"/>
            <rFont val="Tahoma"/>
            <family val="2"/>
          </rPr>
          <t xml:space="preserve">GWP100 including primary  effects from aerosols included (Table 8.A.3 in AR5, WGI)
</t>
        </r>
      </text>
    </comment>
    <comment ref="H51" authorId="0" shapeId="0" xr:uid="{00000000-0006-0000-0700-000085000000}">
      <text>
        <r>
          <rPr>
            <sz val="9"/>
            <color indexed="81"/>
            <rFont val="Tahoma"/>
            <family val="2"/>
          </rPr>
          <t xml:space="preserve">Table 8.A.3, AR5, WG1
</t>
        </r>
      </text>
    </comment>
    <comment ref="G52" authorId="0" shapeId="0" xr:uid="{00000000-0006-0000-0700-000086000000}">
      <text>
        <r>
          <rPr>
            <sz val="9"/>
            <color indexed="81"/>
            <rFont val="Tahoma"/>
            <family val="2"/>
          </rPr>
          <t xml:space="preserve">GWP100 including primary  effects from aerosols included (Table 8.A.3 in AR5, WGI)
</t>
        </r>
      </text>
    </comment>
    <comment ref="H52" authorId="0" shapeId="0" xr:uid="{00000000-0006-0000-0700-000087000000}">
      <text>
        <r>
          <rPr>
            <sz val="9"/>
            <color indexed="81"/>
            <rFont val="Tahoma"/>
            <family val="2"/>
          </rPr>
          <t xml:space="preserve">Table 8.A.3, AR5, WG1
</t>
        </r>
      </text>
    </comment>
    <comment ref="E53" authorId="0" shapeId="0" xr:uid="{00000000-0006-0000-0700-000088000000}">
      <text>
        <r>
          <rPr>
            <sz val="9"/>
            <color indexed="81"/>
            <rFont val="Tahoma"/>
            <family val="2"/>
          </rPr>
          <t>Van Dingenen et al. (Atmospheric Environment 43 (2009) 604–618) estimate the global loss of agricultural crop the year 2000 due to ozone to between 45 and 82 million metric tons of wheat, and 17–23 million metric tons  for rice, maize and soybean. Avnery et.al (Atmospheric Environment 45 (2011) 2284-2296) estimated the global crop loss to between 79 and 121 million metric tons.  A best estimate of 90 million tons is used and an uncertainty factor of 1.5.</t>
        </r>
      </text>
    </comment>
    <comment ref="G53" authorId="0" shapeId="0" xr:uid="{00000000-0006-0000-0700-000089000000}">
      <text>
        <r>
          <rPr>
            <sz val="9"/>
            <color indexed="81"/>
            <rFont val="Tahoma"/>
            <family val="2"/>
          </rPr>
          <t xml:space="preserve">Global emissions of Nox as N is 3.72E+04 Gg (Table 8.SM.19). </t>
        </r>
      </text>
    </comment>
    <comment ref="G54" authorId="0" shapeId="0" xr:uid="{00000000-0006-0000-0700-00008A000000}">
      <text>
        <r>
          <rPr>
            <sz val="9"/>
            <color indexed="81"/>
            <rFont val="Tahoma"/>
            <family val="2"/>
          </rPr>
          <t xml:space="preserve">GWP100 including primary  effects from aerosols included (Table 8.A.3 in AR5, WGI)
</t>
        </r>
      </text>
    </comment>
    <comment ref="H54" authorId="0" shapeId="0" xr:uid="{00000000-0006-0000-0700-00008B000000}">
      <text>
        <r>
          <rPr>
            <sz val="9"/>
            <color indexed="81"/>
            <rFont val="Tahoma"/>
            <family val="2"/>
          </rPr>
          <t xml:space="preserve">Table 8.A.3, AR5, WG1
</t>
        </r>
      </text>
    </comment>
    <comment ref="G55" authorId="0" shapeId="0" xr:uid="{00000000-0006-0000-0700-00008C000000}">
      <text>
        <r>
          <rPr>
            <sz val="9"/>
            <color indexed="81"/>
            <rFont val="Tahoma"/>
            <family val="2"/>
          </rPr>
          <t xml:space="preserve">GWP100 including primary  effects from aerosols included (Table 8.A.3 in AR5, WGI)
</t>
        </r>
      </text>
    </comment>
    <comment ref="H55" authorId="0" shapeId="0" xr:uid="{00000000-0006-0000-0700-00008D000000}">
      <text>
        <r>
          <rPr>
            <sz val="9"/>
            <color indexed="81"/>
            <rFont val="Tahoma"/>
            <family val="2"/>
          </rPr>
          <t xml:space="preserve">Table 8.A.3, AR5, WG1
</t>
        </r>
      </text>
    </comment>
    <comment ref="G56" authorId="0" shapeId="0" xr:uid="{00000000-0006-0000-0700-00008E000000}">
      <text>
        <r>
          <rPr>
            <sz val="9"/>
            <color indexed="81"/>
            <rFont val="Tahoma"/>
            <family val="2"/>
          </rPr>
          <t xml:space="preserve">GWP100 including primary  effects from aerosols included (Table 8.A.3 in AR5, WGI)
</t>
        </r>
      </text>
    </comment>
    <comment ref="H56" authorId="0" shapeId="0" xr:uid="{00000000-0006-0000-0700-00008F000000}">
      <text>
        <r>
          <rPr>
            <sz val="9"/>
            <color indexed="81"/>
            <rFont val="Tahoma"/>
            <family val="2"/>
          </rPr>
          <t xml:space="preserve">Table 8.A.3, AR5, WG1
</t>
        </r>
      </text>
    </comment>
    <comment ref="D57" authorId="0" shapeId="0" xr:uid="{00000000-0006-0000-0700-000090000000}">
      <text>
        <r>
          <rPr>
            <sz val="9"/>
            <color indexed="81"/>
            <rFont val="Tahoma"/>
            <family val="2"/>
          </rPr>
          <t>in coastal waters</t>
        </r>
        <r>
          <rPr>
            <sz val="9"/>
            <color indexed="81"/>
            <rFont val="Tahoma"/>
            <family val="2"/>
          </rPr>
          <t xml:space="preserve">
</t>
        </r>
      </text>
    </comment>
    <comment ref="E57" authorId="0" shapeId="0" xr:uid="{00000000-0006-0000-0700-000091000000}">
      <text>
        <r>
          <rPr>
            <sz val="9"/>
            <color indexed="81"/>
            <rFont val="Tahoma"/>
            <family val="2"/>
          </rPr>
          <t>According to Diaz and Rosenberg (Science 15 August 2008: Vol. 321 no. 5891 pp. 926-929), dead zones cover 245 000 km2. A typical production rate of 10 kg/ha, year will give a total loss of 2.45E8 kg/year. FAO has recommended that the global catch should level out at 100 million tons in order for fishing to be sustainable. This corresponds to about 3 kg per ha if all ocean and sea areas are counted. Assuming 10 kg/ha for production and  fishing at continental shelfs maly thus be of a resonable order.</t>
        </r>
      </text>
    </comment>
    <comment ref="F57" authorId="0" shapeId="0" xr:uid="{00000000-0006-0000-0700-000092000000}">
      <text>
        <r>
          <rPr>
            <sz val="9"/>
            <color indexed="81"/>
            <rFont val="Tahoma"/>
            <family val="2"/>
          </rPr>
          <t>There is no concideration in the model of temporal and spatial variations. All the water body is assumed to be dead, in the dead zones. There is further no considearation of impacts outside the dead zones. The bioproductivity is also uncertain. 
therefore a standard deviation of a factor of 3 is assumed</t>
        </r>
      </text>
    </comment>
    <comment ref="G57" authorId="0" shapeId="0" xr:uid="{00000000-0006-0000-0700-000093000000}">
      <text>
        <r>
          <rPr>
            <sz val="9"/>
            <color indexed="81"/>
            <rFont val="Tahoma"/>
            <family val="2"/>
          </rPr>
          <t xml:space="preserve">Global emissions of Nox as N is estimated to 3.72E+04 Gg in AR5 (Table 8.SM.19). According to Galloway, J. N. et al. Nitrogen cycles: past, present, future. Biogeochemistry 70, 153–226
(2004). the anthropogenic deposition of NOx to marine areas is 21 Tg N/year and 18 Tg for NH3  fro the year 1990.  About half of the global emission of NOx is deposited in oceans. The export from rivers to coastal areas is estimated to 47.8 Tg N/year. (F. Dentener et al. Nitrogen and sulfur deposition on regional and global scales: A multimodel evaluation, GLOBAL BIOGEOCHEMICAL CYCLES, VOL. 20, GB4003, doi:10.1029/2005GB002672, 2006). The emissions of BOD is estimated to 0.83 Tg Neq/yr. (see estimation for BOD to seawater)  This means that about 21/(21+18+47.8 +0.83) = 0.24 of the emitted NOX can contribute to dead zones.
</t>
        </r>
      </text>
    </comment>
    <comment ref="E58" authorId="0" shapeId="0" xr:uid="{00000000-0006-0000-0700-000094000000}">
      <text>
        <r>
          <rPr>
            <sz val="9"/>
            <color indexed="81"/>
            <rFont val="Tahoma"/>
            <family val="2"/>
          </rPr>
          <t xml:space="preserve"> FAO has recommended that the global catch should level out at 100 million tons in order for fishing to be sustainable. The global deposition of Nox to oceans is abput 40 Tg/year. In the upper 100 meters, this will contribute to a 0.123% increase of reactive nitrogen. (the ocean area is 360 million km2, the average concentration of reactive nitrogen is 0.9 g/m3 and the added contentration from atmospheric deposition is 0,00111 g/m3 in the upper 100 m) It is here assumed that the increase in fish catch is propotional to nitrogen availability, as nitrogen is rate limiting. (this is a rough simplification as many other factors determine which catch is available)</t>
        </r>
      </text>
    </comment>
    <comment ref="F58" authorId="0" shapeId="0" xr:uid="{00000000-0006-0000-0700-000095000000}">
      <text>
        <r>
          <rPr>
            <sz val="9"/>
            <color indexed="81"/>
            <rFont val="Tahoma"/>
            <family val="2"/>
          </rPr>
          <t xml:space="preserve">The growth model is very simplistic.
</t>
        </r>
      </text>
    </comment>
    <comment ref="E59" authorId="0" shapeId="0" xr:uid="{00000000-0006-0000-0700-000096000000}">
      <text>
        <r>
          <rPr>
            <sz val="9"/>
            <color indexed="81"/>
            <rFont val="Tahoma"/>
            <family val="2"/>
          </rPr>
          <t xml:space="preserve">A rough estimation of decrease of fish production may be based on an estimation of land areas where the critical load are exceeded (10%) and on the total fresh water catch of fish (10 million tons annually, globally as estimated by FAO). Only a part of the lakes in a region with excess sulphur deposition is acidified, normally those that are small and in the most upstream regions. A rough guess is that 20% of the lake area in regions where the critical load is exceeded is acidified to an extent that no fish is reproduced. This will correspond to a loss of 200 000 ton of fish annually.
</t>
        </r>
      </text>
    </comment>
    <comment ref="G59" authorId="0" shapeId="0" xr:uid="{00000000-0006-0000-0700-000097000000}">
      <text>
        <r>
          <rPr>
            <sz val="9"/>
            <color indexed="81"/>
            <rFont val="Tahoma"/>
            <family val="2"/>
          </rPr>
          <t xml:space="preserve">As SOx also is a cause of lake acidification, the contribution from Nox should not be 100%. As the global emission of SOx is 1.25E5 Gg (AR5, WGII, Table SM 8.19), which results in 1.25E5/64*2 = 3910 Gmoles of H+, compared to the = 2660 Gmoles H+ from Nox, an approximate estimate is that i kg NOx contributes with 1/3.72E10*2660/(2660+3910) </t>
        </r>
      </text>
    </comment>
    <comment ref="E60" authorId="0" shapeId="0" xr:uid="{00000000-0006-0000-0700-000098000000}">
      <text>
        <r>
          <rPr>
            <sz val="9"/>
            <color indexed="81"/>
            <rFont val="Tahoma"/>
            <family val="2"/>
          </rPr>
          <t>The decline in growth in Pine and Hardwood is around 1-2% at 0,015 increased ozone concentrations when the total concentration is in the range 0.05-0.06 ppm, which is most common in rural areas. ( PETER B. REICH, Quantifying plant response to ozone: a unifying theory, Tree Physiology 3, 63-91 (1987)). The global average ozone concentration is estimated to have increased by about 15 ppb since 1850 (Stevenson et al. Atmos. Chem. Phys., 13, 3063–3085, 2013). The global wood production is estimated to approximately 1.5E12 kg/year. (The industrial wood consumption is 1.6E9 m3 according to FAO 2006). The deccrease in wood production due to ozone is therefore etimated to 0.015*1.5E12 kg</t>
        </r>
      </text>
    </comment>
    <comment ref="G60" authorId="0" shapeId="0" xr:uid="{00000000-0006-0000-0700-000099000000}">
      <text>
        <r>
          <rPr>
            <sz val="9"/>
            <color indexed="81"/>
            <rFont val="Tahoma"/>
            <family val="2"/>
          </rPr>
          <t>Global emissions of Nox as N is 3.72E+04 Gg (Table 8.SM.19). Nox contributes to about 31 % of the antropogenic ozone produced. Stevenson et al (Tropospheric ozone changes, radiative forcing and attribution to emissions in the Atmospheric Chemistry and Climate Model Intercomparison Project (ACCMIP), Atmos. Chem. Phys., 13, 3063-3085, 2013). The net contribution is therefore 1/(3.72E10/14*46)*0.31 kg</t>
        </r>
      </text>
    </comment>
    <comment ref="E61" authorId="0" shapeId="0" xr:uid="{00000000-0006-0000-0700-00009A000000}">
      <text>
        <r>
          <rPr>
            <sz val="9"/>
            <color indexed="81"/>
            <rFont val="Tahoma"/>
            <family val="2"/>
          </rPr>
          <t>Nitrogen is a rate limiting factor for wood growth in a large part of the world.
About 40% of the land area in the temperate regions arearea in the temperate regions is covered with forests, and about 50% of the emissions of NOx are assumed to deposit on land areas. Most of the global emissions are estimated to origin in temperate regions. As half of the N is used by the trees in the wood structure (ratio experienced when fertilising with calcium ammonium nitrate), as 11% of the forests have nitrogen deposition above the critical load (), and as the wood consists of 1% N, (on dry basis),  1 kg NOx will result in 0.4*0.5*0.5*(1-0.11)*14/46*100 =2.71 kg wood.</t>
        </r>
      </text>
    </comment>
    <comment ref="G62" authorId="0" shapeId="0" xr:uid="{00000000-0006-0000-0700-00009B000000}">
      <text>
        <r>
          <rPr>
            <sz val="9"/>
            <color indexed="81"/>
            <rFont val="Tahoma"/>
            <family val="2"/>
          </rPr>
          <t xml:space="preserve">GWP100 including primary  effects from aerosols included (Table 8.A.3 in AR5, WGI)
</t>
        </r>
      </text>
    </comment>
    <comment ref="H62" authorId="0" shapeId="0" xr:uid="{00000000-0006-0000-0700-00009C000000}">
      <text>
        <r>
          <rPr>
            <sz val="9"/>
            <color indexed="81"/>
            <rFont val="Tahoma"/>
            <family val="2"/>
          </rPr>
          <t xml:space="preserve">Table 8.A.3, AR5, WG1
</t>
        </r>
      </text>
    </comment>
    <comment ref="G63" authorId="0" shapeId="0" xr:uid="{00000000-0006-0000-0700-00009D000000}">
      <text>
        <r>
          <rPr>
            <sz val="9"/>
            <color indexed="81"/>
            <rFont val="Tahoma"/>
            <family val="2"/>
          </rPr>
          <t xml:space="preserve">GWP100 including primary  effects from aerosols included (Table 8.A.3 in AR5, WGI)
</t>
        </r>
      </text>
    </comment>
    <comment ref="H63" authorId="0" shapeId="0" xr:uid="{00000000-0006-0000-0700-00009E000000}">
      <text>
        <r>
          <rPr>
            <sz val="9"/>
            <color indexed="81"/>
            <rFont val="Tahoma"/>
            <family val="2"/>
          </rPr>
          <t xml:space="preserve">Table 8.A.3, AR5, WG1
</t>
        </r>
      </text>
    </comment>
    <comment ref="G64" authorId="0" shapeId="0" xr:uid="{00000000-0006-0000-0700-00009F000000}">
      <text>
        <r>
          <rPr>
            <sz val="9"/>
            <color indexed="81"/>
            <rFont val="Tahoma"/>
            <family val="2"/>
          </rPr>
          <t xml:space="preserve">GWP100 including primary  effects from aerosols included (Table 8.A.3 in AR5, WGI)
</t>
        </r>
      </text>
    </comment>
    <comment ref="H64" authorId="0" shapeId="0" xr:uid="{00000000-0006-0000-0700-0000A0000000}">
      <text>
        <r>
          <rPr>
            <sz val="9"/>
            <color indexed="81"/>
            <rFont val="Tahoma"/>
            <family val="2"/>
          </rPr>
          <t xml:space="preserve">Table 8.A.3, AR5, WG1
</t>
        </r>
      </text>
    </comment>
    <comment ref="G65" authorId="0" shapeId="0" xr:uid="{00000000-0006-0000-0700-0000A1000000}">
      <text>
        <r>
          <rPr>
            <sz val="9"/>
            <color indexed="81"/>
            <rFont val="Tahoma"/>
            <family val="2"/>
          </rPr>
          <t xml:space="preserve">GWP100 including primary  effects from aerosols included (Table 8.A.3 in AR5, WGI)
</t>
        </r>
      </text>
    </comment>
    <comment ref="H65" authorId="0" shapeId="0" xr:uid="{00000000-0006-0000-0700-0000A2000000}">
      <text>
        <r>
          <rPr>
            <sz val="9"/>
            <color indexed="81"/>
            <rFont val="Tahoma"/>
            <family val="2"/>
          </rPr>
          <t xml:space="preserve">Table 8.A.3, AR5, WG1
</t>
        </r>
      </text>
    </comment>
    <comment ref="G66" authorId="0" shapeId="0" xr:uid="{00000000-0006-0000-0700-0000A3000000}">
      <text>
        <r>
          <rPr>
            <sz val="9"/>
            <color indexed="81"/>
            <rFont val="Tahoma"/>
            <family val="2"/>
          </rPr>
          <t xml:space="preserve">GWP100 including primary  effects from aerosols included (Table 8.A.3 in AR5, WGI)
</t>
        </r>
      </text>
    </comment>
    <comment ref="H66" authorId="0" shapeId="0" xr:uid="{00000000-0006-0000-0700-0000A4000000}">
      <text>
        <r>
          <rPr>
            <sz val="9"/>
            <color indexed="81"/>
            <rFont val="Tahoma"/>
            <family val="2"/>
          </rPr>
          <t xml:space="preserve">Table 8.A.3, AR5, WG1
</t>
        </r>
      </text>
    </comment>
    <comment ref="G67" authorId="0" shapeId="0" xr:uid="{00000000-0006-0000-0700-0000A5000000}">
      <text>
        <r>
          <rPr>
            <sz val="9"/>
            <color indexed="81"/>
            <rFont val="Tahoma"/>
            <family val="2"/>
          </rPr>
          <t xml:space="preserve">GWP100 including primary  effects from aerosols included (Table 8.A.3 in AR5, WGI)
</t>
        </r>
      </text>
    </comment>
    <comment ref="H67" authorId="0" shapeId="0" xr:uid="{00000000-0006-0000-0700-0000A6000000}">
      <text>
        <r>
          <rPr>
            <sz val="9"/>
            <color indexed="81"/>
            <rFont val="Tahoma"/>
            <family val="2"/>
          </rPr>
          <t xml:space="preserve">Table 8.A.3, AR5, WG1
</t>
        </r>
      </text>
    </comment>
    <comment ref="G68" authorId="0" shapeId="0" xr:uid="{00000000-0006-0000-0700-0000A7000000}">
      <text>
        <r>
          <rPr>
            <sz val="9"/>
            <color indexed="81"/>
            <rFont val="Tahoma"/>
            <family val="2"/>
          </rPr>
          <t xml:space="preserve">GWP100 including primary  effects from aerosols included (Table 8.A.3 in AR5, WGI)
</t>
        </r>
      </text>
    </comment>
    <comment ref="H68" authorId="0" shapeId="0" xr:uid="{00000000-0006-0000-0700-0000A8000000}">
      <text>
        <r>
          <rPr>
            <sz val="9"/>
            <color indexed="81"/>
            <rFont val="Tahoma"/>
            <family val="2"/>
          </rPr>
          <t xml:space="preserve">Table 8.A.3, AR5, WG1
</t>
        </r>
      </text>
    </comment>
    <comment ref="E69" authorId="0" shapeId="0" xr:uid="{00000000-0006-0000-0700-0000A9000000}">
      <text>
        <r>
          <rPr>
            <sz val="9"/>
            <color indexed="81"/>
            <rFont val="Tahoma"/>
            <family val="2"/>
          </rPr>
          <t xml:space="preserve">IUCN redlist http://www.iucnredlist.org/search, accessed at 15 October 2014. The share of species threatened by agricultural and forestry effluents in aquatic environments is 0.007.  </t>
        </r>
      </text>
    </comment>
    <comment ref="G69" authorId="0" shapeId="0" xr:uid="{00000000-0006-0000-0700-0000AA000000}">
      <text>
        <r>
          <rPr>
            <sz val="9"/>
            <color indexed="81"/>
            <rFont val="Tahoma"/>
            <family val="2"/>
          </rPr>
          <t xml:space="preserve">Global emissions of Nox as N is estimated to 3.72E+04 Gg in AR5 (Table 8.SM.19). According to Galloway, J. N. et al. Nitrogen cycles: past, present, future. Biogeochemistry 70, 153–226
(2004). the anthropogenic deposition of NOx to marine areas is 21 Tg N/year and 18 Tg for NH3  fro the year 1990.  About half of the global emission of NOx is deposited in oceans. The export from rivers to coastal areas is estimated to 47.8 Tg N/year. (F. Dentener et al. Nitrogen and sulfur deposition on regional and global scales: A multimodel evaluation, GLOBAL BIOGEOCHEMICAL CYCLES, VOL. 20, GB4003, doi:10.1029/2005GB002672, 2006). This means that aboit 21/(21+18+47.8) = 0.24 of the emitted NOX can contribute to dead zones.
</t>
        </r>
      </text>
    </comment>
    <comment ref="G75" authorId="0" shapeId="0" xr:uid="{00000000-0006-0000-0700-0000AB000000}">
      <text>
        <r>
          <rPr>
            <sz val="9"/>
            <color indexed="81"/>
            <rFont val="Tahoma"/>
            <family val="2"/>
          </rPr>
          <t xml:space="preserve">GWP 100 for N2O (Table 8.SM.17 in AR5 WGI, Chapter 8 )
</t>
        </r>
      </text>
    </comment>
    <comment ref="H75" authorId="0" shapeId="0" xr:uid="{00000000-0006-0000-0700-0000AC000000}">
      <text>
        <r>
          <rPr>
            <sz val="9"/>
            <color indexed="81"/>
            <rFont val="Tahoma"/>
            <family val="2"/>
          </rPr>
          <t xml:space="preserve">Table 8.SM.14, AR5, WG1
</t>
        </r>
      </text>
    </comment>
    <comment ref="F76" authorId="0" shapeId="0" xr:uid="{00000000-0006-0000-0700-0000AD000000}">
      <text>
        <r>
          <rPr>
            <sz val="9"/>
            <color indexed="81"/>
            <rFont val="Tahoma"/>
            <family val="2"/>
          </rPr>
          <t xml:space="preserve">There is an uncertainty in future emission scenarios, and in how peaple will protect themselves
</t>
        </r>
      </text>
    </comment>
    <comment ref="G76" authorId="0" shapeId="0" xr:uid="{00000000-0006-0000-0700-0000AE000000}">
      <text>
        <r>
          <rPr>
            <sz val="9"/>
            <color indexed="81"/>
            <rFont val="Tahoma"/>
            <family val="2"/>
          </rPr>
          <t xml:space="preserve">ODP according to Ravishankara et al. (2009)
</t>
        </r>
      </text>
    </comment>
    <comment ref="G77" authorId="0" shapeId="0" xr:uid="{00000000-0006-0000-0700-0000AF000000}">
      <text>
        <r>
          <rPr>
            <sz val="9"/>
            <color indexed="81"/>
            <rFont val="Tahoma"/>
            <family val="2"/>
          </rPr>
          <t xml:space="preserve">GWP 100 for N2O (Table 8.SM.17 in AR5 WGI, Chapter 8 )
</t>
        </r>
      </text>
    </comment>
    <comment ref="G78" authorId="0" shapeId="0" xr:uid="{00000000-0006-0000-0700-0000B0000000}">
      <text>
        <r>
          <rPr>
            <sz val="9"/>
            <color indexed="81"/>
            <rFont val="Tahoma"/>
            <family val="2"/>
          </rPr>
          <t xml:space="preserve">GWP 100 for N2O (Table 8.SM.17 in AR5 WGI, Chapter 8 )
</t>
        </r>
      </text>
    </comment>
    <comment ref="G79" authorId="0" shapeId="0" xr:uid="{00000000-0006-0000-0700-0000B1000000}">
      <text>
        <r>
          <rPr>
            <sz val="9"/>
            <color indexed="81"/>
            <rFont val="Tahoma"/>
            <family val="2"/>
          </rPr>
          <t xml:space="preserve">GWP 100 for N2O (Table 8.SM.17 in AR5 WGI, Chapter 8 )
</t>
        </r>
      </text>
    </comment>
    <comment ref="G80" authorId="0" shapeId="0" xr:uid="{00000000-0006-0000-0700-0000B2000000}">
      <text>
        <r>
          <rPr>
            <sz val="9"/>
            <color indexed="81"/>
            <rFont val="Tahoma"/>
            <family val="2"/>
          </rPr>
          <t xml:space="preserve">GWP 100 for N2O (Table 8.SM.17 in AR5 WGI, Chapter 8 )
</t>
        </r>
      </text>
    </comment>
    <comment ref="G81" authorId="0" shapeId="0" xr:uid="{00000000-0006-0000-0700-0000B3000000}">
      <text>
        <r>
          <rPr>
            <sz val="9"/>
            <color indexed="81"/>
            <rFont val="Tahoma"/>
            <family val="2"/>
          </rPr>
          <t xml:space="preserve">GWP 100 for N2O (Table 8.SM.17 in AR5 WGI, Chapter 8 )
</t>
        </r>
      </text>
    </comment>
    <comment ref="G82" authorId="0" shapeId="0" xr:uid="{00000000-0006-0000-0700-0000B4000000}">
      <text>
        <r>
          <rPr>
            <sz val="9"/>
            <color indexed="81"/>
            <rFont val="Tahoma"/>
            <family val="2"/>
          </rPr>
          <t xml:space="preserve">GWP 100 for N2O (Table 8.SM.17 in AR5 WGI, Chapter 8 )
</t>
        </r>
      </text>
    </comment>
    <comment ref="G83" authorId="0" shapeId="0" xr:uid="{00000000-0006-0000-0700-0000B5000000}">
      <text>
        <r>
          <rPr>
            <sz val="9"/>
            <color indexed="81"/>
            <rFont val="Tahoma"/>
            <family val="2"/>
          </rPr>
          <t xml:space="preserve">GWP 100 for N2O (Table 8.SM.17 in AR5 WGI, Chapter 8 )
</t>
        </r>
      </text>
    </comment>
    <comment ref="G84" authorId="0" shapeId="0" xr:uid="{00000000-0006-0000-0700-0000B6000000}">
      <text>
        <r>
          <rPr>
            <sz val="9"/>
            <color indexed="81"/>
            <rFont val="Tahoma"/>
            <family val="2"/>
          </rPr>
          <t xml:space="preserve">GWP 100 for N2O (Table 8.SM.17 in AR5 WGI, Chapter 8 )
</t>
        </r>
      </text>
    </comment>
    <comment ref="G85" authorId="0" shapeId="0" xr:uid="{00000000-0006-0000-0700-0000B7000000}">
      <text>
        <r>
          <rPr>
            <sz val="9"/>
            <color indexed="81"/>
            <rFont val="Tahoma"/>
            <family val="2"/>
          </rPr>
          <t xml:space="preserve">GWP 100 for N2O (Table 8.SM.17 in AR5 WGI, Chapter 8 )
</t>
        </r>
      </text>
    </comment>
    <comment ref="G86" authorId="0" shapeId="0" xr:uid="{00000000-0006-0000-0700-0000B8000000}">
      <text>
        <r>
          <rPr>
            <sz val="9"/>
            <color indexed="81"/>
            <rFont val="Tahoma"/>
            <family val="2"/>
          </rPr>
          <t xml:space="preserve">GWP 100 for N2O (Table 8.SM.17 in AR5 WGI, Chapter 8 )
</t>
        </r>
      </text>
    </comment>
    <comment ref="G87" authorId="0" shapeId="0" xr:uid="{00000000-0006-0000-0700-0000B9000000}">
      <text>
        <r>
          <rPr>
            <sz val="9"/>
            <color indexed="81"/>
            <rFont val="Tahoma"/>
            <family val="2"/>
          </rPr>
          <t xml:space="preserve">GWP 100 for N2O (Table 8.SM.17 in AR5 WGI, Chapter 8 )
</t>
        </r>
      </text>
    </comment>
    <comment ref="G88" authorId="0" shapeId="0" xr:uid="{00000000-0006-0000-0700-0000BA000000}">
      <text>
        <r>
          <rPr>
            <sz val="9"/>
            <color indexed="81"/>
            <rFont val="Tahoma"/>
            <family val="2"/>
          </rPr>
          <t xml:space="preserve">GWP 100 for N2O (Table 8.SM.17 in AR5 WGI, Chapter 8 )
</t>
        </r>
      </text>
    </comment>
    <comment ref="G89" authorId="0" shapeId="0" xr:uid="{00000000-0006-0000-0700-0000BB000000}">
      <text>
        <r>
          <rPr>
            <sz val="9"/>
            <color indexed="81"/>
            <rFont val="Tahoma"/>
            <family val="2"/>
          </rPr>
          <t xml:space="preserve">GWP 100 for N2O (Table 8.SM.17 in AR5 WGI, Chapter 8 )
</t>
        </r>
      </text>
    </comment>
    <comment ref="E92" authorId="0" shapeId="0" xr:uid="{00000000-0006-0000-0700-0000BC000000}">
      <text>
        <r>
          <rPr>
            <sz val="9"/>
            <color indexed="81"/>
            <rFont val="Tahoma"/>
            <family val="2"/>
          </rPr>
          <t>The dose-respons for mortality due to SO2 exposure is estimated to + 0.6% per 10 μg/m3 (24 hour mean); (Committee on the Medical Effects of Air Pollution (COMEAP) Report: the Quantification of the Effects of Air Pollution on
Health in the United Kingdom 1998. London:UK Department of Health, 1998). No treshold is found so it is assumed here that the dose-respons curve is linear, why it is applicable also to yeraly averages. The average annual urban population exposure to SO2 was determined to 30 μg/m3 for the European region by WHO regional office 1997. The interest on SO2 exposure has decrease since then, and no new assessments have been found. 
So, this figure will be used for the global urban population, which was 51,6% 2010 (UN). The lost life expectancy per case of premature death is estimated to be the same as for heat stroke, 1 month, as it has a similar health effect for persons with cardiovascular deseases. The total YOLLs due to SO2-exposure is therefore estimated to 0.006*30/10*0.516*7200000000/75, where 75 is an estimated average life expectancy</t>
        </r>
      </text>
    </comment>
    <comment ref="G92" authorId="0" shapeId="0" xr:uid="{00000000-0006-0000-0700-0000BD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H92" authorId="0" shapeId="0" xr:uid="{00000000-0006-0000-0700-0000BE000000}">
      <text>
        <r>
          <rPr>
            <sz val="9"/>
            <color indexed="81"/>
            <rFont val="Tahoma"/>
            <family val="2"/>
          </rPr>
          <t xml:space="preserve">Local variations in exposure
</t>
        </r>
      </text>
    </comment>
    <comment ref="E93" authorId="0" shapeId="0" xr:uid="{00000000-0006-0000-0700-0000BF000000}">
      <text>
        <r>
          <rPr>
            <sz val="9"/>
            <color indexed="81"/>
            <rFont val="Tahoma"/>
            <family val="2"/>
          </rPr>
          <t>There is no strong indicatios of health effects of sulphate and nitrate particles in air (Inhal Toxicol. 2007 May;19(5):419-49. Evidence of health impacts of sulfate-and nitrate-containing particles in ambient air. Reiss R1, Anderson EL, Cross CE, Hidy G, Hoel D, McClellan R, Moolgavkar S.)
Only climate change impacts are included.</t>
        </r>
      </text>
    </comment>
    <comment ref="G93" authorId="0" shapeId="0" xr:uid="{00000000-0006-0000-0700-0000C0000000}">
      <text>
        <r>
          <rPr>
            <sz val="9"/>
            <color indexed="81"/>
            <rFont val="Tahoma"/>
            <family val="2"/>
          </rPr>
          <t>About half of the SO2 emitted is transfomed to sulphate particles. P. J. CRUTZEN, Climatic Change (2006) 77: 211–219. This gives a particle forrmation potential of 0.5*96/64 = 0.75.</t>
        </r>
      </text>
    </comment>
    <comment ref="B95" authorId="0" shapeId="0" xr:uid="{00000000-0006-0000-0700-0000C1000000}">
      <text>
        <r>
          <rPr>
            <sz val="9"/>
            <color indexed="81"/>
            <rFont val="Tahoma"/>
            <family val="2"/>
          </rPr>
          <t>asthma cases are used as a proxy for the acute decreased lung capacity at episodes of exposure to high particle concentration</t>
        </r>
      </text>
    </comment>
    <comment ref="G95" authorId="0" shapeId="0" xr:uid="{00000000-0006-0000-0700-0000C2000000}">
      <text>
        <r>
          <rPr>
            <sz val="9"/>
            <color indexed="81"/>
            <rFont val="Tahoma"/>
            <family val="2"/>
          </rPr>
          <t>About half of the SO2 emitted is transfomed to sulphate particles. P. J. CRUTZEN, Climatic Change (2006) 77: 211–219. This gives a particle forrmation potential of 0.5*96/64</t>
        </r>
      </text>
    </comment>
    <comment ref="B96" authorId="0" shapeId="0" xr:uid="{00000000-0006-0000-0700-0000C3000000}">
      <text>
        <r>
          <rPr>
            <sz val="9"/>
            <color indexed="81"/>
            <rFont val="Tahoma"/>
            <family val="2"/>
          </rPr>
          <t>asthma cases are used as a proxy for the acute decreased lung capacity at episodes of exposure to high particle concentration</t>
        </r>
      </text>
    </comment>
    <comment ref="E96" authorId="0" shapeId="0" xr:uid="{00000000-0006-0000-0700-0000C4000000}">
      <text>
        <r>
          <rPr>
            <sz val="9"/>
            <color indexed="81"/>
            <rFont val="Tahoma"/>
            <family val="2"/>
          </rPr>
          <t>The dose-respons for hospitalisation due to SO2 exposure is estimated to + 0.5% per 10 μg/m3 (24 hour mean); (Committee on the Medical Effects of Air Pollution (COMEAP) Report: the Quantification of the Effects of Air Pollution on
Health in the United Kingdom 1998. London:UK Department of Health, 1998). No treshold is found so it is assumed here that the dose-respons curve is linear, why it is applicable also to yeraly averages. The average annual urban population exposure to SO2 was determined to 30 μg/m3 for the European region by WHO regional office 1997. The interest on SO2 exposure has decrease since then, and no new assessments have been found. 
So, this figure will be used for the global urban population, which was 51,6% 2010 (UN). The time for hospitalisation is estimated to be a few days (3). The total personyears of respiratory impacts due to SO2-exposure is therefore estimated to 0.005*30/10*0.516*7200000000*0.01*3/365, where 0.01 is the baseline rate of hospital admission per year. (The same reference from COMEAP as above)</t>
        </r>
      </text>
    </comment>
    <comment ref="G96" authorId="0" shapeId="0" xr:uid="{00000000-0006-0000-0700-0000C5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E97" authorId="0" shapeId="0" xr:uid="{00000000-0006-0000-0700-0000C6000000}">
      <text>
        <r>
          <rPr>
            <sz val="9"/>
            <color indexed="81"/>
            <rFont val="Tahoma"/>
            <family val="2"/>
          </rPr>
          <t xml:space="preserve">A rough estimation of decrease of fish production may be based on an estimation of land areas where the critical load are exceeded (10%) and on the total fresh water catch of fish (10 million tons annually, globally as estimated by FAO). Only a part of the lakes in a region with excess sulphur deposition is acidified, normally those that are small and in the most upstream regions. A rough guess is that 20% of the lake area in regions where the critical load is exceeded is acidified to an extent that no fish is reproduced. This will correspond to a loss of 200 000 ton of fish annually.
</t>
        </r>
      </text>
    </comment>
    <comment ref="F97" authorId="0" shapeId="0" xr:uid="{00000000-0006-0000-0700-0000C7000000}">
      <text>
        <r>
          <rPr>
            <sz val="9"/>
            <color indexed="81"/>
            <rFont val="Tahoma"/>
            <family val="2"/>
          </rPr>
          <t xml:space="preserve">Some areas are well monitored, others not
</t>
        </r>
      </text>
    </comment>
    <comment ref="G97" authorId="0" shapeId="0" xr:uid="{00000000-0006-0000-0700-0000C8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H97" authorId="0" shapeId="0" xr:uid="{00000000-0006-0000-0700-0000C9000000}">
      <text>
        <r>
          <rPr>
            <sz val="9"/>
            <color indexed="81"/>
            <rFont val="Tahoma"/>
            <family val="2"/>
          </rPr>
          <t xml:space="preserve">There is a large variation of sensitivity to acidification between different regions
</t>
        </r>
      </text>
    </comment>
    <comment ref="G98" authorId="0" shapeId="0" xr:uid="{00000000-0006-0000-0700-0000CA000000}">
      <text>
        <r>
          <rPr>
            <sz val="9"/>
            <color indexed="81"/>
            <rFont val="Tahoma"/>
            <family val="2"/>
          </rPr>
          <t xml:space="preserve">GWP100 for SO2 is –38.4 according to AR5 WGI,  Table 8.SM.17
</t>
        </r>
      </text>
    </comment>
    <comment ref="H98" authorId="0" shapeId="0" xr:uid="{00000000-0006-0000-0700-0000CB000000}">
      <text>
        <r>
          <rPr>
            <sz val="9"/>
            <color indexed="81"/>
            <rFont val="Tahoma"/>
            <family val="2"/>
          </rPr>
          <t xml:space="preserve">similar as for Nox
</t>
        </r>
      </text>
    </comment>
    <comment ref="G99" authorId="0" shapeId="0" xr:uid="{00000000-0006-0000-0700-0000CC000000}">
      <text>
        <r>
          <rPr>
            <sz val="9"/>
            <color indexed="81"/>
            <rFont val="Tahoma"/>
            <family val="2"/>
          </rPr>
          <t xml:space="preserve">GWP100 for SO2 is –38.4 according to AR5 WGI,  Table 8.SM.17
</t>
        </r>
      </text>
    </comment>
    <comment ref="G100" authorId="0" shapeId="0" xr:uid="{00000000-0006-0000-0700-0000CD000000}">
      <text>
        <r>
          <rPr>
            <sz val="9"/>
            <color indexed="81"/>
            <rFont val="Tahoma"/>
            <family val="2"/>
          </rPr>
          <t xml:space="preserve">GWP100 for SO2 is –38.4 according to AR5 WGI,  Table 8.SM.17
</t>
        </r>
      </text>
    </comment>
    <comment ref="G101" authorId="0" shapeId="0" xr:uid="{00000000-0006-0000-0700-0000CE000000}">
      <text>
        <r>
          <rPr>
            <sz val="9"/>
            <color indexed="81"/>
            <rFont val="Tahoma"/>
            <family val="2"/>
          </rPr>
          <t xml:space="preserve">GWP100 for SO2 is –38.4 according to AR5 WGI,  Table 8.SM.17
</t>
        </r>
      </text>
    </comment>
    <comment ref="G102" authorId="0" shapeId="0" xr:uid="{00000000-0006-0000-0700-0000CF000000}">
      <text>
        <r>
          <rPr>
            <sz val="9"/>
            <color indexed="81"/>
            <rFont val="Tahoma"/>
            <family val="2"/>
          </rPr>
          <t xml:space="preserve">GWP100 for SO2 is –38.4 according to AR5 WGI,  Table 8.SM.17
</t>
        </r>
      </text>
    </comment>
    <comment ref="G103" authorId="0" shapeId="0" xr:uid="{00000000-0006-0000-0700-0000D0000000}">
      <text>
        <r>
          <rPr>
            <sz val="9"/>
            <color indexed="81"/>
            <rFont val="Tahoma"/>
            <family val="2"/>
          </rPr>
          <t xml:space="preserve">GWP100 for SO2 is –38.4 according to AR5 WGI,  Table 8.SM.17
</t>
        </r>
      </text>
    </comment>
    <comment ref="G104" authorId="0" shapeId="0" xr:uid="{00000000-0006-0000-0700-0000D1000000}">
      <text>
        <r>
          <rPr>
            <sz val="9"/>
            <color indexed="81"/>
            <rFont val="Tahoma"/>
            <family val="2"/>
          </rPr>
          <t xml:space="preserve">GWP100 for SO2 is –38.4 according to AR5 WGI,  Table 8.SM.17
</t>
        </r>
      </text>
    </comment>
    <comment ref="G105" authorId="0" shapeId="0" xr:uid="{00000000-0006-0000-0700-0000D2000000}">
      <text>
        <r>
          <rPr>
            <sz val="9"/>
            <color indexed="81"/>
            <rFont val="Tahoma"/>
            <family val="2"/>
          </rPr>
          <t xml:space="preserve">GWP100 for SO2 is –38.4 according to AR5 WGI,  Table 8.SM.17
</t>
        </r>
      </text>
    </comment>
    <comment ref="G106" authorId="0" shapeId="0" xr:uid="{00000000-0006-0000-0700-0000D3000000}">
      <text>
        <r>
          <rPr>
            <sz val="9"/>
            <color indexed="81"/>
            <rFont val="Tahoma"/>
            <family val="2"/>
          </rPr>
          <t xml:space="preserve">GWP100 for SO2 is –38.4 according to AR5 WGI,  Table 8.SM.17
</t>
        </r>
      </text>
    </comment>
    <comment ref="G107" authorId="0" shapeId="0" xr:uid="{00000000-0006-0000-0700-0000D4000000}">
      <text>
        <r>
          <rPr>
            <sz val="9"/>
            <color indexed="81"/>
            <rFont val="Tahoma"/>
            <family val="2"/>
          </rPr>
          <t xml:space="preserve">GWP100 for SO2 is –38.4 according to AR5 WGI,  Table 8.SM.17
</t>
        </r>
      </text>
    </comment>
    <comment ref="G108" authorId="0" shapeId="0" xr:uid="{00000000-0006-0000-0700-0000D5000000}">
      <text>
        <r>
          <rPr>
            <sz val="9"/>
            <color indexed="81"/>
            <rFont val="Tahoma"/>
            <family val="2"/>
          </rPr>
          <t xml:space="preserve">GWP100 for SO2 is –38.4 according to AR5 WGI,  Table 8.SM.17
</t>
        </r>
      </text>
    </comment>
    <comment ref="G109" authorId="0" shapeId="0" xr:uid="{00000000-0006-0000-0700-0000D6000000}">
      <text>
        <r>
          <rPr>
            <sz val="9"/>
            <color indexed="81"/>
            <rFont val="Tahoma"/>
            <family val="2"/>
          </rPr>
          <t xml:space="preserve">GWP100 for SO2 is –38.4 according to AR5 WGI,  Table 8.SM.17
</t>
        </r>
      </text>
    </comment>
    <comment ref="G110" authorId="0" shapeId="0" xr:uid="{00000000-0006-0000-0700-0000D7000000}">
      <text>
        <r>
          <rPr>
            <sz val="9"/>
            <color indexed="81"/>
            <rFont val="Tahoma"/>
            <family val="2"/>
          </rPr>
          <t xml:space="preserve">GWP100 for SO2 is –38.4 according to AR5 WGI,  Table 8.SM.17
</t>
        </r>
      </text>
    </comment>
    <comment ref="E111" authorId="0" shapeId="0" xr:uid="{00000000-0006-0000-0700-0000D8000000}">
      <text>
        <r>
          <rPr>
            <sz val="9"/>
            <color indexed="81"/>
            <rFont val="Tahoma"/>
            <family val="2"/>
          </rPr>
          <t xml:space="preserve">In Sweden approximately 2 % of the threatened evertebrates are claimed to be threatened by acidification. (Faunavårdskommitten 1988). If this is assumed to be relevant for other acidified regions, roughly estimated to 10% of the earth’s land area, this would indicate that as a global average 0.2 % of the NEX are endangered due to SO2.
</t>
        </r>
      </text>
    </comment>
    <comment ref="G111" authorId="0" shapeId="0" xr:uid="{00000000-0006-0000-0700-0000D9000000}">
      <text>
        <r>
          <rPr>
            <sz val="9"/>
            <color indexed="81"/>
            <rFont val="Tahoma"/>
            <family val="2"/>
          </rPr>
          <t xml:space="preserve">The global emission of SO2 is estimated to 101 Tg 2005. This figure is extrapolated from the trend since 2000 to 110 Tg for 2010 (the EDGAR-HTAP_V1 database for the period 2000-2005). 
As NOx also is a cause of lake acidification, the contribution from SOx should not be 100%. As the yearly global emission of NOx is 3.72E4 Gg = 2660 Gmoles H+ and SOx is  1.25E5 Gg (AR5, WGII, Table SM 8.19), which results in 1.25E5/64*2 = 3910 Gmoles of H+,  an approximate estimate is that i kg SOx contributes with 1/1.1E11*3910/(2660+3910) </t>
        </r>
      </text>
    </comment>
    <comment ref="E112" authorId="0" shapeId="0" xr:uid="{00000000-0006-0000-0700-0000DA000000}">
      <text>
        <r>
          <rPr>
            <sz val="9"/>
            <color indexed="81"/>
            <rFont val="Tahoma"/>
            <family val="2"/>
          </rPr>
          <t xml:space="preserve">The global replacement of steel caused by corrosion due to SOx is estimated to 3.2 E10 kg/year. The estimations is based on assumptions of a 5 % reduction in the usage time for exposed steel constructions  and a world steel production of around 1.6 billion tons 2013. Export statistics indicate that Around 40% of the  steel may be exposed to air although coated. (World Steel Association 2014)
When producing i kg of steel, there is an emission of around 1.2 kg of CO2 (including benefits from recycling). This will cause an extra global emission of 
</t>
        </r>
      </text>
    </comment>
    <comment ref="G112" authorId="0" shapeId="0" xr:uid="{00000000-0006-0000-0700-0000DB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G115" authorId="0" shapeId="0" xr:uid="{00000000-0006-0000-0700-0000DC000000}">
      <text>
        <r>
          <rPr>
            <sz val="9"/>
            <color indexed="81"/>
            <rFont val="Tahoma"/>
            <family val="2"/>
          </rPr>
          <t xml:space="preserve">No studies quantifying the transformation to SO2 has been found, except one that claims that the general opinion is that this is a major process eliminating H2s from the atmosphere. (Meszaros, 1981, Atmospheric Chemistry, Elsevier, Amsterdam)
</t>
        </r>
      </text>
    </comment>
    <comment ref="G117" authorId="0" shapeId="0" xr:uid="{00000000-0006-0000-0700-0000DD000000}">
      <text>
        <r>
          <rPr>
            <sz val="9"/>
            <color indexed="81"/>
            <rFont val="Tahoma"/>
            <family val="2"/>
          </rPr>
          <t xml:space="preserve">Mole weight of HF is 20 and 19 for F. F will contribute to particle mass as F-.
</t>
        </r>
      </text>
    </comment>
    <comment ref="H117" authorId="0" shapeId="0" xr:uid="{00000000-0006-0000-0700-0000DE000000}">
      <text>
        <r>
          <rPr>
            <sz val="9"/>
            <color indexed="81"/>
            <rFont val="Tahoma"/>
            <family val="2"/>
          </rPr>
          <t>Some gaseous HF may be deposited from air through scavenging and dry deposition. The rain frequency is in most regions less than 10% of the time and transformation to particles presumably in the orders of hours, so the share that is not transformed to particles ia assumed to be low.</t>
        </r>
      </text>
    </comment>
    <comment ref="B118" authorId="0" shapeId="0" xr:uid="{00000000-0006-0000-0700-0000DF000000}">
      <text>
        <r>
          <rPr>
            <sz val="9"/>
            <color indexed="81"/>
            <rFont val="Tahoma"/>
            <family val="2"/>
          </rPr>
          <t>asthma cases are used as a proxy for the acute decreased lung capacity at episodes of exposure to high particle concentration</t>
        </r>
      </text>
    </comment>
    <comment ref="G118" authorId="0" shapeId="0" xr:uid="{00000000-0006-0000-0700-0000E0000000}">
      <text>
        <r>
          <rPr>
            <sz val="9"/>
            <color indexed="81"/>
            <rFont val="Tahoma"/>
            <family val="2"/>
          </rPr>
          <t xml:space="preserve">Mole weight of HF is 20 and 19 for F. F will contribute to particle mass as F-.
</t>
        </r>
      </text>
    </comment>
    <comment ref="G119" authorId="0" shapeId="0" xr:uid="{00000000-0006-0000-0700-0000E1000000}">
      <text>
        <r>
          <rPr>
            <sz val="9"/>
            <color indexed="81"/>
            <rFont val="Tahoma"/>
            <family val="2"/>
          </rPr>
          <t xml:space="preserve">Mole weight of HF is 20 and 19 for F. F will contribute to particle mass as F-.
</t>
        </r>
      </text>
    </comment>
    <comment ref="G120" authorId="0" shapeId="0" xr:uid="{00000000-0006-0000-0700-0000E2000000}">
      <text>
        <r>
          <rPr>
            <sz val="9"/>
            <color indexed="81"/>
            <rFont val="Tahoma"/>
            <family val="2"/>
          </rPr>
          <t xml:space="preserve">Mole weight of HF is 20 and 19 for F. F will contribute to particle mass as F-.
</t>
        </r>
      </text>
    </comment>
    <comment ref="G121" authorId="0" shapeId="0" xr:uid="{00000000-0006-0000-0700-0000E3000000}">
      <text>
        <r>
          <rPr>
            <sz val="9"/>
            <color indexed="81"/>
            <rFont val="Tahoma"/>
            <family val="2"/>
          </rPr>
          <t xml:space="preserve">Mole weight of HF is 20 and 19 for F. F will contribute to particle mass as F-.
</t>
        </r>
      </text>
    </comment>
    <comment ref="G122" authorId="0" shapeId="0" xr:uid="{00000000-0006-0000-0700-0000E4000000}">
      <text>
        <r>
          <rPr>
            <sz val="9"/>
            <color indexed="81"/>
            <rFont val="Tahoma"/>
            <family val="2"/>
          </rPr>
          <t xml:space="preserve">Mole weight of HF is 20 and 19 for F. F will contribute to particle mass as F-.
</t>
        </r>
      </text>
    </comment>
    <comment ref="G123" authorId="0" shapeId="0" xr:uid="{00000000-0006-0000-0700-0000E5000000}">
      <text>
        <r>
          <rPr>
            <sz val="9"/>
            <color indexed="81"/>
            <rFont val="Tahoma"/>
            <family val="2"/>
          </rPr>
          <t xml:space="preserve">Mole weight of HF is 20 and 19 for F. F will contribute to particle mass as F-.
</t>
        </r>
      </text>
    </comment>
    <comment ref="G124" authorId="0" shapeId="0" xr:uid="{00000000-0006-0000-0700-0000E6000000}">
      <text>
        <r>
          <rPr>
            <sz val="9"/>
            <color indexed="81"/>
            <rFont val="Tahoma"/>
            <family val="2"/>
          </rPr>
          <t xml:space="preserve">Mole weight of HF is 20 and 19 for F. F will contribute to particle mass as F-.
</t>
        </r>
      </text>
    </comment>
    <comment ref="G125" authorId="0" shapeId="0" xr:uid="{00000000-0006-0000-0700-0000E7000000}">
      <text>
        <r>
          <rPr>
            <sz val="9"/>
            <color indexed="81"/>
            <rFont val="Tahoma"/>
            <family val="2"/>
          </rPr>
          <t xml:space="preserve">Mole weight of HF is 20 and 19 for F. F will contribute to particle mass as F-.
</t>
        </r>
      </text>
    </comment>
    <comment ref="G126" authorId="0" shapeId="0" xr:uid="{00000000-0006-0000-0700-0000E8000000}">
      <text>
        <r>
          <rPr>
            <sz val="9"/>
            <color indexed="81"/>
            <rFont val="Tahoma"/>
            <family val="2"/>
          </rPr>
          <t xml:space="preserve">Mole weight of HF is 20 and 19 for F. F will contribute to particle mass as F-.
</t>
        </r>
      </text>
    </comment>
    <comment ref="G127" authorId="0" shapeId="0" xr:uid="{00000000-0006-0000-0700-0000E9000000}">
      <text>
        <r>
          <rPr>
            <sz val="9"/>
            <color indexed="81"/>
            <rFont val="Tahoma"/>
            <family val="2"/>
          </rPr>
          <t xml:space="preserve">Mole weight of HF is 20 and 19 for F. F will contribute to particle mass as F-.
</t>
        </r>
      </text>
    </comment>
    <comment ref="G128" authorId="0" shapeId="0" xr:uid="{00000000-0006-0000-0700-0000EA000000}">
      <text>
        <r>
          <rPr>
            <sz val="9"/>
            <color indexed="81"/>
            <rFont val="Tahoma"/>
            <family val="2"/>
          </rPr>
          <t xml:space="preserve">Mole weight of HF is 20 and 19 for F. F will contribute to particle mass as F-.
</t>
        </r>
      </text>
    </comment>
    <comment ref="G129" authorId="0" shapeId="0" xr:uid="{00000000-0006-0000-0700-0000EB000000}">
      <text>
        <r>
          <rPr>
            <sz val="9"/>
            <color indexed="81"/>
            <rFont val="Tahoma"/>
            <family val="2"/>
          </rPr>
          <t xml:space="preserve">Mole weight of HF is 20 and 19 for F. F will contribute to particle mass as F-.
</t>
        </r>
      </text>
    </comment>
    <comment ref="G130" authorId="0" shapeId="0" xr:uid="{00000000-0006-0000-0700-0000EC000000}">
      <text>
        <r>
          <rPr>
            <sz val="9"/>
            <color indexed="81"/>
            <rFont val="Tahoma"/>
            <family val="2"/>
          </rPr>
          <t xml:space="preserve">Mole weight of HF is 20 and 19 for F. F will contribute to particle mass as F-.
</t>
        </r>
      </text>
    </comment>
    <comment ref="G131" authorId="0" shapeId="0" xr:uid="{00000000-0006-0000-0700-0000ED000000}">
      <text>
        <r>
          <rPr>
            <sz val="9"/>
            <color indexed="81"/>
            <rFont val="Tahoma"/>
            <family val="2"/>
          </rPr>
          <t xml:space="preserve">Mole weight of HF is 20 and 19 for F. F will contribute to particle mass as F-.
</t>
        </r>
      </text>
    </comment>
    <comment ref="G132" authorId="0" shapeId="0" xr:uid="{00000000-0006-0000-0700-0000EE000000}">
      <text>
        <r>
          <rPr>
            <sz val="9"/>
            <color indexed="81"/>
            <rFont val="Tahoma"/>
            <family val="2"/>
          </rPr>
          <t xml:space="preserve">Mole weight of HF is 20 and 19 for F. F will contribute to particle mass as F-.
</t>
        </r>
      </text>
    </comment>
    <comment ref="G133" authorId="0" shapeId="0" xr:uid="{00000000-0006-0000-0700-0000EF000000}">
      <text>
        <r>
          <rPr>
            <sz val="9"/>
            <color indexed="81"/>
            <rFont val="Tahoma"/>
            <family val="2"/>
          </rPr>
          <t xml:space="preserve">Acidification potential for HF
</t>
        </r>
      </text>
    </comment>
    <comment ref="G134" authorId="0" shapeId="0" xr:uid="{00000000-0006-0000-0700-0000F0000000}">
      <text>
        <r>
          <rPr>
            <sz val="9"/>
            <color indexed="81"/>
            <rFont val="Tahoma"/>
            <family val="2"/>
          </rPr>
          <t xml:space="preserve">Acidification potential for HF in SO2 equivalents
</t>
        </r>
      </text>
    </comment>
    <comment ref="G135" authorId="0" shapeId="0" xr:uid="{00000000-0006-0000-0700-0000F1000000}">
      <text>
        <r>
          <rPr>
            <sz val="9"/>
            <color indexed="81"/>
            <rFont val="Tahoma"/>
            <family val="2"/>
          </rPr>
          <t xml:space="preserve">Acidification potential for HF
</t>
        </r>
      </text>
    </comment>
    <comment ref="G138" authorId="0" shapeId="0" xr:uid="{00000000-0006-0000-0700-0000F2000000}">
      <text>
        <r>
          <rPr>
            <sz val="9"/>
            <color indexed="81"/>
            <rFont val="Tahoma"/>
            <family val="2"/>
          </rPr>
          <t xml:space="preserve">Mole weight of HCl is 36 and 35 for Cl. Cl will contribute to particle mass as Cl-.
</t>
        </r>
      </text>
    </comment>
    <comment ref="B139" authorId="0" shapeId="0" xr:uid="{00000000-0006-0000-0700-0000F3000000}">
      <text>
        <r>
          <rPr>
            <sz val="9"/>
            <color indexed="81"/>
            <rFont val="Tahoma"/>
            <family val="2"/>
          </rPr>
          <t>asthma cases are used as a proxy for the acute decreased lung capacity at episodes of exposure to high particle concentration</t>
        </r>
      </text>
    </comment>
    <comment ref="G139" authorId="0" shapeId="0" xr:uid="{00000000-0006-0000-0700-0000F4000000}">
      <text>
        <r>
          <rPr>
            <sz val="9"/>
            <color indexed="81"/>
            <rFont val="Tahoma"/>
            <family val="2"/>
          </rPr>
          <t xml:space="preserve">Mole weight of HCl is 36 and 35 for Cl. Cl will contribute to particle mass as Cl-.
</t>
        </r>
      </text>
    </comment>
    <comment ref="G140" authorId="0" shapeId="0" xr:uid="{00000000-0006-0000-0700-0000F5000000}">
      <text>
        <r>
          <rPr>
            <sz val="9"/>
            <color indexed="81"/>
            <rFont val="Tahoma"/>
            <family val="2"/>
          </rPr>
          <t xml:space="preserve">Mole weight of HCl is 36 and 35 for Cl. Cl will contribute to particle mass as Cl-.
</t>
        </r>
      </text>
    </comment>
    <comment ref="G141" authorId="0" shapeId="0" xr:uid="{00000000-0006-0000-0700-0000F6000000}">
      <text>
        <r>
          <rPr>
            <sz val="9"/>
            <color indexed="81"/>
            <rFont val="Tahoma"/>
            <family val="2"/>
          </rPr>
          <t xml:space="preserve">Mole weight of HCl is 36 and 35 for Cl. Cl will contribute to particle mass as Cl-.
</t>
        </r>
      </text>
    </comment>
    <comment ref="G142" authorId="0" shapeId="0" xr:uid="{00000000-0006-0000-0700-0000F7000000}">
      <text>
        <r>
          <rPr>
            <sz val="9"/>
            <color indexed="81"/>
            <rFont val="Tahoma"/>
            <family val="2"/>
          </rPr>
          <t xml:space="preserve">Mole weight of HCl is 36 and 35 for Cl. Cl will contribute to particle mass as Cl-.
</t>
        </r>
      </text>
    </comment>
    <comment ref="G143" authorId="0" shapeId="0" xr:uid="{00000000-0006-0000-0700-0000F8000000}">
      <text>
        <r>
          <rPr>
            <sz val="9"/>
            <color indexed="81"/>
            <rFont val="Tahoma"/>
            <family val="2"/>
          </rPr>
          <t xml:space="preserve">Mole weight of HCl is 36 and 35 for Cl. Cl will contribute to particle mass as Cl-.
</t>
        </r>
      </text>
    </comment>
    <comment ref="G144" authorId="0" shapeId="0" xr:uid="{00000000-0006-0000-0700-0000F9000000}">
      <text>
        <r>
          <rPr>
            <sz val="9"/>
            <color indexed="81"/>
            <rFont val="Tahoma"/>
            <family val="2"/>
          </rPr>
          <t xml:space="preserve">Mole weight of HCl is 36 and 35 for Cl. Cl will contribute to particle mass as Cl-.
</t>
        </r>
      </text>
    </comment>
    <comment ref="G145" authorId="0" shapeId="0" xr:uid="{00000000-0006-0000-0700-0000FA000000}">
      <text>
        <r>
          <rPr>
            <sz val="9"/>
            <color indexed="81"/>
            <rFont val="Tahoma"/>
            <family val="2"/>
          </rPr>
          <t xml:space="preserve">Mole weight of HCl is 36 and 35 for Cl. Cl will contribute to particle mass as Cl-.
</t>
        </r>
      </text>
    </comment>
    <comment ref="G146" authorId="0" shapeId="0" xr:uid="{00000000-0006-0000-0700-0000FB000000}">
      <text>
        <r>
          <rPr>
            <sz val="9"/>
            <color indexed="81"/>
            <rFont val="Tahoma"/>
            <family val="2"/>
          </rPr>
          <t xml:space="preserve">Mole weight of HCl is 36 and 35 for Cl. Cl will contribute to particle mass as Cl-.
</t>
        </r>
      </text>
    </comment>
    <comment ref="G147" authorId="0" shapeId="0" xr:uid="{00000000-0006-0000-0700-0000FC000000}">
      <text>
        <r>
          <rPr>
            <sz val="9"/>
            <color indexed="81"/>
            <rFont val="Tahoma"/>
            <family val="2"/>
          </rPr>
          <t xml:space="preserve">Mole weight of HCl is 36 and 35 for Cl. Cl will contribute to particle mass as Cl-.
</t>
        </r>
      </text>
    </comment>
    <comment ref="G148" authorId="0" shapeId="0" xr:uid="{00000000-0006-0000-0700-0000FD000000}">
      <text>
        <r>
          <rPr>
            <sz val="9"/>
            <color indexed="81"/>
            <rFont val="Tahoma"/>
            <family val="2"/>
          </rPr>
          <t xml:space="preserve">Mole weight of HCl is 36 and 35 for Cl. Cl will contribute to particle mass as Cl-.
</t>
        </r>
      </text>
    </comment>
    <comment ref="G149" authorId="0" shapeId="0" xr:uid="{00000000-0006-0000-0700-0000FE000000}">
      <text>
        <r>
          <rPr>
            <sz val="9"/>
            <color indexed="81"/>
            <rFont val="Tahoma"/>
            <family val="2"/>
          </rPr>
          <t xml:space="preserve">Mole weight of HCl is 36 and 35 for Cl. Cl will contribute to particle mass as Cl-.
</t>
        </r>
      </text>
    </comment>
    <comment ref="G150" authorId="0" shapeId="0" xr:uid="{00000000-0006-0000-0700-0000FF000000}">
      <text>
        <r>
          <rPr>
            <sz val="9"/>
            <color indexed="81"/>
            <rFont val="Tahoma"/>
            <family val="2"/>
          </rPr>
          <t xml:space="preserve">Mole weight of HCl is 36 and 35 for Cl. Cl will contribute to particle mass as Cl-.
</t>
        </r>
      </text>
    </comment>
    <comment ref="G151" authorId="0" shapeId="0" xr:uid="{00000000-0006-0000-0700-000000010000}">
      <text>
        <r>
          <rPr>
            <sz val="9"/>
            <color indexed="81"/>
            <rFont val="Tahoma"/>
            <family val="2"/>
          </rPr>
          <t xml:space="preserve">Mole weight of HCl is 36 and 35 for Cl. Cl will contribute to particle mass as Cl-.
</t>
        </r>
      </text>
    </comment>
    <comment ref="G152" authorId="0" shapeId="0" xr:uid="{00000000-0006-0000-0700-000001010000}">
      <text>
        <r>
          <rPr>
            <sz val="9"/>
            <color indexed="81"/>
            <rFont val="Tahoma"/>
            <family val="2"/>
          </rPr>
          <t xml:space="preserve">Mole weight of HCl is 36 and 35 for Cl. Cl will contribute to particle mass as Cl-.
</t>
        </r>
      </text>
    </comment>
    <comment ref="G153" authorId="0" shapeId="0" xr:uid="{00000000-0006-0000-0700-000002010000}">
      <text>
        <r>
          <rPr>
            <sz val="9"/>
            <color indexed="81"/>
            <rFont val="Tahoma"/>
            <family val="2"/>
          </rPr>
          <t xml:space="preserve">Mole weight of HCl is 36 and 35 for Cl. Cl will contribute to particle mass as Cl-.
</t>
        </r>
      </text>
    </comment>
    <comment ref="G154" authorId="0" shapeId="0" xr:uid="{00000000-0006-0000-0700-000003010000}">
      <text>
        <r>
          <rPr>
            <sz val="9"/>
            <color indexed="81"/>
            <rFont val="Tahoma"/>
            <family val="2"/>
          </rPr>
          <t xml:space="preserve">Acidification potential for HCl in SO2-equivalents
</t>
        </r>
      </text>
    </comment>
    <comment ref="G155" authorId="0" shapeId="0" xr:uid="{00000000-0006-0000-0700-000004010000}">
      <text>
        <r>
          <rPr>
            <sz val="9"/>
            <color indexed="81"/>
            <rFont val="Tahoma"/>
            <family val="2"/>
          </rPr>
          <t xml:space="preserve">Acidification potential for HCl in SO2-equivalents
</t>
        </r>
      </text>
    </comment>
    <comment ref="G156" authorId="0" shapeId="0" xr:uid="{00000000-0006-0000-0700-000005010000}">
      <text>
        <r>
          <rPr>
            <sz val="9"/>
            <color indexed="81"/>
            <rFont val="Tahoma"/>
            <family val="2"/>
          </rPr>
          <t xml:space="preserve">Acidification potential for HCl in SO2-equivalents
</t>
        </r>
      </text>
    </comment>
    <comment ref="G160" authorId="0" shapeId="0" xr:uid="{00000000-0006-0000-0700-000006010000}">
      <text>
        <r>
          <rPr>
            <sz val="9"/>
            <color indexed="81"/>
            <rFont val="Tahoma"/>
            <family val="2"/>
          </rPr>
          <t xml:space="preserve">NH3 will add to the particle mass as NH4+
</t>
        </r>
      </text>
    </comment>
    <comment ref="B161" authorId="0" shapeId="0" xr:uid="{00000000-0006-0000-0700-000007010000}">
      <text>
        <r>
          <rPr>
            <sz val="9"/>
            <color indexed="81"/>
            <rFont val="Tahoma"/>
            <family val="2"/>
          </rPr>
          <t>asthma cases are used as a proxy for the acute decreased lung capacity at episodes of exposure to high particle concentration</t>
        </r>
      </text>
    </comment>
    <comment ref="G161" authorId="0" shapeId="0" xr:uid="{00000000-0006-0000-0700-000008010000}">
      <text>
        <r>
          <rPr>
            <sz val="9"/>
            <color indexed="81"/>
            <rFont val="Tahoma"/>
            <family val="2"/>
          </rPr>
          <t xml:space="preserve">NH3 will add to the particle mass as NH4+
</t>
        </r>
      </text>
    </comment>
    <comment ref="G162" authorId="0" shapeId="0" xr:uid="{00000000-0006-0000-0700-000009010000}">
      <text>
        <r>
          <rPr>
            <sz val="9"/>
            <color indexed="81"/>
            <rFont val="Tahoma"/>
            <family val="2"/>
          </rPr>
          <t xml:space="preserve">NH3 will add to the particle mass as NH4+
</t>
        </r>
      </text>
    </comment>
    <comment ref="G163" authorId="0" shapeId="0" xr:uid="{00000000-0006-0000-0700-00000A010000}">
      <text>
        <r>
          <rPr>
            <sz val="9"/>
            <color indexed="81"/>
            <rFont val="Tahoma"/>
            <family val="2"/>
          </rPr>
          <t xml:space="preserve">NH3 will add to the particle mass as NH4+
</t>
        </r>
      </text>
    </comment>
    <comment ref="G164" authorId="0" shapeId="0" xr:uid="{00000000-0006-0000-0700-00000B010000}">
      <text>
        <r>
          <rPr>
            <sz val="9"/>
            <color indexed="81"/>
            <rFont val="Tahoma"/>
            <family val="2"/>
          </rPr>
          <t xml:space="preserve">NH3 will add to the particle mass as NH4+
</t>
        </r>
      </text>
    </comment>
    <comment ref="G165" authorId="0" shapeId="0" xr:uid="{00000000-0006-0000-0700-00000C010000}">
      <text>
        <r>
          <rPr>
            <sz val="9"/>
            <color indexed="81"/>
            <rFont val="Tahoma"/>
            <family val="2"/>
          </rPr>
          <t xml:space="preserve">NH3 will add to the particle mass as NH4+
</t>
        </r>
      </text>
    </comment>
    <comment ref="G166" authorId="0" shapeId="0" xr:uid="{00000000-0006-0000-0700-00000D010000}">
      <text>
        <r>
          <rPr>
            <sz val="9"/>
            <color indexed="81"/>
            <rFont val="Tahoma"/>
            <family val="2"/>
          </rPr>
          <t xml:space="preserve">NH3 will add to the particle mass as NH4+
</t>
        </r>
      </text>
    </comment>
    <comment ref="G167" authorId="0" shapeId="0" xr:uid="{00000000-0006-0000-0700-00000E010000}">
      <text>
        <r>
          <rPr>
            <sz val="9"/>
            <color indexed="81"/>
            <rFont val="Tahoma"/>
            <family val="2"/>
          </rPr>
          <t xml:space="preserve">NH3 will add to the particle mass as NH4+
</t>
        </r>
      </text>
    </comment>
    <comment ref="G168" authorId="0" shapeId="0" xr:uid="{00000000-0006-0000-0700-00000F010000}">
      <text>
        <r>
          <rPr>
            <sz val="9"/>
            <color indexed="81"/>
            <rFont val="Tahoma"/>
            <family val="2"/>
          </rPr>
          <t xml:space="preserve">NH3 will add to the particle mass as NH4+
</t>
        </r>
      </text>
    </comment>
    <comment ref="G169" authorId="0" shapeId="0" xr:uid="{00000000-0006-0000-0700-000010010000}">
      <text>
        <r>
          <rPr>
            <sz val="9"/>
            <color indexed="81"/>
            <rFont val="Tahoma"/>
            <family val="2"/>
          </rPr>
          <t xml:space="preserve">NH3 will add to the particle mass as NH4+
</t>
        </r>
      </text>
    </comment>
    <comment ref="G170" authorId="0" shapeId="0" xr:uid="{00000000-0006-0000-0700-000011010000}">
      <text>
        <r>
          <rPr>
            <sz val="9"/>
            <color indexed="81"/>
            <rFont val="Tahoma"/>
            <family val="2"/>
          </rPr>
          <t xml:space="preserve">NH3 will add to the particle mass as NH4+
</t>
        </r>
      </text>
    </comment>
    <comment ref="G171" authorId="0" shapeId="0" xr:uid="{00000000-0006-0000-0700-000012010000}">
      <text>
        <r>
          <rPr>
            <sz val="9"/>
            <color indexed="81"/>
            <rFont val="Tahoma"/>
            <family val="2"/>
          </rPr>
          <t xml:space="preserve">NH3 will add to the particle mass as NH4+
</t>
        </r>
      </text>
    </comment>
    <comment ref="G172" authorId="0" shapeId="0" xr:uid="{00000000-0006-0000-0700-000013010000}">
      <text>
        <r>
          <rPr>
            <sz val="9"/>
            <color indexed="81"/>
            <rFont val="Tahoma"/>
            <family val="2"/>
          </rPr>
          <t xml:space="preserve">NH3 will add to the particle mass as NH4+
</t>
        </r>
      </text>
    </comment>
    <comment ref="G173" authorId="0" shapeId="0" xr:uid="{00000000-0006-0000-0700-000014010000}">
      <text>
        <r>
          <rPr>
            <sz val="9"/>
            <color indexed="81"/>
            <rFont val="Tahoma"/>
            <family val="2"/>
          </rPr>
          <t xml:space="preserve">NH3 will add to the particle mass as NH4+
</t>
        </r>
      </text>
    </comment>
    <comment ref="G174" authorId="0" shapeId="0" xr:uid="{00000000-0006-0000-0700-000015010000}">
      <text>
        <r>
          <rPr>
            <sz val="9"/>
            <color indexed="81"/>
            <rFont val="Tahoma"/>
            <family val="2"/>
          </rPr>
          <t xml:space="preserve">NH3 will add to the particle mass as NH4+
</t>
        </r>
      </text>
    </comment>
    <comment ref="G175" authorId="0" shapeId="0" xr:uid="{00000000-0006-0000-0700-000016010000}">
      <text>
        <r>
          <rPr>
            <sz val="9"/>
            <color indexed="81"/>
            <rFont val="Tahoma"/>
            <family val="2"/>
          </rPr>
          <t xml:space="preserve">NH3 will add to the particle mass as NH4+
</t>
        </r>
      </text>
    </comment>
    <comment ref="G176" authorId="0" shapeId="0" xr:uid="{00000000-0006-0000-0700-000017010000}">
      <text>
        <r>
          <rPr>
            <sz val="9"/>
            <color indexed="81"/>
            <rFont val="Tahoma"/>
            <family val="2"/>
          </rPr>
          <t xml:space="preserve">Acidification potential in SO2 equivalents
</t>
        </r>
      </text>
    </comment>
    <comment ref="G177" authorId="0" shapeId="0" xr:uid="{00000000-0006-0000-0700-000018010000}">
      <text>
        <r>
          <rPr>
            <sz val="9"/>
            <color indexed="81"/>
            <rFont val="Tahoma"/>
            <family val="2"/>
          </rPr>
          <t xml:space="preserve">Acidification potential in SO2 equivalents
</t>
        </r>
      </text>
    </comment>
    <comment ref="G178" authorId="0" shapeId="0" xr:uid="{00000000-0006-0000-0700-000019010000}">
      <text>
        <r>
          <rPr>
            <sz val="9"/>
            <color indexed="81"/>
            <rFont val="Tahoma"/>
            <family val="2"/>
          </rPr>
          <t xml:space="preserve">Eutrofication potential in NO2 eqivalents
</t>
        </r>
      </text>
    </comment>
    <comment ref="G179" authorId="0" shapeId="0" xr:uid="{00000000-0006-0000-0700-00001A010000}">
      <text>
        <r>
          <rPr>
            <sz val="9"/>
            <color indexed="81"/>
            <rFont val="Tahoma"/>
            <family val="2"/>
          </rPr>
          <t xml:space="preserve">Eutrofication potential in NO2 eqivalents
</t>
        </r>
      </text>
    </comment>
    <comment ref="G180" authorId="0" shapeId="0" xr:uid="{00000000-0006-0000-0700-00001B010000}">
      <text>
        <r>
          <rPr>
            <sz val="9"/>
            <color indexed="81"/>
            <rFont val="Tahoma"/>
            <family val="2"/>
          </rPr>
          <t xml:space="preserve">Eutrofication potential in NO2 eqivalents
</t>
        </r>
      </text>
    </comment>
    <comment ref="E184" authorId="0" shapeId="0" xr:uid="{00000000-0006-0000-0700-00001C010000}">
      <text>
        <r>
          <rPr>
            <sz val="9"/>
            <color indexed="81"/>
            <rFont val="Tahoma"/>
            <family val="2"/>
          </rPr>
          <t>Some groups of the population in North America, Europe and New Zealand eating much locally caught fish tend to get high mercury concentrations in body tissue. This may lead to various health effects but the one of most concern is mental retardation of children due to prenatal exposure (Kjellström et al., 1988). In a New Zealand study, 1000 out of 11000 new mothers had consumed fish more than three times a week. 73 of these had hair mercury levels above 6 mg/kg. 50% of the high mercury level children had abnormal or questionable test results in a Denver Development Screening Test, whereas only 17% of the reference children had such results. This indicates that 0.2% of a “fish eating” population like New Zealand is affected. Globally the “fish eating” population is in the order of 200 millions. 0.2% of these are 400000. .
In a USEPA study to the Congress 1997, 166000 pregnant women were estimated to be eating fish above 100 g/day. This corresponds to  0.07% of the population.  Upscaled to the global population, 4.8 million people/year will be eating fish above 100 g/day. If the same frequency of high mercury levels are assumed as in New Zealand (73/1000), we obtain a figure of 0.073*4.8 million =345000 personyears per year.
In an Iraqi study, cited by USEPA, severe neurogical effects is observed first at hair concentrations above 10 - 50 mg/kg. The effect corresponding to DALY clessification of mild mental retardations is thereore estimated to 1000000 personyears per year.</t>
        </r>
      </text>
    </comment>
    <comment ref="F184" authorId="0" shapeId="0" xr:uid="{00000000-0006-0000-0700-00001D010000}">
      <text>
        <r>
          <rPr>
            <sz val="9"/>
            <color indexed="81"/>
            <rFont val="Tahoma"/>
            <family val="2"/>
          </rPr>
          <t xml:space="preserve">Most of the literature on health risks from mercury aims at finding safe levels and setting standards. What actually happens at high exposures is unclear and in particular is it unclear how the effects recorded at the accidental exposure in Iraq coincides with the DALY classification, in this case "intellectual disability: mild, moderate, severe or profound". In the Iraqi study of the 1971 Iraqi methylmercury poisoning incident 8 out of 54 children with doses of mercury in hair above 10 ppm had mental symptoms, but significant impacts where evident first at those children having exposures at 53 ppm and above.
</t>
        </r>
      </text>
    </comment>
    <comment ref="G184" authorId="0" shapeId="0" xr:uid="{00000000-0006-0000-0700-00001E010000}">
      <text>
        <r>
          <rPr>
            <sz val="9"/>
            <color indexed="81"/>
            <rFont val="Tahoma"/>
            <family val="2"/>
          </rPr>
          <t xml:space="preserve">The global anthropogenic emission of Hg to air is estimated to 1960 tonnes and 1000 tonnes to water in 2010 (UNEP, 2010). The natural emission is around 670 tonnes, and there is a substatial reemission of mercury from old depositions, approximately 4000 tonnes. Totally the emissions contributing to the population exposure via fish is thus 7630 ton.
</t>
        </r>
      </text>
    </comment>
    <comment ref="H184" authorId="0" shapeId="0" xr:uid="{00000000-0006-0000-0700-00001F010000}">
      <text>
        <r>
          <rPr>
            <sz val="9"/>
            <color indexed="81"/>
            <rFont val="Tahoma"/>
            <family val="2"/>
          </rPr>
          <t xml:space="preserve">Even if mercury is distributed on a global scale, it is uncertain how much of a single emissions that is transfeerd to methylmercury
</t>
        </r>
      </text>
    </comment>
    <comment ref="E187" authorId="0" shapeId="0" xr:uid="{00000000-0006-0000-0700-000020010000}">
      <text>
        <r>
          <rPr>
            <sz val="9"/>
            <color indexed="81"/>
            <rFont val="Tahoma"/>
            <family val="2"/>
          </rPr>
          <t>Some groups of the population in North America, Europe and New Zealand eating much locally caught fish tend to get high mercury concentrations in body tissue. This may lead to various health effects but the one of most concern is mental retardation of children due to prenatal exposure (Kjellström et al., 1988). In a New Zealand study, 1000 out of 11000 new mothers had consumed fish more than three times a week. 73 of these had hair mercury levels above 6 mg/kg. 50% of the high mercury level children had abnormal or questionable test results in a Denver Development Screening Test, whereas only 17% of the reference children had such results. This indicates that 0.2% of a “fish eating” population like New Zealand is affected. Globally the “fish eating” population is in the order of 200 millions. 0.2% of these are 400000. .
In a USEPA study to the Congress 1997, 166000 pregnant women were estimated to be eating fish above 100 g/day. This corresponds to  0.07% of the population.  Upscaled to the global population, 4.8 million people/year will be eating fish above 100 g/day. If the same frequency of high mercury levels are assumed as in New Zealand (73/1000), we obtain a figure of 0.073*4.8 million =345000 personyears per year.
In an Iraqi study, cited by USEPA, severe neurogical effects is observed first at hair concentrations above 10 - 50 mg/kg. The effect corresponding to DALY clessification of mild mental retardations is thereore estimated to 1000000 personyears per year.</t>
        </r>
      </text>
    </comment>
    <comment ref="F187" authorId="0" shapeId="0" xr:uid="{00000000-0006-0000-0700-000021010000}">
      <text>
        <r>
          <rPr>
            <sz val="9"/>
            <color indexed="81"/>
            <rFont val="Tahoma"/>
            <family val="2"/>
          </rPr>
          <t xml:space="preserve">Most of the literature on health risks from mercury aims at finding safe levels and setting standards. What actually happens at high exposures is unclear and in particular is it unclear how the effects recorded at the accidental exposure in Iraq coincides with the DALY classification, in this case "intellectual disability: mild, moderate, severe or profound". In the Iraqi study of the 1971 Iraqi methylmercury poisoning incident 8 out of 54 children with doses of mercury in hair above 10 ppm had mental symptoms, but significant impacts where evident first at those children having exposures at 53 ppm and above.
</t>
        </r>
      </text>
    </comment>
    <comment ref="G187" authorId="0" shapeId="0" xr:uid="{00000000-0006-0000-0700-000022010000}">
      <text>
        <r>
          <rPr>
            <sz val="9"/>
            <color indexed="81"/>
            <rFont val="Tahoma"/>
            <family val="2"/>
          </rPr>
          <t xml:space="preserve">The global anthropogenic emission of Hg to air is estimated to 1960 tonnes and 1000 tonnes to water in 2010 (UNEP, 2010). The natural emission is around 670 tonnes, and there is a substatial reemission of mercury from old depositions, approximately 4000 tonnes. Totally the emissions contributing to the population exposure via fish is thus 7630 ton.
</t>
        </r>
      </text>
    </comment>
    <comment ref="H187" authorId="0" shapeId="0" xr:uid="{00000000-0006-0000-0700-000023010000}">
      <text>
        <r>
          <rPr>
            <sz val="9"/>
            <color indexed="81"/>
            <rFont val="Tahoma"/>
            <family val="2"/>
          </rPr>
          <t xml:space="preserve">Even if mercury is distributed on a global scale, it is uncertain how much of a single emissions that is transfeerd to methylmercury
</t>
        </r>
      </text>
    </comment>
    <comment ref="G192" authorId="0" shapeId="0" xr:uid="{00000000-0006-0000-0700-000024010000}">
      <text>
        <r>
          <rPr>
            <sz val="9"/>
            <color indexed="81"/>
            <rFont val="Tahoma"/>
            <family val="2"/>
          </rPr>
          <t xml:space="preserve">Mole weight of HBr is 80,9 and 79,9 for Br. Br will contribute to particle mass as Br-.
</t>
        </r>
      </text>
    </comment>
    <comment ref="B193" authorId="0" shapeId="0" xr:uid="{00000000-0006-0000-0700-000025010000}">
      <text>
        <r>
          <rPr>
            <sz val="9"/>
            <color indexed="81"/>
            <rFont val="Tahoma"/>
            <family val="2"/>
          </rPr>
          <t>asthma cases are used as a proxy for the acute decreased lung capacity at episodes of exposure to high particle concentration</t>
        </r>
      </text>
    </comment>
    <comment ref="G193" authorId="0" shapeId="0" xr:uid="{00000000-0006-0000-0700-000026010000}">
      <text>
        <r>
          <rPr>
            <sz val="9"/>
            <color indexed="81"/>
            <rFont val="Tahoma"/>
            <family val="2"/>
          </rPr>
          <t xml:space="preserve">Mole weight of HBr is 80,9 and 79,9 for Br. Br will contribute to particle mass as Br-.
</t>
        </r>
      </text>
    </comment>
    <comment ref="G194" authorId="0" shapeId="0" xr:uid="{00000000-0006-0000-0700-000027010000}">
      <text>
        <r>
          <rPr>
            <sz val="9"/>
            <color indexed="81"/>
            <rFont val="Tahoma"/>
            <family val="2"/>
          </rPr>
          <t xml:space="preserve">Mole weight of HBr is 80,9 and 79,9 for Br. Br will contribute to particle mass as Br-.
</t>
        </r>
      </text>
    </comment>
    <comment ref="G195" authorId="0" shapeId="0" xr:uid="{00000000-0006-0000-0700-000028010000}">
      <text>
        <r>
          <rPr>
            <sz val="9"/>
            <color indexed="81"/>
            <rFont val="Tahoma"/>
            <family val="2"/>
          </rPr>
          <t xml:space="preserve">Mole weight of HBr is 80,9 and 79,9 for Br. Br will contribute to particle mass as Br-.
</t>
        </r>
      </text>
    </comment>
    <comment ref="G196" authorId="0" shapeId="0" xr:uid="{00000000-0006-0000-0700-000029010000}">
      <text>
        <r>
          <rPr>
            <sz val="9"/>
            <color indexed="81"/>
            <rFont val="Tahoma"/>
            <family val="2"/>
          </rPr>
          <t xml:space="preserve">Mole weight of HBr is 80,9 and 79,9 for Br. Br will contribute to particle mass as Br-.
</t>
        </r>
      </text>
    </comment>
    <comment ref="G197" authorId="0" shapeId="0" xr:uid="{00000000-0006-0000-0700-00002A010000}">
      <text>
        <r>
          <rPr>
            <sz val="9"/>
            <color indexed="81"/>
            <rFont val="Tahoma"/>
            <family val="2"/>
          </rPr>
          <t xml:space="preserve">Mole weight of HBr is 80,9 and 79,9 for Br. Br will contribute to particle mass as Br-.
</t>
        </r>
      </text>
    </comment>
    <comment ref="G198" authorId="0" shapeId="0" xr:uid="{00000000-0006-0000-0700-00002B010000}">
      <text>
        <r>
          <rPr>
            <sz val="9"/>
            <color indexed="81"/>
            <rFont val="Tahoma"/>
            <family val="2"/>
          </rPr>
          <t xml:space="preserve">Mole weight of HBr is 80,9 and 79,9 for Br. Br will contribute to particle mass as Br-.
</t>
        </r>
      </text>
    </comment>
    <comment ref="G199" authorId="0" shapeId="0" xr:uid="{00000000-0006-0000-0700-00002C010000}">
      <text>
        <r>
          <rPr>
            <sz val="9"/>
            <color indexed="81"/>
            <rFont val="Tahoma"/>
            <family val="2"/>
          </rPr>
          <t xml:space="preserve">Mole weight of HBr is 80,9 and 79,9 for Br. Br will contribute to particle mass as Br-.
</t>
        </r>
      </text>
    </comment>
    <comment ref="G200" authorId="0" shapeId="0" xr:uid="{00000000-0006-0000-0700-00002D010000}">
      <text>
        <r>
          <rPr>
            <sz val="9"/>
            <color indexed="81"/>
            <rFont val="Tahoma"/>
            <family val="2"/>
          </rPr>
          <t xml:space="preserve">Mole weight of HBr is 80,9 and 79,9 for Br. Br will contribute to particle mass as Br-.
</t>
        </r>
      </text>
    </comment>
    <comment ref="G201" authorId="0" shapeId="0" xr:uid="{00000000-0006-0000-0700-00002E010000}">
      <text>
        <r>
          <rPr>
            <sz val="9"/>
            <color indexed="81"/>
            <rFont val="Tahoma"/>
            <family val="2"/>
          </rPr>
          <t xml:space="preserve">Mole weight of HBr is 80,9 and 79,9 for Br. Br will contribute to particle mass as Br-.
</t>
        </r>
      </text>
    </comment>
    <comment ref="G202" authorId="0" shapeId="0" xr:uid="{00000000-0006-0000-0700-00002F010000}">
      <text>
        <r>
          <rPr>
            <sz val="9"/>
            <color indexed="81"/>
            <rFont val="Tahoma"/>
            <family val="2"/>
          </rPr>
          <t xml:space="preserve">Mole weight of HBr is 80,9 and 79,9 for Br. Br will contribute to particle mass as Br-.
</t>
        </r>
      </text>
    </comment>
    <comment ref="G203" authorId="0" shapeId="0" xr:uid="{00000000-0006-0000-0700-000030010000}">
      <text>
        <r>
          <rPr>
            <sz val="9"/>
            <color indexed="81"/>
            <rFont val="Tahoma"/>
            <family val="2"/>
          </rPr>
          <t xml:space="preserve">Mole weight of HBr is 80,9 and 79,9 for Br. Br will contribute to particle mass as Br-.
</t>
        </r>
      </text>
    </comment>
    <comment ref="G204" authorId="0" shapeId="0" xr:uid="{00000000-0006-0000-0700-000031010000}">
      <text>
        <r>
          <rPr>
            <sz val="9"/>
            <color indexed="81"/>
            <rFont val="Tahoma"/>
            <family val="2"/>
          </rPr>
          <t xml:space="preserve">Mole weight of HBr is 80,9 and 79,9 for Br. Br will contribute to particle mass as Br-.
</t>
        </r>
      </text>
    </comment>
    <comment ref="G205" authorId="0" shapeId="0" xr:uid="{00000000-0006-0000-0700-000032010000}">
      <text>
        <r>
          <rPr>
            <sz val="9"/>
            <color indexed="81"/>
            <rFont val="Tahoma"/>
            <family val="2"/>
          </rPr>
          <t xml:space="preserve">Mole weight of HBr is 80,9 and 79,9 for Br. Br will contribute to particle mass as Br-.
</t>
        </r>
      </text>
    </comment>
    <comment ref="G206" authorId="0" shapeId="0" xr:uid="{00000000-0006-0000-0700-000033010000}">
      <text>
        <r>
          <rPr>
            <sz val="9"/>
            <color indexed="81"/>
            <rFont val="Tahoma"/>
            <family val="2"/>
          </rPr>
          <t xml:space="preserve">Mole weight of HBr is 80,9 and 79,9 for Br. Br will contribute to particle mass as Br-.
</t>
        </r>
      </text>
    </comment>
    <comment ref="G207" authorId="0" shapeId="0" xr:uid="{00000000-0006-0000-0700-000034010000}">
      <text>
        <r>
          <rPr>
            <sz val="9"/>
            <color indexed="81"/>
            <rFont val="Tahoma"/>
            <family val="2"/>
          </rPr>
          <t xml:space="preserve">Mole weight of HBr is 80,9 and 79,9 for Br. Br will contribute to particle mass as Br-.
</t>
        </r>
      </text>
    </comment>
    <comment ref="G208" authorId="0" shapeId="0" xr:uid="{00000000-0006-0000-0700-000035010000}">
      <text>
        <r>
          <rPr>
            <sz val="9"/>
            <color indexed="81"/>
            <rFont val="Tahoma"/>
            <family val="2"/>
          </rPr>
          <t>Acidification potential for HBr in SO2 equivalents</t>
        </r>
      </text>
    </comment>
    <comment ref="G209" authorId="0" shapeId="0" xr:uid="{00000000-0006-0000-0700-000036010000}">
      <text>
        <r>
          <rPr>
            <sz val="9"/>
            <color indexed="81"/>
            <rFont val="Tahoma"/>
            <family val="2"/>
          </rPr>
          <t>Acidification potential for HBr in SO2 equivalents</t>
        </r>
      </text>
    </comment>
    <comment ref="G210" authorId="0" shapeId="0" xr:uid="{00000000-0006-0000-0700-000037010000}">
      <text>
        <r>
          <rPr>
            <sz val="9"/>
            <color indexed="81"/>
            <rFont val="Tahoma"/>
            <family val="2"/>
          </rPr>
          <t>Acidification potential for HBr in SO2 equivalents</t>
        </r>
      </text>
    </comment>
    <comment ref="E213" authorId="0" shapeId="0" xr:uid="{00000000-0006-0000-0700-000038010000}">
      <text>
        <r>
          <rPr>
            <sz val="9"/>
            <color indexed="81"/>
            <rFont val="Tahoma"/>
            <family val="2"/>
          </rPr>
          <t>HCN is a very toxic gas. However, in a global average perspective, acute effects of normal HCN emissions are regarded as negligable</t>
        </r>
      </text>
    </comment>
    <comment ref="G213" authorId="0" shapeId="0" xr:uid="{00000000-0006-0000-0700-000039010000}">
      <text>
        <r>
          <rPr>
            <sz val="9"/>
            <color indexed="81"/>
            <rFont val="Tahoma"/>
            <family val="2"/>
          </rPr>
          <t xml:space="preserve">Mole weight of HCN is 27 and 26 for CN. CN will contribute to particle mass as CN-.
</t>
        </r>
      </text>
    </comment>
    <comment ref="B214" authorId="0" shapeId="0" xr:uid="{00000000-0006-0000-0700-00003A010000}">
      <text>
        <r>
          <rPr>
            <sz val="9"/>
            <color indexed="81"/>
            <rFont val="Tahoma"/>
            <family val="2"/>
          </rPr>
          <t>asthma cases are used as a proxy for the acute decreased lung capacity at episodes of exposure to high particle concentration</t>
        </r>
      </text>
    </comment>
    <comment ref="G214" authorId="0" shapeId="0" xr:uid="{00000000-0006-0000-0700-00003B010000}">
      <text>
        <r>
          <rPr>
            <sz val="9"/>
            <color indexed="81"/>
            <rFont val="Tahoma"/>
            <family val="2"/>
          </rPr>
          <t xml:space="preserve">Mole weight of HCN is 27 and 26 for CN. CN will contribute to particle mass as CN-.
</t>
        </r>
      </text>
    </comment>
    <comment ref="G215" authorId="0" shapeId="0" xr:uid="{00000000-0006-0000-0700-00003C010000}">
      <text>
        <r>
          <rPr>
            <sz val="9"/>
            <color indexed="81"/>
            <rFont val="Tahoma"/>
            <family val="2"/>
          </rPr>
          <t xml:space="preserve">Mole weight of HCN is 27 and 26 for CN. CN will contribute to particle mass as CN-.
</t>
        </r>
      </text>
    </comment>
    <comment ref="G216" authorId="0" shapeId="0" xr:uid="{00000000-0006-0000-0700-00003D010000}">
      <text>
        <r>
          <rPr>
            <sz val="9"/>
            <color indexed="81"/>
            <rFont val="Tahoma"/>
            <family val="2"/>
          </rPr>
          <t xml:space="preserve">Mole weight of HCN is 27 and 26 for CN. CN will contribute to particle mass as CN-.
</t>
        </r>
      </text>
    </comment>
    <comment ref="G217" authorId="0" shapeId="0" xr:uid="{00000000-0006-0000-0700-00003E010000}">
      <text>
        <r>
          <rPr>
            <sz val="9"/>
            <color indexed="81"/>
            <rFont val="Tahoma"/>
            <family val="2"/>
          </rPr>
          <t xml:space="preserve">Mole weight of HCN is 27 and 26 for CN. CN will contribute to particle mass as CN-.
</t>
        </r>
      </text>
    </comment>
    <comment ref="G218" authorId="0" shapeId="0" xr:uid="{00000000-0006-0000-0700-00003F010000}">
      <text>
        <r>
          <rPr>
            <sz val="9"/>
            <color indexed="81"/>
            <rFont val="Tahoma"/>
            <family val="2"/>
          </rPr>
          <t xml:space="preserve">Mole weight of HCN is 27 and 26 for CN. CN will contribute to particle mass as CN-.
</t>
        </r>
      </text>
    </comment>
    <comment ref="G219" authorId="0" shapeId="0" xr:uid="{00000000-0006-0000-0700-000040010000}">
      <text>
        <r>
          <rPr>
            <sz val="9"/>
            <color indexed="81"/>
            <rFont val="Tahoma"/>
            <family val="2"/>
          </rPr>
          <t xml:space="preserve">Mole weight of HCN is 27 and 26 for CN. CN will contribute to particle mass as CN-.
</t>
        </r>
      </text>
    </comment>
    <comment ref="G220" authorId="0" shapeId="0" xr:uid="{00000000-0006-0000-0700-000041010000}">
      <text>
        <r>
          <rPr>
            <sz val="9"/>
            <color indexed="81"/>
            <rFont val="Tahoma"/>
            <family val="2"/>
          </rPr>
          <t xml:space="preserve">Mole weight of HCN is 27 and 26 for CN. CN will contribute to particle mass as CN-.
</t>
        </r>
      </text>
    </comment>
    <comment ref="G221" authorId="0" shapeId="0" xr:uid="{00000000-0006-0000-0700-000042010000}">
      <text>
        <r>
          <rPr>
            <sz val="9"/>
            <color indexed="81"/>
            <rFont val="Tahoma"/>
            <family val="2"/>
          </rPr>
          <t xml:space="preserve">Mole weight of HCN is 27 and 26 for CN. CN will contribute to particle mass as CN-.
</t>
        </r>
      </text>
    </comment>
    <comment ref="G222" authorId="0" shapeId="0" xr:uid="{00000000-0006-0000-0700-000043010000}">
      <text>
        <r>
          <rPr>
            <sz val="9"/>
            <color indexed="81"/>
            <rFont val="Tahoma"/>
            <family val="2"/>
          </rPr>
          <t xml:space="preserve">Mole weight of HCN is 27 and 26 for CN. CN will contribute to particle mass as CN-.
</t>
        </r>
      </text>
    </comment>
    <comment ref="G223" authorId="0" shapeId="0" xr:uid="{00000000-0006-0000-0700-000044010000}">
      <text>
        <r>
          <rPr>
            <sz val="9"/>
            <color indexed="81"/>
            <rFont val="Tahoma"/>
            <family val="2"/>
          </rPr>
          <t xml:space="preserve">Mole weight of HCN is 27 and 26 for CN. CN will contribute to particle mass as CN-.
</t>
        </r>
      </text>
    </comment>
    <comment ref="G224" authorId="0" shapeId="0" xr:uid="{00000000-0006-0000-0700-000045010000}">
      <text>
        <r>
          <rPr>
            <sz val="9"/>
            <color indexed="81"/>
            <rFont val="Tahoma"/>
            <family val="2"/>
          </rPr>
          <t xml:space="preserve">Mole weight of HCN is 27 and 26 for CN. CN will contribute to particle mass as CN-.
</t>
        </r>
      </text>
    </comment>
    <comment ref="G225" authorId="0" shapeId="0" xr:uid="{00000000-0006-0000-0700-000046010000}">
      <text>
        <r>
          <rPr>
            <sz val="9"/>
            <color indexed="81"/>
            <rFont val="Tahoma"/>
            <family val="2"/>
          </rPr>
          <t xml:space="preserve">Mole weight of HCN is 27 and 26 for CN. CN will contribute to particle mass as CN-.
</t>
        </r>
      </text>
    </comment>
    <comment ref="G226" authorId="0" shapeId="0" xr:uid="{00000000-0006-0000-0700-000047010000}">
      <text>
        <r>
          <rPr>
            <sz val="9"/>
            <color indexed="81"/>
            <rFont val="Tahoma"/>
            <family val="2"/>
          </rPr>
          <t xml:space="preserve">Mole weight of HCN is 27 and 26 for CN. CN will contribute to particle mass as CN-.
</t>
        </r>
      </text>
    </comment>
    <comment ref="G227" authorId="0" shapeId="0" xr:uid="{00000000-0006-0000-0700-000048010000}">
      <text>
        <r>
          <rPr>
            <sz val="9"/>
            <color indexed="81"/>
            <rFont val="Tahoma"/>
            <family val="2"/>
          </rPr>
          <t xml:space="preserve">Mole weight of HCN is 27 and 26 for CN. CN will contribute to particle mass as CN-.
</t>
        </r>
      </text>
    </comment>
    <comment ref="G228" authorId="0" shapeId="0" xr:uid="{00000000-0006-0000-0700-000049010000}">
      <text>
        <r>
          <rPr>
            <sz val="9"/>
            <color indexed="81"/>
            <rFont val="Tahoma"/>
            <family val="2"/>
          </rPr>
          <t xml:space="preserve">Mole weight of HCN is 27 and 26 for CN. CN will contribute to particle mass as CN-.
</t>
        </r>
      </text>
    </comment>
    <comment ref="G229" authorId="0" shapeId="0" xr:uid="{00000000-0006-0000-0700-00004A010000}">
      <text>
        <r>
          <rPr>
            <sz val="9"/>
            <color indexed="81"/>
            <rFont val="Tahoma"/>
            <family val="2"/>
          </rPr>
          <t>Acidification potential for HBr in SO2 equivalents</t>
        </r>
      </text>
    </comment>
    <comment ref="G230" authorId="0" shapeId="0" xr:uid="{00000000-0006-0000-0700-00004B010000}">
      <text>
        <r>
          <rPr>
            <sz val="9"/>
            <color indexed="81"/>
            <rFont val="Tahoma"/>
            <family val="2"/>
          </rPr>
          <t>Acidification potential for HBr in SO2 equivalents</t>
        </r>
      </text>
    </comment>
    <comment ref="G231" authorId="0" shapeId="0" xr:uid="{00000000-0006-0000-0700-00004C010000}">
      <text>
        <r>
          <rPr>
            <sz val="9"/>
            <color indexed="81"/>
            <rFont val="Tahoma"/>
            <family val="2"/>
          </rPr>
          <t>Acidification potential for HBr in SO2 equivalents</t>
        </r>
      </text>
    </comment>
    <comment ref="E234" authorId="0" shapeId="0" xr:uid="{00000000-0006-0000-0700-00004D010000}">
      <text>
        <r>
          <rPr>
            <sz val="9"/>
            <color indexed="81"/>
            <rFont val="Tahoma"/>
            <family val="2"/>
          </rPr>
          <t xml:space="preserve">Risk assessments are available from USA estimating YOLL from ozone to 36000/year at a mean ozone concernation of 48 ppb (Neal Fann,∗ Amy D. Lamson, Susan C. Anenberg, Karen Wesson, David Risley, and Bryan J. Hubbell, Estimating the National Public Health Burden Associated with Exposure to Ambient PM2.5 and Ozone, 0272-4332/11/0100-0001$22.00/1 C   2011 Society for Risk Analysis, DOI: 10.1111/j.1539-6924.2011.01630.x)
Scaling up these estimates to a global level with an estimated similar  average concentration, 36000/314*7200 YOLLs per year in obtained totally from ozone.
</t>
        </r>
      </text>
    </comment>
    <comment ref="F234" authorId="0" shapeId="0" xr:uid="{00000000-0006-0000-0700-00004E010000}">
      <text>
        <r>
          <rPr>
            <sz val="9"/>
            <color indexed="81"/>
            <rFont val="Tahoma"/>
            <family val="2"/>
          </rPr>
          <t xml:space="preserve">Upscaling involves some uncertainty as well as the use of a correlation where other substances are present for risk estimates. Which ozone measure that is most relevant is also subject for discussion in literature.
</t>
        </r>
      </text>
    </comment>
    <comment ref="G234" authorId="0" shapeId="0" xr:uid="{00000000-0006-0000-0700-00004F010000}">
      <text>
        <r>
          <rPr>
            <sz val="9"/>
            <color indexed="81"/>
            <rFont val="Tahoma"/>
            <family val="2"/>
          </rPr>
          <t>AR5 WG1 Ch8, Table 8.1 Estimates  the ozone sources to between 3800 and 5100 Tg/yr. Herethe figure of 4500 is used a a best estimate.</t>
        </r>
      </text>
    </comment>
    <comment ref="G235" authorId="0" shapeId="0" xr:uid="{00000000-0006-0000-0700-000050010000}">
      <text>
        <r>
          <rPr>
            <sz val="9"/>
            <color indexed="81"/>
            <rFont val="Tahoma"/>
            <family val="2"/>
          </rPr>
          <t>AR5 WG1 Ch8, Table 8.1 Estimates  the ozone sources to between 3800 and 5100 Tg/yr. Herethe figure of 4500 is used a a best estimate.</t>
        </r>
      </text>
    </comment>
    <comment ref="G236" authorId="0" shapeId="0" xr:uid="{00000000-0006-0000-0700-000051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37" authorId="0" shapeId="0" xr:uid="{00000000-0006-0000-0700-000052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38" authorId="0" shapeId="0" xr:uid="{00000000-0006-0000-0700-000053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D239" authorId="0" shapeId="0" xr:uid="{00000000-0006-0000-0700-000054010000}">
      <text>
        <r>
          <rPr>
            <sz val="9"/>
            <color indexed="81"/>
            <rFont val="Tahoma"/>
            <family val="2"/>
          </rPr>
          <t xml:space="preserve">temperature, draught, extreme temperature and precipitation, CO2 concentration
</t>
        </r>
      </text>
    </comment>
    <comment ref="G239" authorId="0" shapeId="0" xr:uid="{00000000-0006-0000-0700-000055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0" authorId="0" shapeId="0" xr:uid="{00000000-0006-0000-0700-000056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1" authorId="0" shapeId="0" xr:uid="{00000000-0006-0000-0700-000057010000}">
      <text>
        <r>
          <rPr>
            <sz val="9"/>
            <color indexed="81"/>
            <rFont val="Tahoma"/>
            <family val="2"/>
          </rPr>
          <t>AR5 WG1 Ch8, Table 8.1 Estimates  the ozone sources to between 3800 and 5100 Tg/yr. Herethe figure of 4500 is used a a best estimate.</t>
        </r>
      </text>
    </comment>
    <comment ref="G242" authorId="0" shapeId="0" xr:uid="{00000000-0006-0000-0700-000058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3" authorId="0" shapeId="0" xr:uid="{00000000-0006-0000-0700-000059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4" authorId="0" shapeId="0" xr:uid="{00000000-0006-0000-0700-00005A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5" authorId="0" shapeId="0" xr:uid="{00000000-0006-0000-0700-00005B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6" authorId="0" shapeId="0" xr:uid="{00000000-0006-0000-0700-00005C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7" authorId="0" shapeId="0" xr:uid="{00000000-0006-0000-0700-00005D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8" authorId="0" shapeId="0" xr:uid="{00000000-0006-0000-0700-00005E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49" authorId="0" shapeId="0" xr:uid="{00000000-0006-0000-0700-00005F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250" authorId="0" shapeId="0" xr:uid="{00000000-0006-0000-0700-00006001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1" authorId="0" shapeId="0" xr:uid="{00000000-0006-0000-0800-000001000000}">
      <text>
        <r>
          <rPr>
            <sz val="9"/>
            <color indexed="81"/>
            <rFont val="Tahoma"/>
            <family val="2"/>
          </rPr>
          <t>If not specifically noted, the uncertaitny is expressed as a factor equal ti one standard deviation in a log normal distribution</t>
        </r>
      </text>
    </comment>
    <comment ref="H1" authorId="0" shapeId="0" xr:uid="{00000000-0006-0000-0800-000002000000}">
      <text>
        <r>
          <rPr>
            <sz val="9"/>
            <color indexed="81"/>
            <rFont val="Tahoma"/>
            <family val="2"/>
          </rPr>
          <t>If not specifically noted, the uncertaitny is expressed as a factor equal ti one standard deviation in a log normal distribution</t>
        </r>
      </text>
    </comment>
    <comment ref="E4" authorId="0" shapeId="0" xr:uid="{00000000-0006-0000-0800-000003000000}">
      <text>
        <r>
          <rPr>
            <sz val="9"/>
            <color indexed="81"/>
            <rFont val="Tahoma"/>
            <family val="2"/>
          </rPr>
          <t xml:space="preserve"> Marginal household soiling damages attributable to air particulates are estimated at 6.63 $/household per micrograms per cubic meter TSP. (1980 $) ( Cummings, H.S. Burness and R.D. Norton, University of New Mexico METHODS DEVELOPMENT FOR ENVIRONMENTALCON TROL BENEFITS ASSESSMENT Volume V, MEASURING HOUSEHOLD SOILING DAMAGES FROM SUSPENDED PARTICULATES: A METHODOLOGICAL INQUIRY, USEPA, National Center for Environmental Economics
EPA-230-12-85-023 September 1985)
It is not clear from the report which hourly cost for work, that has been used but it seemms as it is comparatively low (minimal wage for women),. 1 personhour per ug/m3 is assumed. It is further assumed that globally there are about 2 billion housholds. The average TSP concenration is around twice the concentration of PM10, i.e 100 ug/m3</t>
        </r>
      </text>
    </comment>
    <comment ref="F4" authorId="0" shapeId="0" xr:uid="{00000000-0006-0000-0800-000004000000}">
      <text>
        <r>
          <rPr>
            <sz val="9"/>
            <color indexed="81"/>
            <rFont val="Tahoma"/>
            <family val="2"/>
          </rPr>
          <t xml:space="preserve">The USEPA study on soiling costs is not directly transferable to other countries and the extra time spent on cleaning and other surface treatments is only relevant for marginal changes in TSP and probably not linear against TSP concentration. 
</t>
        </r>
      </text>
    </comment>
    <comment ref="G4" authorId="0" shapeId="0" xr:uid="{00000000-0006-0000-0800-000005000000}">
      <text>
        <r>
          <rPr>
            <sz val="9"/>
            <color indexed="81"/>
            <rFont val="Tahoma"/>
            <family val="2"/>
          </rPr>
          <t xml:space="preserve">The global emission of PM10 is 65 Tg/year. If TSP concentration is about the double the emission of PM&gt;10 is at least the same. It should be higher as the residence time of large particles are less than that of small particles. Here, it is assumed to be 100 Tg/year. The contribution from fugitive emissions are further
</t>
        </r>
      </text>
    </comment>
    <comment ref="H4" authorId="0" shapeId="0" xr:uid="{00000000-0006-0000-0800-000006000000}">
      <text>
        <r>
          <rPr>
            <sz val="9"/>
            <color indexed="81"/>
            <rFont val="Tahoma"/>
            <family val="2"/>
          </rPr>
          <t xml:space="preserve">This is an extremely uncertain estimation because the emission of particles above 10 </t>
        </r>
        <r>
          <rPr>
            <sz val="9"/>
            <color indexed="81"/>
            <rFont val="Albertus MT"/>
            <family val="1"/>
          </rPr>
          <t>μ</t>
        </r>
        <r>
          <rPr>
            <sz val="9"/>
            <color indexed="81"/>
            <rFont val="Tahoma"/>
            <family val="2"/>
          </rPr>
          <t>m is mostly fugitive dust, which has very local impacts. Although most of the particels found on a window and contributing to soiling are above 10 μm, some of them are aggregates of smaller particles and it is unclear to what extent emissions of PM10 and PM2.5 contributes.</t>
        </r>
        <r>
          <rPr>
            <sz val="9"/>
            <color indexed="81"/>
            <rFont val="Tahoma"/>
            <family val="2"/>
          </rPr>
          <t xml:space="preserve">
</t>
        </r>
      </text>
    </comment>
    <comment ref="E6" authorId="0" shapeId="0" xr:uid="{00000000-0006-0000-0800-000007000000}">
      <text>
        <r>
          <rPr>
            <sz val="9"/>
            <color indexed="81"/>
            <rFont val="Tahoma"/>
            <family val="2"/>
          </rPr>
          <t>Steen, CPM report 1999:5, page 223</t>
        </r>
      </text>
    </comment>
    <comment ref="G6" authorId="0" shapeId="0" xr:uid="{00000000-0006-0000-0800-000008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t>
        </r>
      </text>
    </comment>
    <comment ref="E7" authorId="0" shapeId="0" xr:uid="{00000000-0006-0000-0800-000009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40/10*0,61/75*7200000000</t>
        </r>
      </text>
    </comment>
    <comment ref="F7" authorId="0" shapeId="0" xr:uid="{00000000-0006-0000-0800-00000A000000}">
      <text>
        <r>
          <rPr>
            <sz val="9"/>
            <color indexed="81"/>
            <rFont val="Tahoma"/>
            <family val="2"/>
          </rPr>
          <t xml:space="preserve">There is an uncertainty to how representative US values are to the world, partly because of population uncertainty and partly because of aorosol properties.
</t>
        </r>
      </text>
    </comment>
    <comment ref="G7" authorId="0" shapeId="0" xr:uid="{00000000-0006-0000-0800-00000B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 The contribution to the environmental impact is therefore 0.4/6.5E10</t>
        </r>
      </text>
    </comment>
    <comment ref="H7" authorId="0" shapeId="0" xr:uid="{00000000-0006-0000-0800-00000C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8" authorId="0" shapeId="0" xr:uid="{00000000-0006-0000-0800-00000D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B10" authorId="0" shapeId="0" xr:uid="{00000000-0006-0000-0800-00000E000000}">
      <text>
        <r>
          <rPr>
            <sz val="9"/>
            <color indexed="81"/>
            <rFont val="Tahoma"/>
            <family val="2"/>
          </rPr>
          <t>asthma cases are used as a proxy for the acute decreased lung capacity at episodes of exposure to higgh particle concentration</t>
        </r>
      </text>
    </comment>
    <comment ref="E10" authorId="0" shapeId="0" xr:uid="{00000000-0006-0000-0800-00000F000000}">
      <text>
        <r>
          <rPr>
            <sz val="9"/>
            <color indexed="81"/>
            <rFont val="Tahoma"/>
            <family val="2"/>
          </rPr>
          <t xml:space="preserve">Most of the studies on this issue were made in the 1990ies and before. Therfore the data from Steen, CPM report 1999:5 are used. (Available at lifecyclecenter.se)
</t>
        </r>
      </text>
    </comment>
    <comment ref="F10" authorId="0" shapeId="0" xr:uid="{00000000-0006-0000-0800-000010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10" authorId="0" shapeId="0" xr:uid="{00000000-0006-0000-0800-000011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t>
        </r>
      </text>
    </comment>
    <comment ref="E11" authorId="0" shapeId="0" xr:uid="{00000000-0006-0000-0800-000012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11" authorId="0" shapeId="0" xr:uid="{00000000-0006-0000-0800-000013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t>
        </r>
      </text>
    </comment>
    <comment ref="G12" authorId="0" shapeId="0" xr:uid="{00000000-0006-0000-0800-000014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3" authorId="0" shapeId="0" xr:uid="{00000000-0006-0000-0800-000015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4" authorId="0" shapeId="0" xr:uid="{00000000-0006-0000-0800-000016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5" authorId="0" shapeId="0" xr:uid="{00000000-0006-0000-0800-000017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6" authorId="0" shapeId="0" xr:uid="{00000000-0006-0000-0800-000018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7" authorId="0" shapeId="0" xr:uid="{00000000-0006-0000-0800-000019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8" authorId="0" shapeId="0" xr:uid="{00000000-0006-0000-0800-00001A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9" authorId="0" shapeId="0" xr:uid="{00000000-0006-0000-0800-00001B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0" authorId="0" shapeId="0" xr:uid="{00000000-0006-0000-0800-00001C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1" authorId="0" shapeId="0" xr:uid="{00000000-0006-0000-0800-00001D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2" authorId="0" shapeId="0" xr:uid="{00000000-0006-0000-0800-00001E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3" authorId="0" shapeId="0" xr:uid="{00000000-0006-0000-0800-00001F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4" authorId="0" shapeId="0" xr:uid="{00000000-0006-0000-0800-000020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E28" authorId="0" shapeId="0" xr:uid="{00000000-0006-0000-0800-000021000000}">
      <text>
        <r>
          <rPr>
            <sz val="9"/>
            <color indexed="81"/>
            <rFont val="Tahoma"/>
            <family val="2"/>
          </rPr>
          <t xml:space="preserve">Steen, CPM report 1999:5
</t>
        </r>
      </text>
    </comment>
    <comment ref="G28" authorId="0" shapeId="0" xr:uid="{00000000-0006-0000-0800-000022000000}">
      <text>
        <r>
          <rPr>
            <sz val="9"/>
            <color indexed="81"/>
            <rFont val="Tahoma"/>
            <family val="2"/>
          </rPr>
          <t>Global emission of PM2.5 was 38 Tg 2005 according to http://edgar.jrc.ec.europa.eu/national_reported_data/htap.php. The trend was extrapolated to 40 Tg 2010. Primary emissions of PM2.5 account for about 52% of PM2.5 in ambient air. (Gugamsetty et al, Aerosol and Air Quality Research, 12: 476–491, 2012)</t>
        </r>
      </text>
    </comment>
    <comment ref="E29" authorId="0" shapeId="0" xr:uid="{00000000-0006-0000-0800-000023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
/10*0,61/75*7200000000</t>
        </r>
      </text>
    </comment>
    <comment ref="F29" authorId="0" shapeId="0" xr:uid="{00000000-0006-0000-0800-000024000000}">
      <text>
        <r>
          <rPr>
            <sz val="9"/>
            <color indexed="81"/>
            <rFont val="Tahoma"/>
            <family val="2"/>
          </rPr>
          <t xml:space="preserve">There is an uncertainty to how representative US values are to the world, partly because of population uncertainty and partly because of aorosol properties.
</t>
        </r>
      </text>
    </comment>
    <comment ref="G29" authorId="0" shapeId="0" xr:uid="{00000000-0006-0000-0800-000025000000}">
      <text>
        <r>
          <rPr>
            <sz val="9"/>
            <color indexed="81"/>
            <rFont val="Tahoma"/>
            <family val="2"/>
          </rPr>
          <t>Global emission of PM2.5 was 38 Tg 2005 according to http://edgar.jrc.ec.europa.eu/national_reported_data/htap.php. The trend was extrapolated to 40 Tg 2010. Primary emissions of PM2.5 account for about 52% of PM2.5 in ambient air. (Gugamsetty et al, Aerosol and Air Quality Research, 12: 476–491, 2012)</t>
        </r>
      </text>
    </comment>
    <comment ref="H29" authorId="0" shapeId="0" xr:uid="{00000000-0006-0000-0800-000026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30" authorId="0" shapeId="0" xr:uid="{00000000-0006-0000-0800-000027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B32" authorId="0" shapeId="0" xr:uid="{00000000-0006-0000-0800-000028000000}">
      <text>
        <r>
          <rPr>
            <sz val="9"/>
            <color indexed="81"/>
            <rFont val="Tahoma"/>
            <family val="2"/>
          </rPr>
          <t>asthma cases are used as a proxy for the acute decreased lung capacity at episodes of exposure to high particle concentration</t>
        </r>
      </text>
    </comment>
    <comment ref="E32" authorId="0" shapeId="0" xr:uid="{00000000-0006-0000-0800-000029000000}">
      <text>
        <r>
          <rPr>
            <sz val="9"/>
            <color indexed="81"/>
            <rFont val="Tahoma"/>
            <family val="2"/>
          </rPr>
          <t xml:space="preserve">Most of the studies on this issue were made in the 1990ies and before. Therfore the data from Steen, CPM report 1999:5 are used. (Available at lifecyclecenter.se) There, the elasticity used for increased emergency room visits for asthma was 1.29E-5 per person per </t>
        </r>
        <r>
          <rPr>
            <sz val="9"/>
            <color indexed="81"/>
            <rFont val="Albertus MT"/>
            <family val="1"/>
          </rPr>
          <t>μ</t>
        </r>
        <r>
          <rPr>
            <sz val="9"/>
            <color indexed="81"/>
            <rFont val="Tahoma"/>
            <family val="2"/>
          </rPr>
          <t xml:space="preserve">g/m3 and year for PM10. At a global average PM10 concentration of 60 μg/m3 and PM2.5 concentration  of 40 μg/m3, and an assumption of 1 days duration of the visit, we obtain a value of 1.29E-5*40*7.2E9
</t>
        </r>
      </text>
    </comment>
    <comment ref="F32" authorId="0" shapeId="0" xr:uid="{00000000-0006-0000-0800-00002A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32" authorId="0" shapeId="0" xr:uid="{00000000-0006-0000-0800-00002B000000}">
      <text>
        <r>
          <rPr>
            <sz val="9"/>
            <color indexed="81"/>
            <rFont val="Tahoma"/>
            <family val="2"/>
          </rPr>
          <t>Global emission of PM10 was 38 Tg 2005 according to http://edgar.jrc.ec.europa.eu/national_reported_data/htap.php. The trend was extrapolated to 40 Tg 2010. Primary emissions account for about 52% of PM2.5 in ambient air. (Gugamsetty et al, Aerosol and Air Quality Research, 12: 476–491, 2012)</t>
        </r>
      </text>
    </comment>
    <comment ref="E33" authorId="0" shapeId="0" xr:uid="{00000000-0006-0000-0800-00002C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33" authorId="0" shapeId="0" xr:uid="{00000000-0006-0000-0800-00002D000000}">
      <text>
        <r>
          <rPr>
            <sz val="9"/>
            <color indexed="81"/>
            <rFont val="Tahoma"/>
            <family val="2"/>
          </rPr>
          <t>Global emission of PM10 was 38 Tg 2005 according to http://edgar.jrc.ec.europa.eu/national_reported_data/htap.php. The trend was extrapolated to 40 Tg 2010. Primary emissions account for about 52% of PM2.5 in ambient air. (Gugamsetty et al, Aerosol and Air Quality Research, 12: 476–491, 2012)</t>
        </r>
      </text>
    </comment>
    <comment ref="G34" authorId="0" shapeId="0" xr:uid="{00000000-0006-0000-0800-00002E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5" authorId="0" shapeId="0" xr:uid="{00000000-0006-0000-0800-00002F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6" authorId="0" shapeId="0" xr:uid="{00000000-0006-0000-0800-000030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7" authorId="0" shapeId="0" xr:uid="{00000000-0006-0000-0800-000031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8" authorId="0" shapeId="0" xr:uid="{00000000-0006-0000-0800-000032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9" authorId="0" shapeId="0" xr:uid="{00000000-0006-0000-0800-000033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0" authorId="0" shapeId="0" xr:uid="{00000000-0006-0000-0800-000034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1" authorId="0" shapeId="0" xr:uid="{00000000-0006-0000-0800-000035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2" authorId="0" shapeId="0" xr:uid="{00000000-0006-0000-0800-000036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3" authorId="0" shapeId="0" xr:uid="{00000000-0006-0000-0800-000037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4" authorId="0" shapeId="0" xr:uid="{00000000-0006-0000-0800-000038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5" authorId="0" shapeId="0" xr:uid="{00000000-0006-0000-0800-000039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6" authorId="0" shapeId="0" xr:uid="{00000000-0006-0000-0800-00003A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E51" authorId="0" shapeId="0" xr:uid="{00000000-0006-0000-0800-00003B000000}">
      <text>
        <r>
          <rPr>
            <sz val="9"/>
            <color indexed="81"/>
            <rFont val="Tahoma"/>
            <family val="2"/>
          </rPr>
          <t>Steen, CPM report 1999:5, page 223</t>
        </r>
      </text>
    </comment>
    <comment ref="G51" authorId="0" shapeId="0" xr:uid="{00000000-0006-0000-0800-00003C000000}">
      <text>
        <r>
          <rPr>
            <sz val="9"/>
            <color indexed="81"/>
            <rFont val="Tahoma"/>
            <family val="2"/>
          </rPr>
          <t xml:space="preserve"> Several sources mention that BC could be a more potent toxic than average PM2.5, but no quanititative estimates have been found. In a report from the World Bank (nr 86485, Reducing Black Carbon Emissions from Diesel Vehicles: Impacts, Control Strategies, and Cost-Benefit Analysis) they write "Recent reports by the EPA and the WHO recognize associations between BC and a continuum of cardiovascular and respiratory effects but conclude that it is not currently possible to distinguish the health impacts of BC from PM (U.S. EPA. (2012) Report to Congress on Black Carbon. United States Environmental Protection Agency. EPA-450/R-12-001. March, 2012. http://www.epa.gov/blackcarbon)." Therfore, BC is given the same contribution per kg as PM2.5.</t>
        </r>
      </text>
    </comment>
    <comment ref="E52" authorId="0" shapeId="0" xr:uid="{00000000-0006-0000-0800-00003D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
/10*0,61/75*7200000000</t>
        </r>
      </text>
    </comment>
    <comment ref="F52" authorId="0" shapeId="0" xr:uid="{00000000-0006-0000-0800-00003E000000}">
      <text>
        <r>
          <rPr>
            <sz val="9"/>
            <color indexed="81"/>
            <rFont val="Tahoma"/>
            <family val="2"/>
          </rPr>
          <t xml:space="preserve">There is an uncertainty to how representative US values are to the world, partly because of population uncertainty and partly because of aorosol properties.
</t>
        </r>
      </text>
    </comment>
    <comment ref="G52" authorId="0" shapeId="0" xr:uid="{00000000-0006-0000-0800-00003F000000}">
      <text>
        <r>
          <rPr>
            <sz val="9"/>
            <color indexed="81"/>
            <rFont val="Tahoma"/>
            <family val="2"/>
          </rPr>
          <t xml:space="preserve">Global emission of BC was 5 Tg 2005 according to http://edgar.jrc.ec.europa.eu/national_reported_data/htap.php. The trend was extrapolated to 5 Tg 2010. Primary emissions seem to account for about 100% of BC in ambient air. (H. Herich, C. Hueglin, and B. Buchmann, A 2.5 year’s source apportionment study of black carbon from wood burning and fossil fuel combustion at urban and rural sites in Switzerland, Atmos. Meas. Tech., 4, 1409-1420, 2011
www.atmos-meas-tech.net/4/1409/2011/)  If BC is assumed to be as damaging as average PM 2.5, the contribution will be 2e-10 per kg. Several sources mention that BC could be a more potent toxic than average PM2.5, but no quanititative estimates have been found. In a report from the World Bank (nr 86485, Reducing Black Carbon Emissions from Diesel Vehicles: Impacts, Control Strategies, and Cost-Benefit Analysis) they write "Recent reports by the EPA and the WHO recognize associations between BC and a continuum of cardiovascular and respiratory effects but conclude that it is not currently possible to distinguish the health impacts of BC from PM2.5 (U.S. EPA. (2012) Report to Congress on Black Carbon. United States Environmental Protection Agency. EPA-450/R-12-001. March, 2012. http://www.epa.gov/blackcarbon)." </t>
        </r>
      </text>
    </comment>
    <comment ref="H52" authorId="0" shapeId="0" xr:uid="{00000000-0006-0000-0800-000040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53" authorId="0" shapeId="0" xr:uid="{00000000-0006-0000-0800-000041000000}">
      <text>
        <r>
          <rPr>
            <sz val="9"/>
            <color indexed="81"/>
            <rFont val="Tahoma"/>
            <family val="2"/>
          </rPr>
          <t xml:space="preserve">GWP for BC is 658 according to AR5 WG1 chapter 8 (Table 8.4) and global emissions.
The global emissions of BC is estimated to 5 Tg/year. </t>
        </r>
      </text>
    </comment>
    <comment ref="B55" authorId="0" shapeId="0" xr:uid="{00000000-0006-0000-0800-000042000000}">
      <text>
        <r>
          <rPr>
            <sz val="9"/>
            <color indexed="81"/>
            <rFont val="Tahoma"/>
            <family val="2"/>
          </rPr>
          <t>asthma cases are used as a proxy for the acute decreased lung capacity at episodes of exposure to higgh particle concentration</t>
        </r>
      </text>
    </comment>
    <comment ref="E55" authorId="0" shapeId="0" xr:uid="{00000000-0006-0000-0800-000043000000}">
      <text>
        <r>
          <rPr>
            <sz val="9"/>
            <color indexed="81"/>
            <rFont val="Tahoma"/>
            <family val="2"/>
          </rPr>
          <t xml:space="preserve">Most of the studies on this issue were made in the 1990ies and before. Therfore the data from Steen, CPM report 1999:5 are used. (Available at lifecyclecenter.se)
</t>
        </r>
      </text>
    </comment>
    <comment ref="F55" authorId="0" shapeId="0" xr:uid="{00000000-0006-0000-0800-000044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55" authorId="0" shapeId="0" xr:uid="{00000000-0006-0000-0800-000045000000}">
      <text>
        <r>
          <rPr>
            <sz val="9"/>
            <color indexed="81"/>
            <rFont val="Tahoma"/>
            <family val="2"/>
          </rPr>
          <t xml:space="preserve">GWP for BC is 658 according to AR5 WG1 chapter 8 (Table 8.4) and global emissions.
The global emissions of BC is estimated to 5 Tg/year. </t>
        </r>
      </text>
    </comment>
    <comment ref="E56" authorId="0" shapeId="0" xr:uid="{00000000-0006-0000-0800-000046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56" authorId="0" shapeId="0" xr:uid="{00000000-0006-0000-0800-000047000000}">
      <text>
        <r>
          <rPr>
            <sz val="9"/>
            <color indexed="81"/>
            <rFont val="Tahoma"/>
            <family val="2"/>
          </rPr>
          <t xml:space="preserve">GWP for BC is 658 according to AR5 WG1 chapter 8 (Table 8.4) and global emissions.
The global emissions of BC is estimated to 5 Tg/year. </t>
        </r>
      </text>
    </comment>
    <comment ref="G57" authorId="0" shapeId="0" xr:uid="{00000000-0006-0000-0800-000048000000}">
      <text>
        <r>
          <rPr>
            <sz val="9"/>
            <color indexed="81"/>
            <rFont val="Tahoma"/>
            <family val="2"/>
          </rPr>
          <t xml:space="preserve">GWP for BC is 658 according to AR5 WG1 chapter 8 (Table 8.4) and global emissions.
The global emissions of BC is estimated to 5 Tg/year. </t>
        </r>
      </text>
    </comment>
    <comment ref="G58" authorId="0" shapeId="0" xr:uid="{00000000-0006-0000-0800-000049000000}">
      <text>
        <r>
          <rPr>
            <sz val="9"/>
            <color indexed="81"/>
            <rFont val="Tahoma"/>
            <family val="2"/>
          </rPr>
          <t xml:space="preserve">GWP for BC is 658 according to AR5 WG1 chapter 8 (Table 8.4) and global emissions.
The global emissions of BC is estimated to 5 Tg/year. </t>
        </r>
      </text>
    </comment>
    <comment ref="G59" authorId="0" shapeId="0" xr:uid="{00000000-0006-0000-0800-00004A000000}">
      <text>
        <r>
          <rPr>
            <sz val="9"/>
            <color indexed="81"/>
            <rFont val="Tahoma"/>
            <family val="2"/>
          </rPr>
          <t xml:space="preserve">GWP for BC is 658 according to AR5 WG1 chapter 8 (Table 8.4) and global emissions.
The global emissions of BC is estimated to 5 Tg/year. </t>
        </r>
      </text>
    </comment>
    <comment ref="G60" authorId="0" shapeId="0" xr:uid="{00000000-0006-0000-0800-00004B000000}">
      <text>
        <r>
          <rPr>
            <sz val="9"/>
            <color indexed="81"/>
            <rFont val="Tahoma"/>
            <family val="2"/>
          </rPr>
          <t xml:space="preserve">GWP for BC is 658 according to AR5 WG1 chapter 8 (Table 8.4) and global emissions.
The global emissions of BC is estimated to 5 Tg/year. </t>
        </r>
      </text>
    </comment>
    <comment ref="G61" authorId="0" shapeId="0" xr:uid="{00000000-0006-0000-0800-00004C000000}">
      <text>
        <r>
          <rPr>
            <sz val="9"/>
            <color indexed="81"/>
            <rFont val="Tahoma"/>
            <family val="2"/>
          </rPr>
          <t xml:space="preserve">GWP for BC is 658 according to AR5 WG1 chapter 8 (Table 8.4) and global emissions.
The global emissions of BC is estimated to 5 Tg/year. </t>
        </r>
      </text>
    </comment>
    <comment ref="G62" authorId="0" shapeId="0" xr:uid="{00000000-0006-0000-0800-00004D000000}">
      <text>
        <r>
          <rPr>
            <sz val="9"/>
            <color indexed="81"/>
            <rFont val="Tahoma"/>
            <family val="2"/>
          </rPr>
          <t xml:space="preserve">GWP for BC is 658 according to AR5 WG1 chapter 8 (Table 8.4) and global emissions.
The global emissions of BC is estimated to 5 Tg/year. </t>
        </r>
      </text>
    </comment>
    <comment ref="G63" authorId="0" shapeId="0" xr:uid="{00000000-0006-0000-0800-00004E000000}">
      <text>
        <r>
          <rPr>
            <sz val="9"/>
            <color indexed="81"/>
            <rFont val="Tahoma"/>
            <family val="2"/>
          </rPr>
          <t xml:space="preserve">GWP for BC is 658 according to AR5 WG1 chapter 8 (Table 8.4) and global emissions.
The global emissions of BC is estimated to 5 Tg/year. </t>
        </r>
      </text>
    </comment>
    <comment ref="G64" authorId="0" shapeId="0" xr:uid="{00000000-0006-0000-0800-00004F000000}">
      <text>
        <r>
          <rPr>
            <sz val="9"/>
            <color indexed="81"/>
            <rFont val="Tahoma"/>
            <family val="2"/>
          </rPr>
          <t xml:space="preserve">GWP for BC is 658 according to AR5 WG1 chapter 8 (Table 8.4) and global emissions.
The global emissions of BC is estimated to 5 Tg/year. </t>
        </r>
      </text>
    </comment>
    <comment ref="G65" authorId="0" shapeId="0" xr:uid="{00000000-0006-0000-0800-000050000000}">
      <text>
        <r>
          <rPr>
            <sz val="9"/>
            <color indexed="81"/>
            <rFont val="Tahoma"/>
            <family val="2"/>
          </rPr>
          <t xml:space="preserve">GWP for BC is 658 according to AR5 WG1 chapter 8 (Table 8.4) and global emissions.
The global emissions of BC is estimated to 5 Tg/year. </t>
        </r>
      </text>
    </comment>
    <comment ref="G66" authorId="0" shapeId="0" xr:uid="{00000000-0006-0000-0800-000051000000}">
      <text>
        <r>
          <rPr>
            <sz val="9"/>
            <color indexed="81"/>
            <rFont val="Tahoma"/>
            <family val="2"/>
          </rPr>
          <t xml:space="preserve">GWP for BC is 658 according to AR5 WG1 chapter 8 (Table 8.4) and global emissions.
The global emissions of BC is estimated to 5 Tg/year. </t>
        </r>
      </text>
    </comment>
    <comment ref="G67" authorId="0" shapeId="0" xr:uid="{00000000-0006-0000-0800-000052000000}">
      <text>
        <r>
          <rPr>
            <sz val="9"/>
            <color indexed="81"/>
            <rFont val="Tahoma"/>
            <family val="2"/>
          </rPr>
          <t xml:space="preserve">GWP for BC is 658 according to AR5 WG1 chapter 8 (Table 8.4) and global emissions.
The global emissions of BC is estimated to 5 Tg/year. </t>
        </r>
      </text>
    </comment>
    <comment ref="G68" authorId="0" shapeId="0" xr:uid="{00000000-0006-0000-0800-000053000000}">
      <text>
        <r>
          <rPr>
            <sz val="9"/>
            <color indexed="81"/>
            <rFont val="Tahoma"/>
            <family val="2"/>
          </rPr>
          <t xml:space="preserve">GWP for BC is 658 according to AR5 WG1 chapter 8 (Table 8.4) and global emissions.
The global emissions of BC is estimated to 5 Tg/year. </t>
        </r>
      </text>
    </comment>
    <comment ref="G69" authorId="0" shapeId="0" xr:uid="{00000000-0006-0000-0800-000054000000}">
      <text>
        <r>
          <rPr>
            <sz val="9"/>
            <color indexed="81"/>
            <rFont val="Tahoma"/>
            <family val="2"/>
          </rPr>
          <t xml:space="preserve">GWP for BC is 658 according to AR5 WG1 chapter 8 (Table 8.4) and global emissions.
The global emissions of BC is estimated to 5 Tg/year. </t>
        </r>
      </text>
    </comment>
    <comment ref="E73" authorId="0" shapeId="0" xr:uid="{00000000-0006-0000-0800-000055000000}">
      <text>
        <r>
          <rPr>
            <sz val="9"/>
            <color indexed="81"/>
            <rFont val="Tahoma"/>
            <family val="2"/>
          </rPr>
          <t>Steen, CPM report 1999:5, page 223</t>
        </r>
      </text>
    </comment>
    <comment ref="G73" authorId="0" shapeId="0" xr:uid="{00000000-0006-0000-0800-000056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E74" authorId="0" shapeId="0" xr:uid="{00000000-0006-0000-0800-000057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
/10*0,61/75*7200000000</t>
        </r>
      </text>
    </comment>
    <comment ref="F74" authorId="0" shapeId="0" xr:uid="{00000000-0006-0000-0800-000058000000}">
      <text>
        <r>
          <rPr>
            <sz val="9"/>
            <color indexed="81"/>
            <rFont val="Tahoma"/>
            <family val="2"/>
          </rPr>
          <t xml:space="preserve">There is an uncertainty to how representative US values are to the world, partly because of population uncertainty and partly because of aorosol properties.
</t>
        </r>
      </text>
    </comment>
    <comment ref="G74" authorId="0" shapeId="0" xr:uid="{00000000-0006-0000-0800-000059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H74" authorId="0" shapeId="0" xr:uid="{00000000-0006-0000-0800-00005A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75" authorId="0" shapeId="0" xr:uid="{00000000-0006-0000-0800-00005B000000}">
      <text>
        <r>
          <rPr>
            <sz val="9"/>
            <color indexed="81"/>
            <rFont val="Tahoma"/>
            <family val="2"/>
          </rPr>
          <t xml:space="preserve">GWP for OC is -66.4 according to AR5 WG1 chapter 8 (Table 8.4) and global emissions.
. </t>
        </r>
      </text>
    </comment>
    <comment ref="B77" authorId="0" shapeId="0" xr:uid="{00000000-0006-0000-0800-00005C000000}">
      <text>
        <r>
          <rPr>
            <sz val="9"/>
            <color indexed="81"/>
            <rFont val="Tahoma"/>
            <family val="2"/>
          </rPr>
          <t>asthma cases are used as a proxy for the acute decreased lung capacity at episodes of exposure to higgh particle concentration</t>
        </r>
      </text>
    </comment>
    <comment ref="E77" authorId="0" shapeId="0" xr:uid="{00000000-0006-0000-0800-00005D000000}">
      <text>
        <r>
          <rPr>
            <sz val="9"/>
            <color indexed="81"/>
            <rFont val="Tahoma"/>
            <family val="2"/>
          </rPr>
          <t xml:space="preserve">Most of the studies on this issue were made in the 1990ies and before. Therfore the data from Steen, CPM report 1999:5 are used. (Available at lifecyclecenter.se)
</t>
        </r>
      </text>
    </comment>
    <comment ref="F77" authorId="0" shapeId="0" xr:uid="{00000000-0006-0000-0800-00005E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77" authorId="0" shapeId="0" xr:uid="{00000000-0006-0000-0800-00005F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E78" authorId="0" shapeId="0" xr:uid="{00000000-0006-0000-0800-000060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78" authorId="0" shapeId="0" xr:uid="{00000000-0006-0000-0800-000061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G79" authorId="0" shapeId="0" xr:uid="{00000000-0006-0000-0800-000062000000}">
      <text>
        <r>
          <rPr>
            <sz val="9"/>
            <color indexed="81"/>
            <rFont val="Tahoma"/>
            <family val="2"/>
          </rPr>
          <t xml:space="preserve">GWP for OC is -66.4 according to AR5 WG1 chapter 8 (Table 8.4) and global emissions.
. </t>
        </r>
      </text>
    </comment>
    <comment ref="G80" authorId="0" shapeId="0" xr:uid="{00000000-0006-0000-0800-000063000000}">
      <text>
        <r>
          <rPr>
            <sz val="9"/>
            <color indexed="81"/>
            <rFont val="Tahoma"/>
            <family val="2"/>
          </rPr>
          <t xml:space="preserve">GWP for OC is -66.4 according to AR5 WG1 chapter 8 (Table 8.4) and global emissions.
. </t>
        </r>
      </text>
    </comment>
    <comment ref="G81" authorId="0" shapeId="0" xr:uid="{00000000-0006-0000-0800-000064000000}">
      <text>
        <r>
          <rPr>
            <sz val="9"/>
            <color indexed="81"/>
            <rFont val="Tahoma"/>
            <family val="2"/>
          </rPr>
          <t xml:space="preserve">GWP for OC is -66.4 according to AR5 WG1 chapter 8 (Table 8.4) and global emissions.
. </t>
        </r>
      </text>
    </comment>
    <comment ref="G82" authorId="0" shapeId="0" xr:uid="{00000000-0006-0000-0800-000065000000}">
      <text>
        <r>
          <rPr>
            <sz val="9"/>
            <color indexed="81"/>
            <rFont val="Tahoma"/>
            <family val="2"/>
          </rPr>
          <t xml:space="preserve">GWP for OC is -66.4 according to AR5 WG1 chapter 8 (Table 8.4) and global emissions.
. </t>
        </r>
      </text>
    </comment>
    <comment ref="G83" authorId="0" shapeId="0" xr:uid="{00000000-0006-0000-0800-000066000000}">
      <text>
        <r>
          <rPr>
            <sz val="9"/>
            <color indexed="81"/>
            <rFont val="Tahoma"/>
            <family val="2"/>
          </rPr>
          <t xml:space="preserve">GWP for OC is -66.4 according to AR5 WG1 chapter 8 (Table 8.4) and global emissions.
. </t>
        </r>
      </text>
    </comment>
    <comment ref="G84" authorId="0" shapeId="0" xr:uid="{00000000-0006-0000-0800-000067000000}">
      <text>
        <r>
          <rPr>
            <sz val="9"/>
            <color indexed="81"/>
            <rFont val="Tahoma"/>
            <family val="2"/>
          </rPr>
          <t xml:space="preserve">GWP for OC is -66.4 according to AR5 WG1 chapter 8 (Table 8.4) and global emissions.
. </t>
        </r>
      </text>
    </comment>
    <comment ref="G85" authorId="0" shapeId="0" xr:uid="{00000000-0006-0000-0800-000068000000}">
      <text>
        <r>
          <rPr>
            <sz val="9"/>
            <color indexed="81"/>
            <rFont val="Tahoma"/>
            <family val="2"/>
          </rPr>
          <t xml:space="preserve">GWP for OC is -66.4 according to AR5 WG1 chapter 8 (Table 8.4) and global emissions.
. </t>
        </r>
      </text>
    </comment>
    <comment ref="G86" authorId="0" shapeId="0" xr:uid="{00000000-0006-0000-0800-000069000000}">
      <text>
        <r>
          <rPr>
            <sz val="9"/>
            <color indexed="81"/>
            <rFont val="Tahoma"/>
            <family val="2"/>
          </rPr>
          <t xml:space="preserve">GWP for OC is -66.4 according to AR5 WG1 chapter 8 (Table 8.4) and global emissions.
. </t>
        </r>
      </text>
    </comment>
    <comment ref="G87" authorId="0" shapeId="0" xr:uid="{00000000-0006-0000-0800-00006A000000}">
      <text>
        <r>
          <rPr>
            <sz val="9"/>
            <color indexed="81"/>
            <rFont val="Tahoma"/>
            <family val="2"/>
          </rPr>
          <t xml:space="preserve">GWP for OC is -66.4 according to AR5 WG1 chapter 8 (Table 8.4) and global emissions.
. </t>
        </r>
      </text>
    </comment>
    <comment ref="G88" authorId="0" shapeId="0" xr:uid="{00000000-0006-0000-0800-00006B000000}">
      <text>
        <r>
          <rPr>
            <sz val="9"/>
            <color indexed="81"/>
            <rFont val="Tahoma"/>
            <family val="2"/>
          </rPr>
          <t xml:space="preserve">GWP for OC is -66.4 according to AR5 WG1 chapter 8 (Table 8.4) and global emissions.
. </t>
        </r>
      </text>
    </comment>
    <comment ref="G89" authorId="0" shapeId="0" xr:uid="{00000000-0006-0000-0800-00006C000000}">
      <text>
        <r>
          <rPr>
            <sz val="9"/>
            <color indexed="81"/>
            <rFont val="Tahoma"/>
            <family val="2"/>
          </rPr>
          <t xml:space="preserve">GWP for OC is -66.4 according to AR5 WG1 chapter 8 (Table 8.4) and global emissions.
. </t>
        </r>
      </text>
    </comment>
    <comment ref="G90" authorId="0" shapeId="0" xr:uid="{00000000-0006-0000-0800-00006D000000}">
      <text>
        <r>
          <rPr>
            <sz val="9"/>
            <color indexed="81"/>
            <rFont val="Tahoma"/>
            <family val="2"/>
          </rPr>
          <t xml:space="preserve">GWP for OC is -66.4 according to AR5 WG1 chapter 8 (Table 8.4) and global emissions.
. </t>
        </r>
      </text>
    </comment>
    <comment ref="G91" authorId="0" shapeId="0" xr:uid="{00000000-0006-0000-0800-00006E000000}">
      <text>
        <r>
          <rPr>
            <sz val="9"/>
            <color indexed="81"/>
            <rFont val="Tahoma"/>
            <family val="2"/>
          </rPr>
          <t xml:space="preserve">GWP for OC is -66.4 according to AR5 WG1 chapter 8 (Table 8.4) and global emissions.
. </t>
        </r>
      </text>
    </comment>
    <comment ref="E94" authorId="0" shapeId="0" xr:uid="{00000000-0006-0000-0800-00006F000000}">
      <text>
        <r>
          <rPr>
            <sz val="9"/>
            <color indexed="81"/>
            <rFont val="Tahoma"/>
            <family val="2"/>
          </rPr>
          <t>USEPA estimates the lifetime risk for cancer to be 4.3E-3 /</t>
        </r>
        <r>
          <rPr>
            <sz val="9"/>
            <color indexed="81"/>
            <rFont val="Albertus MT"/>
            <family val="1"/>
          </rPr>
          <t>μ</t>
        </r>
        <r>
          <rPr>
            <sz val="9"/>
            <color indexed="81"/>
            <rFont val="Tahoma"/>
            <family val="2"/>
          </rPr>
          <t>g/m3 of As in air (2012) The mortality for lung cancer in the is  83%. (National Cancer Institute, http://seer.cancer.gov). The marginal  reduction of life expectancy is estimated to 5.8 years based on WHO estimates of global YOLL/years for different age groups and an average life expectancy of 70 years. 
The fate of an As particle are assumed to be the same as an average PM10 particle. The global emission of PM10 is estimated to 63 Tg/yr and the global average PM10 concentration to 61 μg/m3. (See model for PM10). Primary emissions contribute by 40% to the total particle mass. This means that 1 kg of As emitted to air will result in a concentration of 1E-9 μg/m3 and an impact of 4.3E-3*0.83*5.8*0.4*1E-9/70*7.2E9=8.52E-4 YOLL per year.</t>
        </r>
      </text>
    </comment>
    <comment ref="E95" authorId="0" shapeId="0" xr:uid="{00000000-0006-0000-0800-000070000000}">
      <text>
        <r>
          <rPr>
            <sz val="9"/>
            <color indexed="81"/>
            <rFont val="Tahoma"/>
            <family val="2"/>
          </rPr>
          <t>Lifetime risk is 0.01 per ug/m3. (ESPREME, 2007, Exposure response functions for HM impacts on human health) The marginal  reduction of life expectancy is estimated to 5.0 years based on WHO estimates of global YOLL/years for different age groups and an average life expectancy of 70 years.
The fate of an As particle are assumed to be the same as an average PM10 particle. The global emission of PM10 is estimated to 63 Tg/yr and the global average PM10 concentration to 61 μg/m3. (See model for PM10). Primary emissions contribute by 40% to the total particle mass. This means that 1 kg of As emitted to air will result in a concentration of 1E-9 μg/m3 and an impact of 0.01*5*0.4*1E-9/70*7.2E9=2.06E-3 YOLL per year.</t>
        </r>
      </text>
    </comment>
    <comment ref="E96" authorId="0" shapeId="0" xr:uid="{00000000-0006-0000-0800-000071000000}">
      <text>
        <r>
          <rPr>
            <sz val="9"/>
            <color indexed="81"/>
            <rFont val="Tahoma"/>
            <family val="2"/>
          </rPr>
          <t xml:space="preserve">An average morbidity time of three years is assumed
</t>
        </r>
      </text>
    </comment>
    <comment ref="E100" authorId="0" shapeId="0" xr:uid="{00000000-0006-0000-0800-000072000000}">
      <text>
        <r>
          <rPr>
            <sz val="9"/>
            <color indexed="81"/>
            <rFont val="Tahoma"/>
            <family val="2"/>
          </rPr>
          <t>USEPA estimates the lifetime risk for cancer to be 1.8E-3 /</t>
        </r>
        <r>
          <rPr>
            <sz val="9"/>
            <color indexed="81"/>
            <rFont val="Albertus MT"/>
            <family val="1"/>
          </rPr>
          <t>μ</t>
        </r>
        <r>
          <rPr>
            <sz val="9"/>
            <color indexed="81"/>
            <rFont val="Tahoma"/>
            <family val="2"/>
          </rPr>
          <t>g/m3 of Cd in air (2012) The mortality for all sorts of cancer in the US was 34 % 2011. (National Cancer Institute, http://seer.cancer.gov).  The average reduction of life expectancy is estimated to 24 years. The global average life expectancy is 70 years.
The fate of an Cd particle is assumed to be the same as an average PM10 particle. The global emission of PM10 is estimated to 63 Tg/yr and the global average PM10 concentration to 61 μg/m3. (See model for PM10). This means that 1 kg of Cd emitted to air will result in a concentration of 1E-9 μg/m3 and an impact of 1.8E-3*0.34*24*1E-9/70*7.2E9 = 1.51E-2 YOLL per year.</t>
        </r>
      </text>
    </comment>
    <comment ref="E101" authorId="0" shapeId="0" xr:uid="{00000000-0006-0000-0800-000073000000}">
      <text>
        <r>
          <rPr>
            <sz val="9"/>
            <color indexed="81"/>
            <rFont val="Tahoma"/>
            <family val="2"/>
          </rPr>
          <t>USEPA estimates the lifetime risk for cancer to be 1.8E-3 /</t>
        </r>
        <r>
          <rPr>
            <sz val="9"/>
            <color indexed="81"/>
            <rFont val="Albertus MT"/>
            <family val="1"/>
          </rPr>
          <t>μ</t>
        </r>
        <r>
          <rPr>
            <sz val="9"/>
            <color indexed="81"/>
            <rFont val="Tahoma"/>
            <family val="2"/>
          </rPr>
          <t>g/m3 of Cd in air (2012) The mortality for all sorts of cancer in the US was 34 % 2011. (National Cancer Institute, http://seer.cancer.gov).  The average morbidity time is estimated to 3 years. The global average life expectancy is 70 years.
The fate of an Cd particle is assumed to be the same as an average PM10 particle. The global emission of PM10 is estimated to 63 Tg/yr and the global average PM10 concentration to 61 μg/m3. (See model for PM10). This means that 1 kg of Cd emitted to air will result in a concentration of 1E-9 μg/m3 and an impact of 1.8E-3*0.66*3*1E-9/70*7.2E9 = 3.67E-3 YOLL per year.</t>
        </r>
      </text>
    </comment>
    <comment ref="E105" authorId="0" shapeId="0" xr:uid="{00000000-0006-0000-0800-000074000000}">
      <text>
        <r>
          <rPr>
            <sz val="9"/>
            <color indexed="81"/>
            <rFont val="Tahoma"/>
            <family val="2"/>
          </rPr>
          <t>The cancer risk of CrVI+ has been estimated by WHO (INTERNATIONAL PROGRAMME ON CHEMICAL SAFETY, Concise International Chemical Assessment Document 78, 2013) to be in the order of 4·10-2 /</t>
        </r>
        <r>
          <rPr>
            <sz val="9"/>
            <color indexed="81"/>
            <rFont val="Albertus MT"/>
            <family val="1"/>
          </rPr>
          <t>μ</t>
        </r>
        <r>
          <rPr>
            <sz val="9"/>
            <color indexed="81"/>
            <rFont val="Tahoma"/>
            <family val="2"/>
          </rPr>
          <t>g/m3 expressed as a lifetime unit risk. The hexavalent part of Cr in ambient air is not known in a global context but was estimated by Scott et al (Scott, P.K., Finley, B.L., Harris, M.A. and Rabbe, D.R., (1997)  "Background Air Concentrations of Cr(VI) in Hudson County, New Yersey: Implications for setting Health based Standards for Cr(VI) in Soil", J. Air &amp; Waste Manage. Assoc., Vol 47, p.592-600) in New Jersey as an average to 26%.
The mortality for lung cancer is  83%. (National Cancer Institute, http://seer.cancer.gov). The marginal  reduction of life expectancy is estimated to 5.8 years based on WHO estimates of global YOLL/years for age groups below 70 years and an average life expectancy of 70 years. 
The fate of a Cr particle is assumed to be the same as an average PM10 particle. The global emission of PM10 is estimated to 63 Tg/yr and the global average PM10 concentration to 61 μg/m3. (See model for PM10). Primary particles contribute to 40% of the ambient particle mass. This means that 1 kg of Cr emitted to air will result in a concentration of 1E-9 μg/m3 and an impact of 0.26*4E-2*0.83*5.8*1E-9*0.4/70*7.2E9 = 2.06E-3 YOLL per year.</t>
        </r>
      </text>
    </comment>
    <comment ref="E106" authorId="0" shapeId="0" xr:uid="{00000000-0006-0000-0800-000075000000}">
      <text>
        <r>
          <rPr>
            <sz val="9"/>
            <color indexed="81"/>
            <rFont val="Tahoma"/>
            <family val="2"/>
          </rPr>
          <t>The cancer risk of CrVI+ has been estimated by EPA to be in the order of 1.2 10-2 /</t>
        </r>
        <r>
          <rPr>
            <sz val="9"/>
            <color indexed="81"/>
            <rFont val="Albertus MT"/>
            <family val="1"/>
          </rPr>
          <t>μ</t>
        </r>
        <r>
          <rPr>
            <sz val="9"/>
            <color indexed="81"/>
            <rFont val="Tahoma"/>
            <family val="2"/>
          </rPr>
          <t>g/m3 expressed as a lifetime unit risk. The hexavalent part of this is not known in a global contexts but was estimated by Scott et al (Scott, P.K., Finley, B.L., Harris, M.A. and Rabbe, D.R., (1997)  "Background Air Concentrations of Cr(VI) in Hudson County, New Yersey: Implications for setting Health based Standards for Cr(VI) in Soil", J. Air &amp; Waste Manage. Assoc., Vol 47, p.592-600) in New Jersey as an average to 26%.
The mortality for lung cancer is 83 %. (National Cancer Institute, http://seer.cancer.gov).  The average disability is estimated to 3 years. 
The fate of a Cr particle is assumed to be the same as an average PM10 particle. The global emission of PM10 is estimated to 63 Tg/yr and the global average PM10 concentration to 61 μg/m3. (See model for PM10). Primary particles contribute to 40% of the ambient particle mass. This means that 1 kg of Cr emitted to air will result in a concentration of 1E-9 μg/m3 and an impact of 0.26*4E-2*0.17*3*1E-9*0.4/70*7.2E9 = 2.18E-4 YOLL per year.</t>
        </r>
      </text>
    </comment>
    <comment ref="E107" authorId="0" shapeId="0" xr:uid="{00000000-0006-0000-0800-000076000000}">
      <text>
        <r>
          <rPr>
            <sz val="9"/>
            <color indexed="81"/>
            <rFont val="Tahoma"/>
            <family val="2"/>
          </rPr>
          <t>The cancer risk of CrVI+ has been estimated by EPA to be in the order of 1.2 10-2 /</t>
        </r>
        <r>
          <rPr>
            <sz val="9"/>
            <color indexed="81"/>
            <rFont val="Albertus MT"/>
            <family val="1"/>
          </rPr>
          <t>μ</t>
        </r>
        <r>
          <rPr>
            <sz val="9"/>
            <color indexed="81"/>
            <rFont val="Tahoma"/>
            <family val="2"/>
          </rPr>
          <t>g/m3 expressed as a lifetime unit risk. The hexavalent part of this is not known in a global contexts but was estimated by Scott et al (Scott, P.K., Finley, B.L., Harris, M.A. and Rabbe, D.R., (1997)  "Background Air Concentrations of Cr(VI) in Hudson County, New Yersey: Implications for setting Health based Standards for Cr(VI) in Soil", J. Air &amp; Waste Manage. Assoc., Vol 47, p.592-600) in New Jersey as an average to 26%.
The mortality for lung cancer is 83 %. (National Cancer Institute, http://seer.cancer.gov).  The average disability is estimated to 3 years. 
The fate of a Cr particle is assumed to be the same as an average PM10 particle. The global emission of PM10 is estimated to 63 Tg/yr and the global average PM10 concentration to 61 μg/m3. (See model for PM10). Primary particles contribute to 40% of the ambient particle mass. This means that 1 kg of Cr emitted to air will result in a concentration of 1E-9 μg/m3 and an impact of 0.26*4E-2*0.17*3*1E-9*0.4/70*7.2E9 = 2.18E-4 YOLL per year.</t>
        </r>
      </text>
    </comment>
    <comment ref="E109" authorId="0" shapeId="0" xr:uid="{00000000-0006-0000-0800-000077000000}">
      <text>
        <r>
          <rPr>
            <sz val="9"/>
            <color indexed="81"/>
            <rFont val="Tahoma"/>
            <family val="2"/>
          </rPr>
          <t>The rate of soil mineralisation is decreased at increased Cu concentration, but in the long run a new steady state is
formed, with thicker soil layer and  equal release nutrients.</t>
        </r>
      </text>
    </comment>
    <comment ref="E111" authorId="0" shapeId="0" xr:uid="{00000000-0006-0000-0800-000078000000}">
      <text>
        <r>
          <rPr>
            <sz val="9"/>
            <color indexed="81"/>
            <rFont val="Tahoma"/>
            <family val="2"/>
          </rPr>
          <t>The lifetime risk for cancer to be 3.8x10-4/ugm-3 of Ni in air (ESPREME 2008) The mortality for lung cancer is  83%. (National Cancer Institute, http://seer.cancer.gov). The marginal  reduction of life expectancy is estimated to 5.8 years based on WHO estimates of global YOLL/years for different age groups and an average life expectancy of 70 years. 
The fate of an Ni particle is assumed to be the same as an average PM10 particle. The global emission of PM10 is estimated to 63 Tg/yr and the global average PM10 concentration to 61 μg/m3. (See model for PM10). Primary particles contribute to 40% of the ambient particle mass. This means that 1 kg of Ni emitted to air will result in a concentration of 1E-9 μg/m3 and an impact of 3.8E-4*0.83*5.8*1E-9*0.4/70*7.2E9 = 7.53E-5 YOLL per year.</t>
        </r>
      </text>
    </comment>
    <comment ref="E112" authorId="0" shapeId="0" xr:uid="{00000000-0006-0000-0800-000079000000}">
      <text>
        <r>
          <rPr>
            <sz val="9"/>
            <color indexed="81"/>
            <rFont val="Tahoma"/>
            <family val="2"/>
          </rPr>
          <t>The lifetime risk for cancer to be 3.8x10-4/ugm-3 of Ni in air (ESPREME 2008) The mortality for all sorts of cancer in the US was 34 % 2011. (National Cancer Institute, http://seer.cancer.gov).  The average reduction of life expectancy is estimated to 24 years. The global average life expectancy is 70 years.
The fate of an Ni particle is assumed to be the same as an average PM10 particle. The global emission of PM10 is estimated to 63 Tg/yr and the global average PM10 concentration to 61 μg/m3. (See model for PM10). Primary particles contribute to 40% of the ambient particle mass. This means that 1 kg of Ni emitted to air will result in a concentration of 1E-9 μg/m3 and an impact of 3.8E-4*0.17*3*1E-9*0.4/70*7.2E9 = 7.97E-6 personyears per year.</t>
        </r>
      </text>
    </comment>
    <comment ref="E113" authorId="0" shapeId="0" xr:uid="{00000000-0006-0000-0800-00007A000000}">
      <text>
        <r>
          <rPr>
            <sz val="9"/>
            <color indexed="81"/>
            <rFont val="Tahoma"/>
            <family val="2"/>
          </rPr>
          <t>The rate of soil mineralisation is decreased at increased Cu concentration, but in the long run a new steady state is
formed, with thicker soil layer and  equal release nutrients.</t>
        </r>
      </text>
    </comment>
    <comment ref="E116" authorId="0" shapeId="0" xr:uid="{00000000-0006-0000-0800-00007B000000}">
      <text>
        <r>
          <rPr>
            <sz val="9"/>
            <color indexed="81"/>
            <rFont val="Tahoma"/>
            <family val="2"/>
          </rPr>
          <t xml:space="preserve">"Lead exposure in children is linked to a lowering of their IQ. Epidemiological studies consistently find adverse effects in children at blood lead levels down to10 μg/dl. Recent studies reported lead-induced IQ decrements in children with blood lead levels below 10 μg/dl. There is presently no known threshold for the effect of lead. Available data indicate a substantial falling trend in environmental lead exposure in many developed countries mainly due to the elimination of lead from petrol, but also to reductions in other sources of exposure (e.g., lead in paint, lead in drinking water and lead in soldered cans). Thus, in the United States of America in the 1970s, over 80 per cent of children had blood lead levels (Pb-B) exceeding 10 μg/dl, but, in a 1999–2002 study, fewer than 2 per cent exceeded this level" (Cited from UNEP, Final review of scientific information on lead, Version of December 2010) Leaded gasoline is expected by UNEP to be completely phased out 2013. Studies by USEPA show that all sites where lead is monitored measure concentrations below 0.15 ug/m3. According to the EU ESPREME project, the dose respons function for lead is 0.1 IQ-point per ug/m3. As we use DALY-categories for health impacts, there is no contribution to the category "mild mental retardation" from these exposures. Therefore the impact from lead air emissions are expected to be very low and restricted to a few locations of point sources like smelters. The number of affected persons would then at maximum be in the order of ten thousands or 100 thousands. 
</t>
        </r>
      </text>
    </comment>
    <comment ref="G116" authorId="0" shapeId="0" xr:uid="{00000000-0006-0000-0800-00007C000000}">
      <text>
        <r>
          <rPr>
            <sz val="9"/>
            <color indexed="81"/>
            <rFont val="Tahoma"/>
            <family val="2"/>
          </rPr>
          <t>The most recent study of total anthropogenic atmospheric emissions estimated the total emissions in the mid-1990s at 120,000 tonnes, of which 89,000 tonnes originated from the use of petrol additives. Besides fuel additives, non-ferrous metal production and coal combustion were the major sources.
The global consumption of lead for manufacturing of petrol additives decreased from 31,500 tonnes in 1998 to 14,400 tonnes in 2003 and is supposed to be phased out by now.</t>
        </r>
      </text>
    </comment>
    <comment ref="E117" authorId="0" shapeId="0" xr:uid="{00000000-0006-0000-0800-00007D000000}">
      <text>
        <r>
          <rPr>
            <sz val="9"/>
            <color indexed="81"/>
            <rFont val="Tahoma"/>
            <family val="2"/>
          </rPr>
          <t>The rate of soil mineralisation is decreased at increased Pb concentration, but in the long run a new steady state is
formed, with thicker soil layer and  equal release nutrients.</t>
        </r>
      </text>
    </comment>
    <comment ref="E122" authorId="0" shapeId="0" xr:uid="{00000000-0006-0000-0800-00007E000000}">
      <text>
        <r>
          <rPr>
            <sz val="9"/>
            <color indexed="81"/>
            <rFont val="Tahoma"/>
            <family val="2"/>
          </rPr>
          <t>Globally, incremental lifetime lung cancer risk (ILCR) induced by ambient PAH exposure is 3.1E−5. (Huizhong Shen, Shu Tao, Junfeng Liu, Ye Huang, Han Chen, Wei Li, Yanyan Zhang,   Yuanchen Chen, Shu Su, Nan Lin, Yinyin Xu,    Bengang Li, Xilong Wang &amp; Wenxin Liu 
Global lung cancer risk from PAH exposure highly depends on emission sources and individual susceptibility, Nature, Scientific Reports 4, Article Number: 6561 doi:10.1038/srep06561, Oct 2014)</t>
        </r>
      </text>
    </comment>
    <comment ref="G122" authorId="0" shapeId="0" xr:uid="{00000000-0006-0000-0800-00007F000000}">
      <text>
        <r>
          <rPr>
            <sz val="9"/>
            <color indexed="81"/>
            <rFont val="Tahoma"/>
            <family val="2"/>
          </rPr>
          <t xml:space="preserve">Yanxu Zhang and Shu Tao, (global atmospheric emission inventory of polycyclic aromatic hydrocarbons (PAHs) for 2004, Atmospheric Environment Volume 43, Issue 4, February 2009, Pages 812–819) estimated the global PAH16 emission to 520 Gg/yr.
</t>
        </r>
      </text>
    </comment>
    <comment ref="E123" authorId="0" shapeId="0" xr:uid="{00000000-0006-0000-0800-000080000000}">
      <text>
        <r>
          <rPr>
            <sz val="9"/>
            <color indexed="81"/>
            <rFont val="Tahoma"/>
            <family val="2"/>
          </rPr>
          <t>Globally, incremental lifetime lung cancer risk (ILCR) induced by ambient PAH exposure is 3.1E−5. (Huizhong Shen, Shu Tao, Junfeng Liu, Ye Huang, Han Chen, Wei Li, Yanyan Zhang,   Yuanchen Chen, Shu Su, Nan Lin, Yinyin Xu,    Bengang Li, Xilong Wang &amp; Wenxin Liu 
Global lung cancer risk from PAH exposure highly depends on emission sources and individual susceptibility, Nature, Scientific Reports 4, Article Number: 6561 doi:10.1038/srep06561, Oct 2014)</t>
        </r>
      </text>
    </comment>
    <comment ref="G123" authorId="0" shapeId="0" xr:uid="{00000000-0006-0000-0800-000081000000}">
      <text>
        <r>
          <rPr>
            <sz val="9"/>
            <color indexed="81"/>
            <rFont val="Tahoma"/>
            <family val="2"/>
          </rPr>
          <t xml:space="preserve">Yanxu Zhang and Shu Tao, (global atmospheric emission inventory of polycyclic aromatic hydrocarbons (PAHs) for 2004, Atmospheric Environment Volume 43, Issue 4, February 2009, Pages 812–819) estimated the global PAH16 emission to 520 Gg/yr.
</t>
        </r>
      </text>
    </comment>
    <comment ref="E126" authorId="0" shapeId="0" xr:uid="{00000000-0006-0000-0800-000082000000}">
      <text>
        <r>
          <rPr>
            <sz val="9"/>
            <color indexed="81"/>
            <rFont val="Tahoma"/>
            <family val="2"/>
          </rPr>
          <t xml:space="preserve">Today there is not sufficient evidence to classify TCDD as a human carcinogen (Boffetta P1, Mundt KA, Adami HO, Cole P, Mandel JS, Crit Rev Toxicol. 2011 Aug;41(7):622-36.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D1" authorId="0" shapeId="0" xr:uid="{00000000-0006-0000-0900-000001000000}">
      <text>
        <r>
          <rPr>
            <sz val="8"/>
            <color indexed="81"/>
            <rFont val="Tahoma"/>
            <family val="2"/>
          </rPr>
          <t xml:space="preserve">GWP100 including feedback mechanisms (IPCC AR5 WGI Table 8SM16)
</t>
        </r>
      </text>
    </comment>
    <comment ref="F1" authorId="0" shapeId="0" xr:uid="{00000000-0006-0000-0900-000002000000}">
      <text>
        <r>
          <rPr>
            <sz val="9"/>
            <color indexed="81"/>
            <rFont val="Tahoma"/>
            <family val="2"/>
          </rPr>
          <t xml:space="preserve">WMO 2006
</t>
        </r>
      </text>
    </comment>
    <comment ref="D4" authorId="0" shapeId="0" xr:uid="{00000000-0006-0000-0900-000003000000}">
      <text>
        <r>
          <rPr>
            <sz val="8"/>
            <color indexed="81"/>
            <rFont val="Tahoma"/>
            <family val="2"/>
          </rPr>
          <t xml:space="preserve">GWP100 including feedback mechanisms (IPCC AR5 WGI Table 8SM16)
</t>
        </r>
      </text>
    </comment>
    <comment ref="E4" authorId="0" shapeId="0" xr:uid="{00000000-0006-0000-0900-000004000000}">
      <text>
        <r>
          <rPr>
            <sz val="9"/>
            <color indexed="81"/>
            <rFont val="Tahoma"/>
            <family val="2"/>
          </rPr>
          <t>There are indirect but highly uncertain effects on stratospheric ozone, that could lower the net GWP with about 1600.(WMO, report nr 52,
SCIENTIFIC ASSESSMENT OF
OZONE DEPLETION: 2010)</t>
        </r>
      </text>
    </comment>
    <comment ref="F4" authorId="0" shapeId="0" xr:uid="{00000000-0006-0000-0900-000005000000}">
      <text>
        <r>
          <rPr>
            <sz val="9"/>
            <color indexed="81"/>
            <rFont val="Tahoma"/>
            <family val="2"/>
          </rPr>
          <t xml:space="preserve">ODP3, WMO 2006
</t>
        </r>
      </text>
    </comment>
    <comment ref="H4" authorId="0" shapeId="0" xr:uid="{00000000-0006-0000-0900-000006000000}">
      <text>
        <r>
          <rPr>
            <sz val="9"/>
            <color indexed="81"/>
            <rFont val="Tahoma"/>
            <family val="2"/>
          </rPr>
          <t xml:space="preserve">The emisssion scenario based on the copenhagen amendment to the Montreal protocol is used. For that, WHO estimates an average incidence of around 50 cases per million inhabitants per year until 2100, when excess cancer incidence cease. There are three types of skin cancer: melanoma,  squamous cell carcinoma (SCC), and basal cell carcinoma (BCC). Mortality in skin cancer is low, about 12% for melanoma and 0,2% for SCC and BCC. If applying the ratio of predicted cancer incidences for melanoma vs SCC + BCC the US (HUMAN HEALTH BENEFITS OF STRATOSPHERIC OZONE PROTECTION, USEPA April 2006) which estimate the mealnoma incidence to 2.7% of all cases, the global mortality rate until 2100 will be 50/1E6*7.2E9*88*(0.12*0.027+0.002*0.973)=1.64E5.
The average shortening of life due to cancer is 24 years. This means that there are 3.94E6 YOLLs caused by ozone depletion.
The total emission of ozone depletion substances to 2100 is estimated from a scenario made by A. R. Ravishankara, et al. (Science 326, 123 (2009)) to 22000 kton or 2.2E10 kg CFC11 equivalents. An emission of 1 kg CFC11 eqivalents therefore contributes with 3.94E6/2.2E10 YOLLs = 1.79E-4.
</t>
        </r>
      </text>
    </comment>
    <comment ref="J4" authorId="0" shapeId="0" xr:uid="{00000000-0006-0000-0900-000007000000}">
      <text>
        <r>
          <rPr>
            <sz val="9"/>
            <color indexed="81"/>
            <rFont val="Tahoma"/>
            <family val="2"/>
          </rPr>
          <t xml:space="preserve">The emisssion scenario based on the copenhagen amendment to the Montreal protocol is used. For that, WHO estimates an average incidence of around 50 cases per million inhabitants per year until 2100, when excess cancer incidence cease. There are three types of skin cancer: melanoma,  squamous cell carcinoma (SCC), and basal cell carcinoma (BCC). Mortality in skin cancer is low, about 12% for melanoma and 0,2% for SCC and BCC. If applying the ratio of predicted cancer incidences for melanoma vs SCC + BCC the US (HUMAN HEALTH BENEFITS OF STRATOSPHERIC OZONE PROTECTION, USEPA April 2006) which estimate the mealnoma incidence to 2.7% of all cases. The duration of disability due to skin cancers (Cancer: diagnosis and primary therapy) is estimated to be rather short, 1 mounth. We thus get 50/1000000*7E9/12 = 2.92E4 personyears of cancer disability.
The total emission of ozone depletion substances to 2100 is estimated from a scenario made by A. R. Ravishankara, et al. (Science 326, 123 (2009)) to 22000 kton or 2.2E10 kg CFC11 equivalents. An emission of 1 kg CFC11 eqivalents therefore contributes with 2.92E4/2.2E10 YOLLs = 1.33E-6.
</t>
        </r>
      </text>
    </comment>
    <comment ref="K4" authorId="0" shapeId="0" xr:uid="{00000000-0006-0000-0900-000008000000}">
      <text>
        <r>
          <rPr>
            <sz val="9"/>
            <color indexed="81"/>
            <rFont val="Tahoma"/>
            <family val="2"/>
          </rPr>
          <t>USEPA (PROTECTING THE OZONE LAYER PROTECTS EYESIGHT, 2010) estimates that in the US there will be 457 500 cataract cases until 2100 with the 1997 amendments to the Montreal protocol. Considering that there is a bias towards the northen part of the US in cataract frequency, the US figures canno0t directly be scaled up to represent global conditions, but in lack better assessments, it is here assumed to be relevant for people living in simailar latitudes, i.e. about 2 billion people. This means that the global cataract incidence to 2100 would be 457500/313*2000 = 2.92E6 cases. Most cataract cases are operated, but time to operation would be a year or so. An average disabled time of 2 years is assumed, in order to include thos cases that will not be operated. The total state indicator value is thus 5.85E6 personyears. 
The total emission of ozone depletion substances until 2100 is estimated from a scenario made by A. R. Ravishankara, et al. (Science 326, 123 (2009)) to 22000 kton or 2.2E10 kg CFC11 equivalents. An emission of 1 kg CFC11 eqivalents therefore contributes with 5.85E6/2.2E10 personyears = 2.66E-4</t>
        </r>
      </text>
    </comment>
    <comment ref="D5" authorId="0" shapeId="0" xr:uid="{00000000-0006-0000-0900-000009000000}">
      <text>
        <r>
          <rPr>
            <sz val="8"/>
            <color indexed="81"/>
            <rFont val="Tahoma"/>
            <family val="2"/>
          </rPr>
          <t xml:space="preserve">GWP100 including feedback mechanisms (IPCC AR5 WGI Table 8SM16)
</t>
        </r>
      </text>
    </comment>
    <comment ref="E5" authorId="0" shapeId="0" xr:uid="{00000000-0006-0000-0900-00000A000000}">
      <text>
        <r>
          <rPr>
            <sz val="9"/>
            <color indexed="81"/>
            <rFont val="Tahoma"/>
            <family val="2"/>
          </rPr>
          <t>There are indirect but highly uncertain effects on stratospheric ozone, that could lower the net GWP with about 1270
.(WMO, report nr 52,
SCIENTIFIC ASSESSMENT OF
OZONE DEPLETION: 2010)</t>
        </r>
      </text>
    </comment>
    <comment ref="F5" authorId="0" shapeId="0" xr:uid="{00000000-0006-0000-0900-00000B000000}">
      <text>
        <r>
          <rPr>
            <sz val="9"/>
            <color indexed="81"/>
            <rFont val="Tahoma"/>
            <family val="2"/>
          </rPr>
          <t xml:space="preserve">ODP3, WMO 2006
</t>
        </r>
      </text>
    </comment>
    <comment ref="H5" authorId="0" shapeId="0" xr:uid="{00000000-0006-0000-0900-00000C000000}">
      <text>
        <r>
          <rPr>
            <sz val="9"/>
            <color indexed="81"/>
            <rFont val="Tahoma"/>
            <family val="2"/>
          </rPr>
          <t xml:space="preserve">See note on CFC-11
</t>
        </r>
      </text>
    </comment>
    <comment ref="J5" authorId="0" shapeId="0" xr:uid="{00000000-0006-0000-0900-00000D000000}">
      <text>
        <r>
          <rPr>
            <sz val="9"/>
            <color indexed="81"/>
            <rFont val="Tahoma"/>
            <family val="2"/>
          </rPr>
          <t xml:space="preserve">See notes on CFC11
</t>
        </r>
      </text>
    </comment>
    <comment ref="K5" authorId="0" shapeId="0" xr:uid="{00000000-0006-0000-0900-00000E000000}">
      <text>
        <r>
          <rPr>
            <sz val="9"/>
            <color indexed="81"/>
            <rFont val="Tahoma"/>
            <family val="2"/>
          </rPr>
          <t xml:space="preserve">See notes on CFC11
</t>
        </r>
      </text>
    </comment>
    <comment ref="D6" authorId="0" shapeId="0" xr:uid="{00000000-0006-0000-0900-00000F000000}">
      <text>
        <r>
          <rPr>
            <sz val="8"/>
            <color indexed="81"/>
            <rFont val="Tahoma"/>
            <family val="2"/>
          </rPr>
          <t xml:space="preserve">GWP100 including feedback mechanisms (IPCC AR5 WGI Table 8SM16)
</t>
        </r>
      </text>
    </comment>
    <comment ref="F6" authorId="0" shapeId="0" xr:uid="{00000000-0006-0000-0900-000010000000}">
      <text>
        <r>
          <rPr>
            <sz val="8"/>
            <color indexed="81"/>
            <rFont val="Tahoma"/>
            <family val="2"/>
          </rPr>
          <t xml:space="preserve">assumed value
</t>
        </r>
      </text>
    </comment>
    <comment ref="H6" authorId="0" shapeId="0" xr:uid="{00000000-0006-0000-0900-000011000000}">
      <text>
        <r>
          <rPr>
            <sz val="9"/>
            <color indexed="81"/>
            <rFont val="Tahoma"/>
            <family val="2"/>
          </rPr>
          <t xml:space="preserve">See note on CFC-11
</t>
        </r>
      </text>
    </comment>
    <comment ref="J6" authorId="0" shapeId="0" xr:uid="{00000000-0006-0000-0900-000012000000}">
      <text>
        <r>
          <rPr>
            <sz val="9"/>
            <color indexed="81"/>
            <rFont val="Tahoma"/>
            <family val="2"/>
          </rPr>
          <t xml:space="preserve">See notes on CFC11
</t>
        </r>
      </text>
    </comment>
    <comment ref="K6" authorId="0" shapeId="0" xr:uid="{00000000-0006-0000-0900-000013000000}">
      <text>
        <r>
          <rPr>
            <sz val="9"/>
            <color indexed="81"/>
            <rFont val="Tahoma"/>
            <family val="2"/>
          </rPr>
          <t xml:space="preserve">See notes on CFC11
</t>
        </r>
      </text>
    </comment>
    <comment ref="D7" authorId="0" shapeId="0" xr:uid="{00000000-0006-0000-0900-000014000000}">
      <text>
        <r>
          <rPr>
            <sz val="9"/>
            <color indexed="81"/>
            <rFont val="Tahoma"/>
            <family val="2"/>
          </rPr>
          <t xml:space="preserve">No GWP vallue was found in literature. The value used represent the average GWP100 for the other CFCs in this list
</t>
        </r>
      </text>
    </comment>
    <comment ref="F7" authorId="0" shapeId="0" xr:uid="{00000000-0006-0000-0900-000015000000}">
      <text>
        <r>
          <rPr>
            <sz val="9"/>
            <color indexed="81"/>
            <rFont val="Tahoma"/>
            <family val="2"/>
          </rPr>
          <t xml:space="preserve">ODP2 Class I Ozone-depleting Substances, USEPA 2014
</t>
        </r>
      </text>
    </comment>
    <comment ref="H7" authorId="0" shapeId="0" xr:uid="{00000000-0006-0000-0900-000016000000}">
      <text>
        <r>
          <rPr>
            <sz val="9"/>
            <color indexed="81"/>
            <rFont val="Tahoma"/>
            <family val="2"/>
          </rPr>
          <t xml:space="preserve">See note on CFC-11
</t>
        </r>
      </text>
    </comment>
    <comment ref="J7" authorId="0" shapeId="0" xr:uid="{00000000-0006-0000-0900-000017000000}">
      <text>
        <r>
          <rPr>
            <sz val="9"/>
            <color indexed="81"/>
            <rFont val="Tahoma"/>
            <family val="2"/>
          </rPr>
          <t xml:space="preserve">See notes on CFC11
</t>
        </r>
      </text>
    </comment>
    <comment ref="K7" authorId="0" shapeId="0" xr:uid="{00000000-0006-0000-0900-000018000000}">
      <text>
        <r>
          <rPr>
            <sz val="9"/>
            <color indexed="81"/>
            <rFont val="Tahoma"/>
            <family val="2"/>
          </rPr>
          <t xml:space="preserve">See notes on CFC11
</t>
        </r>
      </text>
    </comment>
    <comment ref="D8" authorId="0" shapeId="0" xr:uid="{00000000-0006-0000-0900-000019000000}">
      <text>
        <r>
          <rPr>
            <sz val="9"/>
            <color indexed="81"/>
            <rFont val="Tahoma"/>
            <family val="2"/>
          </rPr>
          <t xml:space="preserve">No GWP vallue was found in literature. The value used represent the average GWP100 for the other CFCs in this list
</t>
        </r>
      </text>
    </comment>
    <comment ref="F8" authorId="0" shapeId="0" xr:uid="{00000000-0006-0000-0900-00001A000000}">
      <text>
        <r>
          <rPr>
            <sz val="9"/>
            <color indexed="81"/>
            <rFont val="Tahoma"/>
            <family val="2"/>
          </rPr>
          <t xml:space="preserve">ODP2 Class I Ozone-depleting Substances, USEPA 2014
</t>
        </r>
      </text>
    </comment>
    <comment ref="H8" authorId="0" shapeId="0" xr:uid="{00000000-0006-0000-0900-00001B000000}">
      <text>
        <r>
          <rPr>
            <sz val="9"/>
            <color indexed="81"/>
            <rFont val="Tahoma"/>
            <family val="2"/>
          </rPr>
          <t xml:space="preserve">See note on CFC-11
</t>
        </r>
      </text>
    </comment>
    <comment ref="J8" authorId="0" shapeId="0" xr:uid="{00000000-0006-0000-0900-00001C000000}">
      <text>
        <r>
          <rPr>
            <sz val="9"/>
            <color indexed="81"/>
            <rFont val="Tahoma"/>
            <family val="2"/>
          </rPr>
          <t xml:space="preserve">See notes on CFC11
</t>
        </r>
      </text>
    </comment>
    <comment ref="K8" authorId="0" shapeId="0" xr:uid="{00000000-0006-0000-0900-00001D000000}">
      <text>
        <r>
          <rPr>
            <sz val="9"/>
            <color indexed="81"/>
            <rFont val="Tahoma"/>
            <family val="2"/>
          </rPr>
          <t xml:space="preserve">See notes on CFC11
</t>
        </r>
      </text>
    </comment>
    <comment ref="D9" authorId="0" shapeId="0" xr:uid="{00000000-0006-0000-0900-00001E000000}">
      <text>
        <r>
          <rPr>
            <sz val="8"/>
            <color indexed="81"/>
            <rFont val="Tahoma"/>
            <family val="2"/>
          </rPr>
          <t xml:space="preserve">GWP100 including feedback mechanisms (IPCC AR5 WGI Table 8SM16)
</t>
        </r>
      </text>
    </comment>
    <comment ref="F9" authorId="0" shapeId="0" xr:uid="{00000000-0006-0000-0900-00001F000000}">
      <text>
        <r>
          <rPr>
            <sz val="9"/>
            <color indexed="81"/>
            <rFont val="Tahoma"/>
            <family val="2"/>
          </rPr>
          <t xml:space="preserve">ODP3, WMO 2006
</t>
        </r>
      </text>
    </comment>
    <comment ref="H9" authorId="0" shapeId="0" xr:uid="{00000000-0006-0000-0900-000020000000}">
      <text>
        <r>
          <rPr>
            <sz val="9"/>
            <color indexed="81"/>
            <rFont val="Tahoma"/>
            <family val="2"/>
          </rPr>
          <t xml:space="preserve">See note on CFC-11
</t>
        </r>
      </text>
    </comment>
    <comment ref="J9" authorId="0" shapeId="0" xr:uid="{00000000-0006-0000-0900-000021000000}">
      <text>
        <r>
          <rPr>
            <sz val="9"/>
            <color indexed="81"/>
            <rFont val="Tahoma"/>
            <family val="2"/>
          </rPr>
          <t xml:space="preserve">See notes on CFC11
</t>
        </r>
      </text>
    </comment>
    <comment ref="K9" authorId="0" shapeId="0" xr:uid="{00000000-0006-0000-0900-000022000000}">
      <text>
        <r>
          <rPr>
            <sz val="9"/>
            <color indexed="81"/>
            <rFont val="Tahoma"/>
            <family val="2"/>
          </rPr>
          <t xml:space="preserve">See notes on CFC11
</t>
        </r>
      </text>
    </comment>
    <comment ref="D10" authorId="0" shapeId="0" xr:uid="{00000000-0006-0000-0900-000023000000}">
      <text>
        <r>
          <rPr>
            <sz val="8"/>
            <color indexed="81"/>
            <rFont val="Tahoma"/>
            <family val="2"/>
          </rPr>
          <t xml:space="preserve">GWP100 including feedback mechanisms (IPCC AR5 WGI Table 8SM16)
</t>
        </r>
      </text>
    </comment>
    <comment ref="F10" authorId="0" shapeId="0" xr:uid="{00000000-0006-0000-0900-000024000000}">
      <text>
        <r>
          <rPr>
            <sz val="9"/>
            <color indexed="81"/>
            <rFont val="Tahoma"/>
            <family val="2"/>
          </rPr>
          <t xml:space="preserve">ODP3, WMO 2006
</t>
        </r>
      </text>
    </comment>
    <comment ref="H10" authorId="0" shapeId="0" xr:uid="{00000000-0006-0000-0900-000025000000}">
      <text>
        <r>
          <rPr>
            <sz val="9"/>
            <color indexed="81"/>
            <rFont val="Tahoma"/>
            <family val="2"/>
          </rPr>
          <t xml:space="preserve">See note on CFC-11
</t>
        </r>
      </text>
    </comment>
    <comment ref="J10" authorId="0" shapeId="0" xr:uid="{00000000-0006-0000-0900-000026000000}">
      <text>
        <r>
          <rPr>
            <sz val="9"/>
            <color indexed="81"/>
            <rFont val="Tahoma"/>
            <family val="2"/>
          </rPr>
          <t xml:space="preserve">See notes on CFC11
</t>
        </r>
      </text>
    </comment>
    <comment ref="K10" authorId="0" shapeId="0" xr:uid="{00000000-0006-0000-0900-000027000000}">
      <text>
        <r>
          <rPr>
            <sz val="9"/>
            <color indexed="81"/>
            <rFont val="Tahoma"/>
            <family val="2"/>
          </rPr>
          <t xml:space="preserve">See notes on CFC11
</t>
        </r>
      </text>
    </comment>
    <comment ref="D11" authorId="0" shapeId="0" xr:uid="{00000000-0006-0000-0900-000028000000}">
      <text>
        <r>
          <rPr>
            <sz val="8"/>
            <color indexed="81"/>
            <rFont val="Tahoma"/>
            <family val="2"/>
          </rPr>
          <t xml:space="preserve">GWP100 including feedback mechanisms (IPCC AR5 WGI Table 8SM16)
</t>
        </r>
      </text>
    </comment>
    <comment ref="F11" authorId="0" shapeId="0" xr:uid="{00000000-0006-0000-0900-000029000000}">
      <text>
        <r>
          <rPr>
            <sz val="9"/>
            <color indexed="81"/>
            <rFont val="Tahoma"/>
            <family val="2"/>
          </rPr>
          <t xml:space="preserve">ODP3, WMO 2006
</t>
        </r>
      </text>
    </comment>
    <comment ref="H11" authorId="0" shapeId="0" xr:uid="{00000000-0006-0000-0900-00002A000000}">
      <text>
        <r>
          <rPr>
            <sz val="9"/>
            <color indexed="81"/>
            <rFont val="Tahoma"/>
            <family val="2"/>
          </rPr>
          <t xml:space="preserve">See note on CFC-11
</t>
        </r>
      </text>
    </comment>
    <comment ref="J11" authorId="0" shapeId="0" xr:uid="{00000000-0006-0000-0900-00002B000000}">
      <text>
        <r>
          <rPr>
            <sz val="9"/>
            <color indexed="81"/>
            <rFont val="Tahoma"/>
            <family val="2"/>
          </rPr>
          <t xml:space="preserve">See notes on CFC11
</t>
        </r>
      </text>
    </comment>
    <comment ref="K11" authorId="0" shapeId="0" xr:uid="{00000000-0006-0000-0900-00002C000000}">
      <text>
        <r>
          <rPr>
            <sz val="9"/>
            <color indexed="81"/>
            <rFont val="Tahoma"/>
            <family val="2"/>
          </rPr>
          <t xml:space="preserve">See notes on CFC11
</t>
        </r>
      </text>
    </comment>
    <comment ref="D12" authorId="0" shapeId="0" xr:uid="{00000000-0006-0000-0900-00002D000000}">
      <text>
        <r>
          <rPr>
            <sz val="9"/>
            <color indexed="81"/>
            <rFont val="Tahoma"/>
            <family val="2"/>
          </rPr>
          <t xml:space="preserve">No GWP vallue was found in literature. The value used represent the average GWP100 for the other CFCs in this list
</t>
        </r>
      </text>
    </comment>
    <comment ref="F12" authorId="0" shapeId="0" xr:uid="{00000000-0006-0000-0900-00002E000000}">
      <text>
        <r>
          <rPr>
            <sz val="9"/>
            <color indexed="81"/>
            <rFont val="Tahoma"/>
            <family val="2"/>
          </rPr>
          <t xml:space="preserve">ODP2 Class I Ozone-depleting Substances, USEPA 2014
</t>
        </r>
      </text>
    </comment>
    <comment ref="H12" authorId="0" shapeId="0" xr:uid="{00000000-0006-0000-0900-00002F000000}">
      <text>
        <r>
          <rPr>
            <sz val="9"/>
            <color indexed="81"/>
            <rFont val="Tahoma"/>
            <family val="2"/>
          </rPr>
          <t xml:space="preserve">See note on CFC-11
</t>
        </r>
      </text>
    </comment>
    <comment ref="J12" authorId="0" shapeId="0" xr:uid="{00000000-0006-0000-0900-000030000000}">
      <text>
        <r>
          <rPr>
            <sz val="9"/>
            <color indexed="81"/>
            <rFont val="Tahoma"/>
            <family val="2"/>
          </rPr>
          <t xml:space="preserve">See notes on CFC11
</t>
        </r>
      </text>
    </comment>
    <comment ref="K12" authorId="0" shapeId="0" xr:uid="{00000000-0006-0000-0900-000031000000}">
      <text>
        <r>
          <rPr>
            <sz val="9"/>
            <color indexed="81"/>
            <rFont val="Tahoma"/>
            <family val="2"/>
          </rPr>
          <t xml:space="preserve">See notes on CFC11
</t>
        </r>
      </text>
    </comment>
    <comment ref="D13" authorId="0" shapeId="0" xr:uid="{00000000-0006-0000-0900-000032000000}">
      <text>
        <r>
          <rPr>
            <sz val="9"/>
            <color indexed="81"/>
            <rFont val="Tahoma"/>
            <family val="2"/>
          </rPr>
          <t xml:space="preserve">No GWP vallue was found in literature. The value used represent the average GWP100 for the other CFCs in this list
</t>
        </r>
      </text>
    </comment>
    <comment ref="F13" authorId="0" shapeId="0" xr:uid="{00000000-0006-0000-0900-000033000000}">
      <text>
        <r>
          <rPr>
            <sz val="9"/>
            <color indexed="81"/>
            <rFont val="Tahoma"/>
            <family val="2"/>
          </rPr>
          <t xml:space="preserve">ODP2 Class I Ozone-depleting Substances, USEPA 2014
</t>
        </r>
      </text>
    </comment>
    <comment ref="H13" authorId="0" shapeId="0" xr:uid="{00000000-0006-0000-0900-000034000000}">
      <text>
        <r>
          <rPr>
            <sz val="9"/>
            <color indexed="81"/>
            <rFont val="Tahoma"/>
            <family val="2"/>
          </rPr>
          <t xml:space="preserve">See note on CFC-11
</t>
        </r>
      </text>
    </comment>
    <comment ref="J13" authorId="0" shapeId="0" xr:uid="{00000000-0006-0000-0900-000035000000}">
      <text>
        <r>
          <rPr>
            <sz val="9"/>
            <color indexed="81"/>
            <rFont val="Tahoma"/>
            <family val="2"/>
          </rPr>
          <t xml:space="preserve">See notes on CFC11
</t>
        </r>
      </text>
    </comment>
    <comment ref="K13" authorId="0" shapeId="0" xr:uid="{00000000-0006-0000-0900-000036000000}">
      <text>
        <r>
          <rPr>
            <sz val="9"/>
            <color indexed="81"/>
            <rFont val="Tahoma"/>
            <family val="2"/>
          </rPr>
          <t xml:space="preserve">See notes on CFC11
</t>
        </r>
      </text>
    </comment>
    <comment ref="D14" authorId="0" shapeId="0" xr:uid="{00000000-0006-0000-0900-000037000000}">
      <text>
        <r>
          <rPr>
            <sz val="9"/>
            <color indexed="81"/>
            <rFont val="Tahoma"/>
            <family val="2"/>
          </rPr>
          <t xml:space="preserve">No GWP vallue was found in literature. The value used represent the average GWP100 for the other CFCs in this list
</t>
        </r>
      </text>
    </comment>
    <comment ref="F14" authorId="0" shapeId="0" xr:uid="{00000000-0006-0000-0900-000038000000}">
      <text>
        <r>
          <rPr>
            <sz val="9"/>
            <color indexed="81"/>
            <rFont val="Tahoma"/>
            <family val="2"/>
          </rPr>
          <t xml:space="preserve">ODP2 Class I Ozone-depleting Substances, USEPA 2014
</t>
        </r>
      </text>
    </comment>
    <comment ref="H14" authorId="0" shapeId="0" xr:uid="{00000000-0006-0000-0900-000039000000}">
      <text>
        <r>
          <rPr>
            <sz val="9"/>
            <color indexed="81"/>
            <rFont val="Tahoma"/>
            <family val="2"/>
          </rPr>
          <t xml:space="preserve">See note on CFC-11
</t>
        </r>
      </text>
    </comment>
    <comment ref="J14" authorId="0" shapeId="0" xr:uid="{00000000-0006-0000-0900-00003A000000}">
      <text>
        <r>
          <rPr>
            <sz val="9"/>
            <color indexed="81"/>
            <rFont val="Tahoma"/>
            <family val="2"/>
          </rPr>
          <t xml:space="preserve">See notes on CFC11
</t>
        </r>
      </text>
    </comment>
    <comment ref="K14" authorId="0" shapeId="0" xr:uid="{00000000-0006-0000-0900-00003B000000}">
      <text>
        <r>
          <rPr>
            <sz val="9"/>
            <color indexed="81"/>
            <rFont val="Tahoma"/>
            <family val="2"/>
          </rPr>
          <t xml:space="preserve">See notes on CFC11
</t>
        </r>
      </text>
    </comment>
    <comment ref="D15" authorId="0" shapeId="0" xr:uid="{00000000-0006-0000-0900-00003C000000}">
      <text>
        <r>
          <rPr>
            <sz val="9"/>
            <color indexed="81"/>
            <rFont val="Tahoma"/>
            <family val="2"/>
          </rPr>
          <t xml:space="preserve">No GWP vallue was found in literature. The value used represent the average GWP100 for the other CFCs in this list
</t>
        </r>
      </text>
    </comment>
    <comment ref="F15" authorId="0" shapeId="0" xr:uid="{00000000-0006-0000-0900-00003D000000}">
      <text>
        <r>
          <rPr>
            <sz val="9"/>
            <color indexed="81"/>
            <rFont val="Tahoma"/>
            <family val="2"/>
          </rPr>
          <t xml:space="preserve">ODP2 Class I Ozone-depleting Substances, USEPA 2014
</t>
        </r>
      </text>
    </comment>
    <comment ref="H15" authorId="0" shapeId="0" xr:uid="{00000000-0006-0000-0900-00003E000000}">
      <text>
        <r>
          <rPr>
            <sz val="9"/>
            <color indexed="81"/>
            <rFont val="Tahoma"/>
            <family val="2"/>
          </rPr>
          <t xml:space="preserve">See note on CFC-11
</t>
        </r>
      </text>
    </comment>
    <comment ref="J15" authorId="0" shapeId="0" xr:uid="{00000000-0006-0000-0900-00003F000000}">
      <text>
        <r>
          <rPr>
            <sz val="9"/>
            <color indexed="81"/>
            <rFont val="Tahoma"/>
            <family val="2"/>
          </rPr>
          <t xml:space="preserve">See notes on CFC11
</t>
        </r>
      </text>
    </comment>
    <comment ref="K15" authorId="0" shapeId="0" xr:uid="{00000000-0006-0000-0900-000040000000}">
      <text>
        <r>
          <rPr>
            <sz val="9"/>
            <color indexed="81"/>
            <rFont val="Tahoma"/>
            <family val="2"/>
          </rPr>
          <t xml:space="preserve">See notes on CFC11
</t>
        </r>
      </text>
    </comment>
    <comment ref="D16" authorId="0" shapeId="0" xr:uid="{00000000-0006-0000-0900-000041000000}">
      <text>
        <r>
          <rPr>
            <sz val="9"/>
            <color indexed="81"/>
            <rFont val="Tahoma"/>
            <family val="2"/>
          </rPr>
          <t xml:space="preserve">No GWP vallue was found in literature. The value used represent the average GWP100 for the other CFCs in this list
</t>
        </r>
      </text>
    </comment>
    <comment ref="F16" authorId="0" shapeId="0" xr:uid="{00000000-0006-0000-0900-000042000000}">
      <text>
        <r>
          <rPr>
            <sz val="9"/>
            <color indexed="81"/>
            <rFont val="Tahoma"/>
            <family val="2"/>
          </rPr>
          <t xml:space="preserve">ODP2 Class I Ozone-depleting Substances, USEPA 2014
</t>
        </r>
      </text>
    </comment>
    <comment ref="H16" authorId="0" shapeId="0" xr:uid="{00000000-0006-0000-0900-000043000000}">
      <text>
        <r>
          <rPr>
            <sz val="9"/>
            <color indexed="81"/>
            <rFont val="Tahoma"/>
            <family val="2"/>
          </rPr>
          <t xml:space="preserve">See note on CFC-11
</t>
        </r>
      </text>
    </comment>
    <comment ref="J16" authorId="0" shapeId="0" xr:uid="{00000000-0006-0000-0900-000044000000}">
      <text>
        <r>
          <rPr>
            <sz val="9"/>
            <color indexed="81"/>
            <rFont val="Tahoma"/>
            <family val="2"/>
          </rPr>
          <t xml:space="preserve">See notes on CFC11
</t>
        </r>
      </text>
    </comment>
    <comment ref="K16" authorId="0" shapeId="0" xr:uid="{00000000-0006-0000-0900-000045000000}">
      <text>
        <r>
          <rPr>
            <sz val="9"/>
            <color indexed="81"/>
            <rFont val="Tahoma"/>
            <family val="2"/>
          </rPr>
          <t xml:space="preserve">See notes on CFC11
</t>
        </r>
      </text>
    </comment>
    <comment ref="D17" authorId="0" shapeId="0" xr:uid="{00000000-0006-0000-0900-000046000000}">
      <text>
        <r>
          <rPr>
            <sz val="9"/>
            <color indexed="81"/>
            <rFont val="Tahoma"/>
            <family val="2"/>
          </rPr>
          <t xml:space="preserve">No GWP vallue was found in literature. The value used represent the average GWP100 for the other CFCs in this list
</t>
        </r>
      </text>
    </comment>
    <comment ref="F17" authorId="0" shapeId="0" xr:uid="{00000000-0006-0000-0900-000047000000}">
      <text>
        <r>
          <rPr>
            <sz val="9"/>
            <color indexed="81"/>
            <rFont val="Tahoma"/>
            <family val="2"/>
          </rPr>
          <t xml:space="preserve">ODP2 Class I Ozone-depleting Substances, USEPA 2014
</t>
        </r>
      </text>
    </comment>
    <comment ref="H17" authorId="0" shapeId="0" xr:uid="{00000000-0006-0000-0900-000048000000}">
      <text>
        <r>
          <rPr>
            <sz val="9"/>
            <color indexed="81"/>
            <rFont val="Tahoma"/>
            <family val="2"/>
          </rPr>
          <t xml:space="preserve">See note on CFC-11
</t>
        </r>
      </text>
    </comment>
    <comment ref="J17" authorId="0" shapeId="0" xr:uid="{00000000-0006-0000-0900-000049000000}">
      <text>
        <r>
          <rPr>
            <sz val="9"/>
            <color indexed="81"/>
            <rFont val="Tahoma"/>
            <family val="2"/>
          </rPr>
          <t xml:space="preserve">See notes on CFC11
</t>
        </r>
      </text>
    </comment>
    <comment ref="K17" authorId="0" shapeId="0" xr:uid="{00000000-0006-0000-0900-00004A000000}">
      <text>
        <r>
          <rPr>
            <sz val="9"/>
            <color indexed="81"/>
            <rFont val="Tahoma"/>
            <family val="2"/>
          </rPr>
          <t xml:space="preserve">See notes on CFC11
</t>
        </r>
      </text>
    </comment>
    <comment ref="D18" authorId="0" shapeId="0" xr:uid="{00000000-0006-0000-0900-00004B000000}">
      <text>
        <r>
          <rPr>
            <sz val="9"/>
            <color indexed="81"/>
            <rFont val="Tahoma"/>
            <family val="2"/>
          </rPr>
          <t xml:space="preserve">No GWP vallue was found in literature. The value used represent the average GWP100 for the other CFCs in this list
</t>
        </r>
      </text>
    </comment>
    <comment ref="F18" authorId="0" shapeId="0" xr:uid="{00000000-0006-0000-0900-00004C000000}">
      <text>
        <r>
          <rPr>
            <sz val="9"/>
            <color indexed="81"/>
            <rFont val="Tahoma"/>
            <family val="2"/>
          </rPr>
          <t xml:space="preserve">ODP2 Class I Ozone-depleting Substances, USEPA 2014
</t>
        </r>
      </text>
    </comment>
    <comment ref="H18" authorId="0" shapeId="0" xr:uid="{00000000-0006-0000-0900-00004D000000}">
      <text>
        <r>
          <rPr>
            <sz val="9"/>
            <color indexed="81"/>
            <rFont val="Tahoma"/>
            <family val="2"/>
          </rPr>
          <t xml:space="preserve">See note on CFC-11
</t>
        </r>
      </text>
    </comment>
    <comment ref="J18" authorId="0" shapeId="0" xr:uid="{00000000-0006-0000-0900-00004E000000}">
      <text>
        <r>
          <rPr>
            <sz val="9"/>
            <color indexed="81"/>
            <rFont val="Tahoma"/>
            <family val="2"/>
          </rPr>
          <t xml:space="preserve">See notes on CFC11
</t>
        </r>
      </text>
    </comment>
    <comment ref="K18" authorId="0" shapeId="0" xr:uid="{00000000-0006-0000-0900-00004F000000}">
      <text>
        <r>
          <rPr>
            <sz val="9"/>
            <color indexed="81"/>
            <rFont val="Tahoma"/>
            <family val="2"/>
          </rPr>
          <t xml:space="preserve">See notes on CFC11
</t>
        </r>
      </text>
    </comment>
    <comment ref="A20" authorId="0" shapeId="0" xr:uid="{00000000-0006-0000-0900-000050000000}">
      <text>
        <r>
          <rPr>
            <sz val="9"/>
            <color indexed="81"/>
            <rFont val="Tahoma"/>
            <family val="2"/>
          </rPr>
          <t xml:space="preserve">= CHFCl2 
</t>
        </r>
      </text>
    </comment>
    <comment ref="D20" authorId="0" shapeId="0" xr:uid="{00000000-0006-0000-0900-000051000000}">
      <text>
        <r>
          <rPr>
            <sz val="8"/>
            <color indexed="81"/>
            <rFont val="Tahoma"/>
            <family val="2"/>
          </rPr>
          <t xml:space="preserve">GWP100 including feedback mechanisms (IPCC AR5 WGI Table 8SM16)
</t>
        </r>
      </text>
    </comment>
    <comment ref="F20" authorId="0" shapeId="0" xr:uid="{00000000-0006-0000-0900-000052000000}">
      <text>
        <r>
          <rPr>
            <sz val="9"/>
            <color indexed="81"/>
            <rFont val="Tahoma"/>
            <family val="2"/>
          </rPr>
          <t>The Montreal Protocol on Substances that Deplete the Ozone Layer. UNEP, 2000. ISBN 92-807-1888-6</t>
        </r>
      </text>
    </comment>
    <comment ref="H20" authorId="0" shapeId="0" xr:uid="{00000000-0006-0000-0900-000053000000}">
      <text>
        <r>
          <rPr>
            <sz val="9"/>
            <color indexed="81"/>
            <rFont val="Tahoma"/>
            <family val="2"/>
          </rPr>
          <t xml:space="preserve">See note on CFC-11
</t>
        </r>
      </text>
    </comment>
    <comment ref="J20" authorId="0" shapeId="0" xr:uid="{00000000-0006-0000-0900-000054000000}">
      <text>
        <r>
          <rPr>
            <sz val="9"/>
            <color indexed="81"/>
            <rFont val="Tahoma"/>
            <family val="2"/>
          </rPr>
          <t xml:space="preserve">See notes on CFC11
</t>
        </r>
      </text>
    </comment>
    <comment ref="K20" authorId="0" shapeId="0" xr:uid="{00000000-0006-0000-0900-000055000000}">
      <text>
        <r>
          <rPr>
            <sz val="9"/>
            <color indexed="81"/>
            <rFont val="Tahoma"/>
            <family val="2"/>
          </rPr>
          <t xml:space="preserve">See notes on CFC11
</t>
        </r>
      </text>
    </comment>
    <comment ref="A21" authorId="0" shapeId="0" xr:uid="{00000000-0006-0000-0900-000056000000}">
      <text>
        <r>
          <rPr>
            <sz val="9"/>
            <color indexed="81"/>
            <rFont val="Tahoma"/>
            <family val="2"/>
          </rPr>
          <t xml:space="preserve">=Chlorodifluoromethane or R22
</t>
        </r>
      </text>
    </comment>
    <comment ref="D21" authorId="0" shapeId="0" xr:uid="{00000000-0006-0000-0900-000057000000}">
      <text>
        <r>
          <rPr>
            <sz val="8"/>
            <color indexed="81"/>
            <rFont val="Tahoma"/>
            <family val="2"/>
          </rPr>
          <t xml:space="preserve">GWP100 including feedback mechanisms (IPCC AR5 WGI Table 8SM16)
</t>
        </r>
      </text>
    </comment>
    <comment ref="F21" authorId="0" shapeId="0" xr:uid="{00000000-0006-0000-0900-000058000000}">
      <text>
        <r>
          <rPr>
            <sz val="9"/>
            <color indexed="81"/>
            <rFont val="Tahoma"/>
            <family val="2"/>
          </rPr>
          <t xml:space="preserve">The Montreal Protocol on Substances that Deplete the Ozone Layer. UNEP, 2000. ISBN 92-807-1888-6
</t>
        </r>
      </text>
    </comment>
    <comment ref="H21" authorId="0" shapeId="0" xr:uid="{00000000-0006-0000-0900-000059000000}">
      <text>
        <r>
          <rPr>
            <sz val="9"/>
            <color indexed="81"/>
            <rFont val="Tahoma"/>
            <family val="2"/>
          </rPr>
          <t xml:space="preserve">See note on CFC-11
</t>
        </r>
      </text>
    </comment>
    <comment ref="J21" authorId="0" shapeId="0" xr:uid="{00000000-0006-0000-0900-00005A000000}">
      <text>
        <r>
          <rPr>
            <sz val="9"/>
            <color indexed="81"/>
            <rFont val="Tahoma"/>
            <family val="2"/>
          </rPr>
          <t xml:space="preserve">See notes on CFC11
</t>
        </r>
      </text>
    </comment>
    <comment ref="K21" authorId="0" shapeId="0" xr:uid="{00000000-0006-0000-0900-00005B000000}">
      <text>
        <r>
          <rPr>
            <sz val="9"/>
            <color indexed="81"/>
            <rFont val="Tahoma"/>
            <family val="2"/>
          </rPr>
          <t xml:space="preserve">See notes on CFC11
</t>
        </r>
      </text>
    </comment>
    <comment ref="A22" authorId="0" shapeId="0" xr:uid="{00000000-0006-0000-0900-00005C000000}">
      <text>
        <r>
          <rPr>
            <sz val="9"/>
            <color indexed="81"/>
            <rFont val="Tahoma"/>
            <family val="2"/>
          </rPr>
          <t xml:space="preserve">CH2FCl
</t>
        </r>
      </text>
    </comment>
    <comment ref="D22" authorId="0" shapeId="0" xr:uid="{00000000-0006-0000-0900-00005D000000}">
      <text>
        <r>
          <rPr>
            <sz val="9"/>
            <color indexed="81"/>
            <rFont val="Tahoma"/>
            <family val="2"/>
          </rPr>
          <t>No GWP vallue was found in literature. The value used represent the average GWP100 for the other HCFCs in this list</t>
        </r>
      </text>
    </comment>
    <comment ref="H22" authorId="0" shapeId="0" xr:uid="{00000000-0006-0000-0900-00005E000000}">
      <text>
        <r>
          <rPr>
            <sz val="9"/>
            <color indexed="81"/>
            <rFont val="Tahoma"/>
            <family val="2"/>
          </rPr>
          <t xml:space="preserve">See note on CFC-11
</t>
        </r>
      </text>
    </comment>
    <comment ref="J22" authorId="0" shapeId="0" xr:uid="{00000000-0006-0000-0900-00005F000000}">
      <text>
        <r>
          <rPr>
            <sz val="9"/>
            <color indexed="81"/>
            <rFont val="Tahoma"/>
            <family val="2"/>
          </rPr>
          <t xml:space="preserve">See notes on CFC11
</t>
        </r>
      </text>
    </comment>
    <comment ref="K22" authorId="0" shapeId="0" xr:uid="{00000000-0006-0000-0900-000060000000}">
      <text>
        <r>
          <rPr>
            <sz val="9"/>
            <color indexed="81"/>
            <rFont val="Tahoma"/>
            <family val="2"/>
          </rPr>
          <t xml:space="preserve">See notes on CFC11
</t>
        </r>
      </text>
    </comment>
    <comment ref="A23" authorId="0" shapeId="0" xr:uid="{00000000-0006-0000-0900-000061000000}">
      <text>
        <r>
          <rPr>
            <sz val="9"/>
            <color indexed="81"/>
            <rFont val="Tahoma"/>
            <family val="2"/>
          </rPr>
          <t xml:space="preserve">= C2HFCl4
</t>
        </r>
      </text>
    </comment>
    <comment ref="D23" authorId="0" shapeId="0" xr:uid="{00000000-0006-0000-0900-000062000000}">
      <text>
        <r>
          <rPr>
            <sz val="9"/>
            <color indexed="81"/>
            <rFont val="Tahoma"/>
            <family val="2"/>
          </rPr>
          <t>No GWP vallue was found in literature. The value used represent the average GWP100 for the other HCFCs in this list</t>
        </r>
      </text>
    </comment>
    <comment ref="F23" authorId="0" shapeId="0" xr:uid="{00000000-0006-0000-0900-000063000000}">
      <text>
        <r>
          <rPr>
            <sz val="9"/>
            <color indexed="81"/>
            <rFont val="Tahoma"/>
            <family val="2"/>
          </rPr>
          <t xml:space="preserve">The Montreal Protocol on Substances that Deplete the Ozone Layer. UNEP, 2000. ISBN 92-807-1888-6
</t>
        </r>
      </text>
    </comment>
    <comment ref="G23" authorId="0" shapeId="0" xr:uid="{00000000-0006-0000-0900-000064000000}">
      <text>
        <r>
          <rPr>
            <sz val="9"/>
            <color indexed="81"/>
            <rFont val="Tahoma"/>
            <family val="2"/>
          </rPr>
          <t xml:space="preserve">Estimated from the interval given in the montreal protocol 0.01–0.04
</t>
        </r>
      </text>
    </comment>
    <comment ref="H23" authorId="0" shapeId="0" xr:uid="{00000000-0006-0000-0900-000065000000}">
      <text>
        <r>
          <rPr>
            <sz val="9"/>
            <color indexed="81"/>
            <rFont val="Tahoma"/>
            <family val="2"/>
          </rPr>
          <t xml:space="preserve">See note on CFC-11
</t>
        </r>
      </text>
    </comment>
    <comment ref="J23" authorId="0" shapeId="0" xr:uid="{00000000-0006-0000-0900-000066000000}">
      <text>
        <r>
          <rPr>
            <sz val="9"/>
            <color indexed="81"/>
            <rFont val="Tahoma"/>
            <family val="2"/>
          </rPr>
          <t xml:space="preserve">See notes on CFC11
</t>
        </r>
      </text>
    </comment>
    <comment ref="K23" authorId="0" shapeId="0" xr:uid="{00000000-0006-0000-0900-000067000000}">
      <text>
        <r>
          <rPr>
            <sz val="9"/>
            <color indexed="81"/>
            <rFont val="Tahoma"/>
            <family val="2"/>
          </rPr>
          <t xml:space="preserve">See notes on CFC11
</t>
        </r>
      </text>
    </comment>
    <comment ref="A24" authorId="0" shapeId="0" xr:uid="{00000000-0006-0000-0900-000068000000}">
      <text>
        <r>
          <rPr>
            <sz val="9"/>
            <color indexed="81"/>
            <rFont val="Tahoma"/>
            <family val="2"/>
          </rPr>
          <t xml:space="preserve">C2HF2Cl3
1,2,2-trichloro-1,1-difluoroethane </t>
        </r>
      </text>
    </comment>
    <comment ref="D24" authorId="0" shapeId="0" xr:uid="{00000000-0006-0000-0900-000069000000}">
      <text>
        <r>
          <rPr>
            <sz val="8"/>
            <color indexed="81"/>
            <rFont val="Tahoma"/>
            <family val="2"/>
          </rPr>
          <t xml:space="preserve">GWP100 including feedback mechanisms (IPCC AR5 WGI Table 8SM16)
</t>
        </r>
      </text>
    </comment>
    <comment ref="F24" authorId="0" shapeId="0" xr:uid="{00000000-0006-0000-0900-00006A000000}">
      <text>
        <r>
          <rPr>
            <sz val="9"/>
            <color indexed="81"/>
            <rFont val="Tahoma"/>
            <family val="2"/>
          </rPr>
          <t xml:space="preserve">The Montreal Protocol on Substances that Deplete the Ozone Layer. UNEP, 2000. ISBN 92-807-1888-6
</t>
        </r>
      </text>
    </comment>
    <comment ref="G24" authorId="0" shapeId="0" xr:uid="{00000000-0006-0000-0900-00006B000000}">
      <text>
        <r>
          <rPr>
            <sz val="9"/>
            <color indexed="81"/>
            <rFont val="Tahoma"/>
            <family val="2"/>
          </rPr>
          <t>Estimated from the interval given in the montreal protocol
0.02-0.08</t>
        </r>
      </text>
    </comment>
    <comment ref="H24" authorId="0" shapeId="0" xr:uid="{00000000-0006-0000-0900-00006C000000}">
      <text>
        <r>
          <rPr>
            <sz val="9"/>
            <color indexed="81"/>
            <rFont val="Tahoma"/>
            <family val="2"/>
          </rPr>
          <t xml:space="preserve">See note on CFC-11
</t>
        </r>
      </text>
    </comment>
    <comment ref="J24" authorId="0" shapeId="0" xr:uid="{00000000-0006-0000-0900-00006D000000}">
      <text>
        <r>
          <rPr>
            <sz val="9"/>
            <color indexed="81"/>
            <rFont val="Tahoma"/>
            <family val="2"/>
          </rPr>
          <t xml:space="preserve">See notes on CFC11
</t>
        </r>
      </text>
    </comment>
    <comment ref="K24" authorId="0" shapeId="0" xr:uid="{00000000-0006-0000-0900-00006E000000}">
      <text>
        <r>
          <rPr>
            <sz val="9"/>
            <color indexed="81"/>
            <rFont val="Tahoma"/>
            <family val="2"/>
          </rPr>
          <t xml:space="preserve">See notes on CFC11
</t>
        </r>
      </text>
    </comment>
    <comment ref="A25" authorId="0" shapeId="0" xr:uid="{00000000-0006-0000-0900-00006F000000}">
      <text>
        <r>
          <rPr>
            <sz val="9"/>
            <color indexed="81"/>
            <rFont val="Tahoma"/>
            <family val="2"/>
          </rPr>
          <t xml:space="preserve">= 1,2-difluoro-1,1,2-trichloroethane
</t>
        </r>
      </text>
    </comment>
    <comment ref="D25" authorId="0" shapeId="0" xr:uid="{00000000-0006-0000-0900-000070000000}">
      <text>
        <r>
          <rPr>
            <sz val="8"/>
            <color indexed="81"/>
            <rFont val="Tahoma"/>
            <family val="2"/>
          </rPr>
          <t xml:space="preserve">GWP100 including feedback mechanisms (IPCC AR5 WGI Table 8SM16)
</t>
        </r>
      </text>
    </comment>
    <comment ref="F25" authorId="0" shapeId="0" xr:uid="{00000000-0006-0000-0900-000071000000}">
      <text>
        <r>
          <rPr>
            <sz val="9"/>
            <color indexed="81"/>
            <rFont val="Tahoma"/>
            <family val="2"/>
          </rPr>
          <t xml:space="preserve">Isomer to HCFC-122, and assumed to have the same value, but given a larger uncertainty, as it is not explicitly presented in the Montreal protocol
</t>
        </r>
      </text>
    </comment>
    <comment ref="H25" authorId="0" shapeId="0" xr:uid="{00000000-0006-0000-0900-000072000000}">
      <text>
        <r>
          <rPr>
            <sz val="9"/>
            <color indexed="81"/>
            <rFont val="Tahoma"/>
            <family val="2"/>
          </rPr>
          <t xml:space="preserve">See note on CFC-11
</t>
        </r>
      </text>
    </comment>
    <comment ref="J25" authorId="0" shapeId="0" xr:uid="{00000000-0006-0000-0900-000073000000}">
      <text>
        <r>
          <rPr>
            <sz val="9"/>
            <color indexed="81"/>
            <rFont val="Tahoma"/>
            <family val="2"/>
          </rPr>
          <t xml:space="preserve">See notes on CFC11
</t>
        </r>
      </text>
    </comment>
    <comment ref="K25" authorId="0" shapeId="0" xr:uid="{00000000-0006-0000-0900-000074000000}">
      <text>
        <r>
          <rPr>
            <sz val="9"/>
            <color indexed="81"/>
            <rFont val="Tahoma"/>
            <family val="2"/>
          </rPr>
          <t xml:space="preserve">See notes on CFC11
</t>
        </r>
      </text>
    </comment>
    <comment ref="A26" authorId="0" shapeId="0" xr:uid="{00000000-0006-0000-0900-000075000000}">
      <text>
        <r>
          <rPr>
            <sz val="9"/>
            <color indexed="81"/>
            <rFont val="Tahoma"/>
            <family val="2"/>
          </rPr>
          <t xml:space="preserve">= 2,2-Dichloro-1,1,1-trifluoroethane
</t>
        </r>
      </text>
    </comment>
    <comment ref="D26" authorId="0" shapeId="0" xr:uid="{00000000-0006-0000-0900-000076000000}">
      <text>
        <r>
          <rPr>
            <sz val="8"/>
            <color indexed="81"/>
            <rFont val="Tahoma"/>
            <family val="2"/>
          </rPr>
          <t xml:space="preserve">GWP100 including feedback mechanisms (IPCC AR5 WGI Table 8SM16)
</t>
        </r>
      </text>
    </comment>
    <comment ref="F26" authorId="0" shapeId="0" xr:uid="{00000000-0006-0000-0900-000077000000}">
      <text>
        <r>
          <rPr>
            <sz val="9"/>
            <color indexed="81"/>
            <rFont val="Tahoma"/>
            <family val="2"/>
          </rPr>
          <t xml:space="preserve">The Montreal Protocol on Substances that Deplete the Ozone Layer. UNEP, 2000. ISBN 92-807-1888-6
</t>
        </r>
      </text>
    </comment>
    <comment ref="G26" authorId="0" shapeId="0" xr:uid="{00000000-0006-0000-0900-000078000000}">
      <text>
        <r>
          <rPr>
            <sz val="9"/>
            <color indexed="81"/>
            <rFont val="Tahoma"/>
            <family val="2"/>
          </rPr>
          <t xml:space="preserve">Estimated from the interval given in the montreal protocol 0.02–0.06
</t>
        </r>
      </text>
    </comment>
    <comment ref="H26" authorId="0" shapeId="0" xr:uid="{00000000-0006-0000-0900-000079000000}">
      <text>
        <r>
          <rPr>
            <sz val="9"/>
            <color indexed="81"/>
            <rFont val="Tahoma"/>
            <family val="2"/>
          </rPr>
          <t xml:space="preserve">See note on CFC-11
</t>
        </r>
      </text>
    </comment>
    <comment ref="J26" authorId="0" shapeId="0" xr:uid="{00000000-0006-0000-0900-00007A000000}">
      <text>
        <r>
          <rPr>
            <sz val="9"/>
            <color indexed="81"/>
            <rFont val="Tahoma"/>
            <family val="2"/>
          </rPr>
          <t xml:space="preserve">See notes on CFC11
</t>
        </r>
      </text>
    </comment>
    <comment ref="K26" authorId="0" shapeId="0" xr:uid="{00000000-0006-0000-0900-00007B000000}">
      <text>
        <r>
          <rPr>
            <sz val="9"/>
            <color indexed="81"/>
            <rFont val="Tahoma"/>
            <family val="2"/>
          </rPr>
          <t xml:space="preserve">See notes on CFC11
</t>
        </r>
      </text>
    </comment>
    <comment ref="A27" authorId="0" shapeId="0" xr:uid="{00000000-0006-0000-0900-00007C000000}">
      <text>
        <r>
          <rPr>
            <sz val="9"/>
            <color indexed="81"/>
            <rFont val="Tahoma"/>
            <family val="2"/>
          </rPr>
          <t>Isomer to HCFC-123
 1,2-dichloro-1,1,2-trifluoroethane</t>
        </r>
      </text>
    </comment>
    <comment ref="D27" authorId="0" shapeId="0" xr:uid="{00000000-0006-0000-0900-00007D000000}">
      <text>
        <r>
          <rPr>
            <sz val="8"/>
            <color indexed="81"/>
            <rFont val="Tahoma"/>
            <family val="2"/>
          </rPr>
          <t xml:space="preserve">GWP100 including feedback mechanisms (IPCC AR5 WGI Table 8SM16)
</t>
        </r>
      </text>
    </comment>
    <comment ref="F27" authorId="0" shapeId="0" xr:uid="{00000000-0006-0000-0900-00007E000000}">
      <text>
        <r>
          <rPr>
            <sz val="9"/>
            <color indexed="81"/>
            <rFont val="Tahoma"/>
            <family val="2"/>
          </rPr>
          <t xml:space="preserve">The Montreal Protocol on Substances that Deplete the Ozone Layer. UNEP, 2000. ISBN 92-807-1888-6
</t>
        </r>
      </text>
    </comment>
    <comment ref="H27" authorId="0" shapeId="0" xr:uid="{00000000-0006-0000-0900-00007F000000}">
      <text>
        <r>
          <rPr>
            <sz val="9"/>
            <color indexed="81"/>
            <rFont val="Tahoma"/>
            <family val="2"/>
          </rPr>
          <t xml:space="preserve">See note on CFC-11
</t>
        </r>
      </text>
    </comment>
    <comment ref="J27" authorId="0" shapeId="0" xr:uid="{00000000-0006-0000-0900-000080000000}">
      <text>
        <r>
          <rPr>
            <sz val="9"/>
            <color indexed="81"/>
            <rFont val="Tahoma"/>
            <family val="2"/>
          </rPr>
          <t xml:space="preserve">See notes on CFC11
</t>
        </r>
      </text>
    </comment>
    <comment ref="K27" authorId="0" shapeId="0" xr:uid="{00000000-0006-0000-0900-000081000000}">
      <text>
        <r>
          <rPr>
            <sz val="9"/>
            <color indexed="81"/>
            <rFont val="Tahoma"/>
            <family val="2"/>
          </rPr>
          <t xml:space="preserve">See notes on CFC11
</t>
        </r>
      </text>
    </comment>
    <comment ref="D28" authorId="0" shapeId="0" xr:uid="{00000000-0006-0000-0900-000082000000}">
      <text>
        <r>
          <rPr>
            <sz val="8"/>
            <color indexed="81"/>
            <rFont val="Tahoma"/>
            <family val="2"/>
          </rPr>
          <t xml:space="preserve">GWP100 including feedback mechanisms (IPCC AR5 WGI Table 8SM16)
</t>
        </r>
      </text>
    </comment>
    <comment ref="F28" authorId="0" shapeId="0" xr:uid="{00000000-0006-0000-0900-000083000000}">
      <text>
        <r>
          <rPr>
            <sz val="9"/>
            <color indexed="81"/>
            <rFont val="Tahoma"/>
            <family val="2"/>
          </rPr>
          <t xml:space="preserve">The Montreal Protocol on Substances that Deplete the Ozone Layer. UNEP, 2000. ISBN 92-807-1888-6
</t>
        </r>
      </text>
    </comment>
    <comment ref="G28" authorId="0" shapeId="0" xr:uid="{00000000-0006-0000-0900-000084000000}">
      <text>
        <r>
          <rPr>
            <sz val="9"/>
            <color indexed="81"/>
            <rFont val="Tahoma"/>
            <family val="2"/>
          </rPr>
          <t xml:space="preserve">Estimated from the interval given in the montreal protocol 0.02–0.04
</t>
        </r>
      </text>
    </comment>
    <comment ref="H28" authorId="0" shapeId="0" xr:uid="{00000000-0006-0000-0900-000085000000}">
      <text>
        <r>
          <rPr>
            <sz val="9"/>
            <color indexed="81"/>
            <rFont val="Tahoma"/>
            <family val="2"/>
          </rPr>
          <t xml:space="preserve">See note on CFC-11
</t>
        </r>
      </text>
    </comment>
    <comment ref="J28" authorId="0" shapeId="0" xr:uid="{00000000-0006-0000-0900-000086000000}">
      <text>
        <r>
          <rPr>
            <sz val="9"/>
            <color indexed="81"/>
            <rFont val="Tahoma"/>
            <family val="2"/>
          </rPr>
          <t xml:space="preserve">See notes on CFC11
</t>
        </r>
      </text>
    </comment>
    <comment ref="K28" authorId="0" shapeId="0" xr:uid="{00000000-0006-0000-0900-000087000000}">
      <text>
        <r>
          <rPr>
            <sz val="9"/>
            <color indexed="81"/>
            <rFont val="Tahoma"/>
            <family val="2"/>
          </rPr>
          <t xml:space="preserve">See notes on CFC11
</t>
        </r>
      </text>
    </comment>
    <comment ref="A29" authorId="0" shapeId="0" xr:uid="{00000000-0006-0000-0900-000088000000}">
      <text>
        <r>
          <rPr>
            <sz val="9"/>
            <color indexed="81"/>
            <rFont val="Tahoma"/>
            <family val="2"/>
          </rPr>
          <t xml:space="preserve">=  (C2H2FCl3) Trichlorofluoroethane
</t>
        </r>
      </text>
    </comment>
    <comment ref="D29" authorId="0" shapeId="0" xr:uid="{00000000-0006-0000-0900-000089000000}">
      <text>
        <r>
          <rPr>
            <sz val="9"/>
            <color indexed="81"/>
            <rFont val="Tahoma"/>
            <family val="2"/>
          </rPr>
          <t>No GWP vallue was found in literature. The value used represent the average GWP100 for the other HCFCs in this list</t>
        </r>
      </text>
    </comment>
    <comment ref="F29" authorId="0" shapeId="0" xr:uid="{00000000-0006-0000-0900-00008A000000}">
      <text>
        <r>
          <rPr>
            <sz val="9"/>
            <color indexed="81"/>
            <rFont val="Tahoma"/>
            <family val="2"/>
          </rPr>
          <t xml:space="preserve">The Montreal Protocol on Substances that Deplete the Ozone Layer. UNEP, 2000. ISBN 92-807-1888-6
</t>
        </r>
      </text>
    </comment>
    <comment ref="G29" authorId="0" shapeId="0" xr:uid="{00000000-0006-0000-0900-00008B000000}">
      <text>
        <r>
          <rPr>
            <sz val="9"/>
            <color indexed="81"/>
            <rFont val="Tahoma"/>
            <family val="2"/>
          </rPr>
          <t xml:space="preserve">Estimated from the interval given in the montreal protocol 0.007–0.05
</t>
        </r>
      </text>
    </comment>
    <comment ref="H29" authorId="0" shapeId="0" xr:uid="{00000000-0006-0000-0900-00008C000000}">
      <text>
        <r>
          <rPr>
            <sz val="9"/>
            <color indexed="81"/>
            <rFont val="Tahoma"/>
            <family val="2"/>
          </rPr>
          <t xml:space="preserve">See note on CFC-11
</t>
        </r>
      </text>
    </comment>
    <comment ref="J29" authorId="0" shapeId="0" xr:uid="{00000000-0006-0000-0900-00008D000000}">
      <text>
        <r>
          <rPr>
            <sz val="9"/>
            <color indexed="81"/>
            <rFont val="Tahoma"/>
            <family val="2"/>
          </rPr>
          <t xml:space="preserve">See notes on CFC11
</t>
        </r>
      </text>
    </comment>
    <comment ref="K29" authorId="0" shapeId="0" xr:uid="{00000000-0006-0000-0900-00008E000000}">
      <text>
        <r>
          <rPr>
            <sz val="9"/>
            <color indexed="81"/>
            <rFont val="Tahoma"/>
            <family val="2"/>
          </rPr>
          <t xml:space="preserve">See notes on CFC11
</t>
        </r>
      </text>
    </comment>
    <comment ref="A30" authorId="0" shapeId="0" xr:uid="{00000000-0006-0000-0900-00008F000000}">
      <text>
        <r>
          <rPr>
            <sz val="9"/>
            <color indexed="81"/>
            <rFont val="Tahoma"/>
            <family val="2"/>
          </rPr>
          <t xml:space="preserve">HCFC 132 =1,2-DICHLORO-1,2-DIFLUOROETHANE
HCFC 132c = 1,1-DICHLORO-1,2-DIFLUOROETHANE
</t>
        </r>
      </text>
    </comment>
    <comment ref="D30" authorId="0" shapeId="0" xr:uid="{00000000-0006-0000-0900-000090000000}">
      <text>
        <r>
          <rPr>
            <sz val="8"/>
            <color indexed="81"/>
            <rFont val="Tahoma"/>
            <family val="2"/>
          </rPr>
          <t xml:space="preserve">GWP100 including feedback mechanisms (IPCC AR5 WGI Table 8SM16)
</t>
        </r>
      </text>
    </comment>
    <comment ref="F30" authorId="0" shapeId="0" xr:uid="{00000000-0006-0000-0900-000091000000}">
      <text>
        <r>
          <rPr>
            <sz val="9"/>
            <color indexed="81"/>
            <rFont val="Tahoma"/>
            <family val="2"/>
          </rPr>
          <t xml:space="preserve">The Montreal Protocol on Substances that Deplete the Ozone Layer. UNEP, 2000. ISBN 92-807-1888-6
</t>
        </r>
      </text>
    </comment>
    <comment ref="G30" authorId="0" shapeId="0" xr:uid="{00000000-0006-0000-0900-000092000000}">
      <text>
        <r>
          <rPr>
            <sz val="9"/>
            <color indexed="81"/>
            <rFont val="Tahoma"/>
            <family val="2"/>
          </rPr>
          <t xml:space="preserve">Estimated from the interval given in the montreal protocol  0.008–0.05
</t>
        </r>
      </text>
    </comment>
    <comment ref="H30" authorId="0" shapeId="0" xr:uid="{00000000-0006-0000-0900-000093000000}">
      <text>
        <r>
          <rPr>
            <sz val="9"/>
            <color indexed="81"/>
            <rFont val="Tahoma"/>
            <family val="2"/>
          </rPr>
          <t xml:space="preserve">See note on CFC-11
</t>
        </r>
      </text>
    </comment>
    <comment ref="J30" authorId="0" shapeId="0" xr:uid="{00000000-0006-0000-0900-000094000000}">
      <text>
        <r>
          <rPr>
            <sz val="9"/>
            <color indexed="81"/>
            <rFont val="Tahoma"/>
            <family val="2"/>
          </rPr>
          <t xml:space="preserve">See notes on CFC11
</t>
        </r>
      </text>
    </comment>
    <comment ref="K30" authorId="0" shapeId="0" xr:uid="{00000000-0006-0000-0900-000095000000}">
      <text>
        <r>
          <rPr>
            <sz val="9"/>
            <color indexed="81"/>
            <rFont val="Tahoma"/>
            <family val="2"/>
          </rPr>
          <t xml:space="preserve">See notes on CFC11
</t>
        </r>
      </text>
    </comment>
    <comment ref="D31" authorId="0" shapeId="0" xr:uid="{00000000-0006-0000-0900-000096000000}">
      <text>
        <r>
          <rPr>
            <sz val="9"/>
            <color indexed="81"/>
            <rFont val="Tahoma"/>
            <family val="2"/>
          </rPr>
          <t>No GWP vallue was found in literature. The value used represent the average GWP100 for the other HCFCs in this list</t>
        </r>
      </text>
    </comment>
    <comment ref="F31" authorId="0" shapeId="0" xr:uid="{00000000-0006-0000-0900-000097000000}">
      <text>
        <r>
          <rPr>
            <sz val="9"/>
            <color indexed="81"/>
            <rFont val="Tahoma"/>
            <family val="2"/>
          </rPr>
          <t xml:space="preserve">The Montreal Protocol on Substances that Deplete the Ozone Layer. UNEP, 2000. ISBN 92-807-1888-6
</t>
        </r>
      </text>
    </comment>
    <comment ref="G31" authorId="0" shapeId="0" xr:uid="{00000000-0006-0000-0900-000098000000}">
      <text>
        <r>
          <rPr>
            <sz val="9"/>
            <color indexed="81"/>
            <rFont val="Tahoma"/>
            <family val="2"/>
          </rPr>
          <t xml:space="preserve">Estimated from the interval given in the montreal protocol   0.02–0.06
</t>
        </r>
      </text>
    </comment>
    <comment ref="H31" authorId="0" shapeId="0" xr:uid="{00000000-0006-0000-0900-000099000000}">
      <text>
        <r>
          <rPr>
            <sz val="9"/>
            <color indexed="81"/>
            <rFont val="Tahoma"/>
            <family val="2"/>
          </rPr>
          <t xml:space="preserve">See note on CFC-11
</t>
        </r>
      </text>
    </comment>
    <comment ref="J31" authorId="0" shapeId="0" xr:uid="{00000000-0006-0000-0900-00009A000000}">
      <text>
        <r>
          <rPr>
            <sz val="9"/>
            <color indexed="81"/>
            <rFont val="Tahoma"/>
            <family val="2"/>
          </rPr>
          <t xml:space="preserve">See notes on CFC11
</t>
        </r>
      </text>
    </comment>
    <comment ref="K31" authorId="0" shapeId="0" xr:uid="{00000000-0006-0000-0900-00009B000000}">
      <text>
        <r>
          <rPr>
            <sz val="9"/>
            <color indexed="81"/>
            <rFont val="Tahoma"/>
            <family val="2"/>
          </rPr>
          <t xml:space="preserve">See notes on CFC11
</t>
        </r>
      </text>
    </comment>
    <comment ref="D32" authorId="0" shapeId="0" xr:uid="{00000000-0006-0000-0900-00009C000000}">
      <text>
        <r>
          <rPr>
            <sz val="9"/>
            <color indexed="81"/>
            <rFont val="Tahoma"/>
            <family val="2"/>
          </rPr>
          <t>No GWP vallue was found in literature. The value used represent the average GWP100 for the other HCFCs in this list</t>
        </r>
      </text>
    </comment>
    <comment ref="F32" authorId="0" shapeId="0" xr:uid="{00000000-0006-0000-0900-00009D000000}">
      <text>
        <r>
          <rPr>
            <sz val="9"/>
            <color indexed="81"/>
            <rFont val="Tahoma"/>
            <family val="2"/>
          </rPr>
          <t xml:space="preserve">The Montreal Protocol on Substances that Deplete the Ozone Layer. UNEP, 2000. ISBN 92-807-1888-6
</t>
        </r>
      </text>
    </comment>
    <comment ref="G32" authorId="0" shapeId="0" xr:uid="{00000000-0006-0000-0900-00009E000000}">
      <text>
        <r>
          <rPr>
            <sz val="9"/>
            <color indexed="81"/>
            <rFont val="Tahoma"/>
            <family val="2"/>
          </rPr>
          <t xml:space="preserve">Estimated from the interval given in the montreal protocol  0.005–0.07
</t>
        </r>
      </text>
    </comment>
    <comment ref="H32" authorId="0" shapeId="0" xr:uid="{00000000-0006-0000-0900-00009F000000}">
      <text>
        <r>
          <rPr>
            <sz val="9"/>
            <color indexed="81"/>
            <rFont val="Tahoma"/>
            <family val="2"/>
          </rPr>
          <t xml:space="preserve">See note on CFC-11
</t>
        </r>
      </text>
    </comment>
    <comment ref="J32" authorId="0" shapeId="0" xr:uid="{00000000-0006-0000-0900-0000A0000000}">
      <text>
        <r>
          <rPr>
            <sz val="9"/>
            <color indexed="81"/>
            <rFont val="Tahoma"/>
            <family val="2"/>
          </rPr>
          <t xml:space="preserve">See notes on CFC11
</t>
        </r>
      </text>
    </comment>
    <comment ref="K32" authorId="0" shapeId="0" xr:uid="{00000000-0006-0000-0900-0000A1000000}">
      <text>
        <r>
          <rPr>
            <sz val="9"/>
            <color indexed="81"/>
            <rFont val="Tahoma"/>
            <family val="2"/>
          </rPr>
          <t xml:space="preserve">See notes on CFC11
</t>
        </r>
      </text>
    </comment>
    <comment ref="D33" authorId="0" shapeId="0" xr:uid="{00000000-0006-0000-0900-0000A2000000}">
      <text>
        <r>
          <rPr>
            <sz val="8"/>
            <color indexed="81"/>
            <rFont val="Tahoma"/>
            <family val="2"/>
          </rPr>
          <t xml:space="preserve">GWP100 including feedback mechanisms (IPCC AR5 WGI Table 8SM16)
</t>
        </r>
      </text>
    </comment>
    <comment ref="F33" authorId="0" shapeId="0" xr:uid="{00000000-0006-0000-0900-0000A3000000}">
      <text>
        <r>
          <rPr>
            <sz val="9"/>
            <color indexed="81"/>
            <rFont val="Tahoma"/>
            <family val="2"/>
          </rPr>
          <t xml:space="preserve">The Montreal Protocol on Substances that Deplete the Ozone Layer. UNEP, 2000. ISBN 92-807-1888-6
</t>
        </r>
      </text>
    </comment>
    <comment ref="H33" authorId="0" shapeId="0" xr:uid="{00000000-0006-0000-0900-0000A4000000}">
      <text>
        <r>
          <rPr>
            <sz val="9"/>
            <color indexed="81"/>
            <rFont val="Tahoma"/>
            <family val="2"/>
          </rPr>
          <t xml:space="preserve">See note on CFC-11
</t>
        </r>
      </text>
    </comment>
    <comment ref="J33" authorId="0" shapeId="0" xr:uid="{00000000-0006-0000-0900-0000A5000000}">
      <text>
        <r>
          <rPr>
            <sz val="9"/>
            <color indexed="81"/>
            <rFont val="Tahoma"/>
            <family val="2"/>
          </rPr>
          <t xml:space="preserve">See notes on CFC11
</t>
        </r>
      </text>
    </comment>
    <comment ref="K33" authorId="0" shapeId="0" xr:uid="{00000000-0006-0000-0900-0000A6000000}">
      <text>
        <r>
          <rPr>
            <sz val="9"/>
            <color indexed="81"/>
            <rFont val="Tahoma"/>
            <family val="2"/>
          </rPr>
          <t xml:space="preserve">See notes on CFC11
</t>
        </r>
      </text>
    </comment>
    <comment ref="D34" authorId="0" shapeId="0" xr:uid="{00000000-0006-0000-0900-0000A7000000}">
      <text>
        <r>
          <rPr>
            <sz val="9"/>
            <color indexed="81"/>
            <rFont val="Tahoma"/>
            <family val="2"/>
          </rPr>
          <t>No GWP vallue was found in literature. The value used represent the average GWP100 for the other HCFCs in this list</t>
        </r>
      </text>
    </comment>
    <comment ref="F34" authorId="0" shapeId="0" xr:uid="{00000000-0006-0000-0900-0000A8000000}">
      <text>
        <r>
          <rPr>
            <sz val="9"/>
            <color indexed="81"/>
            <rFont val="Tahoma"/>
            <family val="2"/>
          </rPr>
          <t xml:space="preserve">The Montreal Protocol on Substances that Deplete the Ozone Layer. UNEP, 2000. ISBN 92-807-1888-6
</t>
        </r>
      </text>
    </comment>
    <comment ref="G34" authorId="0" shapeId="0" xr:uid="{00000000-0006-0000-0900-0000A9000000}">
      <text>
        <r>
          <rPr>
            <sz val="9"/>
            <color indexed="81"/>
            <rFont val="Tahoma"/>
            <family val="2"/>
          </rPr>
          <t xml:space="preserve">0.008–0.07
</t>
        </r>
      </text>
    </comment>
    <comment ref="H34" authorId="0" shapeId="0" xr:uid="{00000000-0006-0000-0900-0000AA000000}">
      <text>
        <r>
          <rPr>
            <sz val="9"/>
            <color indexed="81"/>
            <rFont val="Tahoma"/>
            <family val="2"/>
          </rPr>
          <t xml:space="preserve">See note on CFC-11
</t>
        </r>
      </text>
    </comment>
    <comment ref="J34" authorId="0" shapeId="0" xr:uid="{00000000-0006-0000-0900-0000AB000000}">
      <text>
        <r>
          <rPr>
            <sz val="9"/>
            <color indexed="81"/>
            <rFont val="Tahoma"/>
            <family val="2"/>
          </rPr>
          <t xml:space="preserve">See notes on CFC11
</t>
        </r>
      </text>
    </comment>
    <comment ref="K34" authorId="0" shapeId="0" xr:uid="{00000000-0006-0000-0900-0000AC000000}">
      <text>
        <r>
          <rPr>
            <sz val="9"/>
            <color indexed="81"/>
            <rFont val="Tahoma"/>
            <family val="2"/>
          </rPr>
          <t xml:space="preserve">See notes on CFC11
</t>
        </r>
      </text>
    </comment>
    <comment ref="D35" authorId="0" shapeId="0" xr:uid="{00000000-0006-0000-0900-0000AD000000}">
      <text>
        <r>
          <rPr>
            <sz val="8"/>
            <color indexed="81"/>
            <rFont val="Tahoma"/>
            <family val="2"/>
          </rPr>
          <t xml:space="preserve">GWP100 including feedback mechanisms (IPCC AR5 WGI Table 8SM16)
</t>
        </r>
      </text>
    </comment>
    <comment ref="F35" authorId="0" shapeId="0" xr:uid="{00000000-0006-0000-0900-0000AE000000}">
      <text>
        <r>
          <rPr>
            <sz val="9"/>
            <color indexed="81"/>
            <rFont val="Tahoma"/>
            <family val="2"/>
          </rPr>
          <t xml:space="preserve">The Montreal Protocol on Substances that Deplete the Ozone Layer. UNEP, 2000. ISBN 92-807-1888-6
</t>
        </r>
      </text>
    </comment>
    <comment ref="H35" authorId="0" shapeId="0" xr:uid="{00000000-0006-0000-0900-0000AF000000}">
      <text>
        <r>
          <rPr>
            <sz val="9"/>
            <color indexed="81"/>
            <rFont val="Tahoma"/>
            <family val="2"/>
          </rPr>
          <t xml:space="preserve">See note on CFC-11
</t>
        </r>
      </text>
    </comment>
    <comment ref="J35" authorId="0" shapeId="0" xr:uid="{00000000-0006-0000-0900-0000B0000000}">
      <text>
        <r>
          <rPr>
            <sz val="9"/>
            <color indexed="81"/>
            <rFont val="Tahoma"/>
            <family val="2"/>
          </rPr>
          <t xml:space="preserve">See notes on CFC11
</t>
        </r>
      </text>
    </comment>
    <comment ref="K35" authorId="0" shapeId="0" xr:uid="{00000000-0006-0000-0900-0000B1000000}">
      <text>
        <r>
          <rPr>
            <sz val="9"/>
            <color indexed="81"/>
            <rFont val="Tahoma"/>
            <family val="2"/>
          </rPr>
          <t xml:space="preserve">See notes on CFC11
</t>
        </r>
      </text>
    </comment>
    <comment ref="D36" authorId="0" shapeId="0" xr:uid="{00000000-0006-0000-0900-0000B2000000}">
      <text>
        <r>
          <rPr>
            <sz val="9"/>
            <color indexed="81"/>
            <rFont val="Tahoma"/>
            <family val="2"/>
          </rPr>
          <t>No GWP vallue was found in literature. The value used represent the average GWP100 for the other HCFCs in this list</t>
        </r>
      </text>
    </comment>
    <comment ref="F36" authorId="0" shapeId="0" xr:uid="{00000000-0006-0000-0900-0000B3000000}">
      <text>
        <r>
          <rPr>
            <sz val="9"/>
            <color indexed="81"/>
            <rFont val="Tahoma"/>
            <family val="2"/>
          </rPr>
          <t xml:space="preserve">The Montreal Protocol on Substances that Deplete the Ozone Layer. UNEP, 2000. ISBN 92-807-1888-6
</t>
        </r>
      </text>
    </comment>
    <comment ref="G36" authorId="0" shapeId="0" xr:uid="{00000000-0006-0000-0900-0000B4000000}">
      <text>
        <r>
          <rPr>
            <sz val="9"/>
            <color indexed="81"/>
            <rFont val="Tahoma"/>
            <family val="2"/>
          </rPr>
          <t xml:space="preserve">0.003–0.005
</t>
        </r>
      </text>
    </comment>
    <comment ref="H36" authorId="0" shapeId="0" xr:uid="{00000000-0006-0000-0900-0000B5000000}">
      <text>
        <r>
          <rPr>
            <sz val="9"/>
            <color indexed="81"/>
            <rFont val="Tahoma"/>
            <family val="2"/>
          </rPr>
          <t xml:space="preserve">See note on CFC-11
</t>
        </r>
      </text>
    </comment>
    <comment ref="J36" authorId="0" shapeId="0" xr:uid="{00000000-0006-0000-0900-0000B6000000}">
      <text>
        <r>
          <rPr>
            <sz val="9"/>
            <color indexed="81"/>
            <rFont val="Tahoma"/>
            <family val="2"/>
          </rPr>
          <t xml:space="preserve">See notes on CFC11
</t>
        </r>
      </text>
    </comment>
    <comment ref="K36" authorId="0" shapeId="0" xr:uid="{00000000-0006-0000-0900-0000B7000000}">
      <text>
        <r>
          <rPr>
            <sz val="9"/>
            <color indexed="81"/>
            <rFont val="Tahoma"/>
            <family val="2"/>
          </rPr>
          <t xml:space="preserve">See notes on CFC11
</t>
        </r>
      </text>
    </comment>
    <comment ref="D37" authorId="0" shapeId="0" xr:uid="{00000000-0006-0000-0900-0000B8000000}">
      <text>
        <r>
          <rPr>
            <sz val="9"/>
            <color indexed="81"/>
            <rFont val="Tahoma"/>
            <family val="2"/>
          </rPr>
          <t>No GWP vallue was found in literature. The value used represent the average GWP100 for the other HCFCs in this list</t>
        </r>
      </text>
    </comment>
    <comment ref="G37" authorId="0" shapeId="0" xr:uid="{00000000-0006-0000-0900-0000B9000000}">
      <text>
        <r>
          <rPr>
            <sz val="9"/>
            <color indexed="81"/>
            <rFont val="Tahoma"/>
            <family val="2"/>
          </rPr>
          <t xml:space="preserve">0.015–0.07
</t>
        </r>
      </text>
    </comment>
    <comment ref="H37" authorId="0" shapeId="0" xr:uid="{00000000-0006-0000-0900-0000BA000000}">
      <text>
        <r>
          <rPr>
            <sz val="9"/>
            <color indexed="81"/>
            <rFont val="Tahoma"/>
            <family val="2"/>
          </rPr>
          <t xml:space="preserve">See note on CFC-11
</t>
        </r>
      </text>
    </comment>
    <comment ref="J37" authorId="0" shapeId="0" xr:uid="{00000000-0006-0000-0900-0000BB000000}">
      <text>
        <r>
          <rPr>
            <sz val="9"/>
            <color indexed="81"/>
            <rFont val="Tahoma"/>
            <family val="2"/>
          </rPr>
          <t xml:space="preserve">See notes on CFC11
</t>
        </r>
      </text>
    </comment>
    <comment ref="K37" authorId="0" shapeId="0" xr:uid="{00000000-0006-0000-0900-0000BC000000}">
      <text>
        <r>
          <rPr>
            <sz val="9"/>
            <color indexed="81"/>
            <rFont val="Tahoma"/>
            <family val="2"/>
          </rPr>
          <t xml:space="preserve">See notes on CFC11
</t>
        </r>
      </text>
    </comment>
    <comment ref="D38" authorId="0" shapeId="0" xr:uid="{00000000-0006-0000-0900-0000BD000000}">
      <text>
        <r>
          <rPr>
            <sz val="9"/>
            <color indexed="81"/>
            <rFont val="Tahoma"/>
            <family val="2"/>
          </rPr>
          <t>No GWP vallue was found in literature. The value used represent the average GWP100 for the other HCFCs in this list</t>
        </r>
      </text>
    </comment>
    <comment ref="G38" authorId="0" shapeId="0" xr:uid="{00000000-0006-0000-0900-0000BE000000}">
      <text>
        <r>
          <rPr>
            <sz val="9"/>
            <color indexed="81"/>
            <rFont val="Tahoma"/>
            <family val="2"/>
          </rPr>
          <t xml:space="preserve">0.01–0.09
</t>
        </r>
      </text>
    </comment>
    <comment ref="H38" authorId="0" shapeId="0" xr:uid="{00000000-0006-0000-0900-0000BF000000}">
      <text>
        <r>
          <rPr>
            <sz val="9"/>
            <color indexed="81"/>
            <rFont val="Tahoma"/>
            <family val="2"/>
          </rPr>
          <t xml:space="preserve">See note on CFC-11
</t>
        </r>
      </text>
    </comment>
    <comment ref="J38" authorId="0" shapeId="0" xr:uid="{00000000-0006-0000-0900-0000C0000000}">
      <text>
        <r>
          <rPr>
            <sz val="9"/>
            <color indexed="81"/>
            <rFont val="Tahoma"/>
            <family val="2"/>
          </rPr>
          <t xml:space="preserve">See notes on CFC11
</t>
        </r>
      </text>
    </comment>
    <comment ref="K38" authorId="0" shapeId="0" xr:uid="{00000000-0006-0000-0900-0000C1000000}">
      <text>
        <r>
          <rPr>
            <sz val="9"/>
            <color indexed="81"/>
            <rFont val="Tahoma"/>
            <family val="2"/>
          </rPr>
          <t xml:space="preserve">See notes on CFC11
</t>
        </r>
      </text>
    </comment>
    <comment ref="D39" authorId="0" shapeId="0" xr:uid="{00000000-0006-0000-0900-0000C2000000}">
      <text>
        <r>
          <rPr>
            <sz val="9"/>
            <color indexed="81"/>
            <rFont val="Tahoma"/>
            <family val="2"/>
          </rPr>
          <t>No GWP vallue was found in literature. The value used represent the average GWP100 for the other HCFCs in this list</t>
        </r>
      </text>
    </comment>
    <comment ref="G39" authorId="0" shapeId="0" xr:uid="{00000000-0006-0000-0900-0000C3000000}">
      <text>
        <r>
          <rPr>
            <sz val="9"/>
            <color indexed="81"/>
            <rFont val="Tahoma"/>
            <family val="2"/>
          </rPr>
          <t xml:space="preserve">0.01–0.08
</t>
        </r>
      </text>
    </comment>
    <comment ref="H39" authorId="0" shapeId="0" xr:uid="{00000000-0006-0000-0900-0000C4000000}">
      <text>
        <r>
          <rPr>
            <sz val="9"/>
            <color indexed="81"/>
            <rFont val="Tahoma"/>
            <family val="2"/>
          </rPr>
          <t xml:space="preserve">See note on CFC-11
</t>
        </r>
      </text>
    </comment>
    <comment ref="J39" authorId="0" shapeId="0" xr:uid="{00000000-0006-0000-0900-0000C5000000}">
      <text>
        <r>
          <rPr>
            <sz val="9"/>
            <color indexed="81"/>
            <rFont val="Tahoma"/>
            <family val="2"/>
          </rPr>
          <t xml:space="preserve">See notes on CFC11
</t>
        </r>
      </text>
    </comment>
    <comment ref="K39" authorId="0" shapeId="0" xr:uid="{00000000-0006-0000-0900-0000C6000000}">
      <text>
        <r>
          <rPr>
            <sz val="9"/>
            <color indexed="81"/>
            <rFont val="Tahoma"/>
            <family val="2"/>
          </rPr>
          <t xml:space="preserve">See notes on CFC11
</t>
        </r>
      </text>
    </comment>
    <comment ref="D40" authorId="0" shapeId="0" xr:uid="{00000000-0006-0000-0900-0000C7000000}">
      <text>
        <r>
          <rPr>
            <sz val="9"/>
            <color indexed="81"/>
            <rFont val="Tahoma"/>
            <family val="2"/>
          </rPr>
          <t>No GWP vallue was found in literature. The value used represent the average GWP100 for the other HCFCs in this list</t>
        </r>
      </text>
    </comment>
    <comment ref="G40" authorId="0" shapeId="0" xr:uid="{00000000-0006-0000-0900-0000C8000000}">
      <text>
        <r>
          <rPr>
            <sz val="9"/>
            <color indexed="81"/>
            <rFont val="Tahoma"/>
            <family val="2"/>
          </rPr>
          <t xml:space="preserve">0.01–0.09
</t>
        </r>
      </text>
    </comment>
    <comment ref="H40" authorId="0" shapeId="0" xr:uid="{00000000-0006-0000-0900-0000C9000000}">
      <text>
        <r>
          <rPr>
            <sz val="9"/>
            <color indexed="81"/>
            <rFont val="Tahoma"/>
            <family val="2"/>
          </rPr>
          <t xml:space="preserve">See note on CFC-11
</t>
        </r>
      </text>
    </comment>
    <comment ref="J40" authorId="0" shapeId="0" xr:uid="{00000000-0006-0000-0900-0000CA000000}">
      <text>
        <r>
          <rPr>
            <sz val="9"/>
            <color indexed="81"/>
            <rFont val="Tahoma"/>
            <family val="2"/>
          </rPr>
          <t xml:space="preserve">See notes on CFC11
</t>
        </r>
      </text>
    </comment>
    <comment ref="K40" authorId="0" shapeId="0" xr:uid="{00000000-0006-0000-0900-0000CB000000}">
      <text>
        <r>
          <rPr>
            <sz val="9"/>
            <color indexed="81"/>
            <rFont val="Tahoma"/>
            <family val="2"/>
          </rPr>
          <t xml:space="preserve">See notes on CFC11
</t>
        </r>
      </text>
    </comment>
    <comment ref="D41" authorId="0" shapeId="0" xr:uid="{00000000-0006-0000-0900-0000CC000000}">
      <text>
        <r>
          <rPr>
            <sz val="9"/>
            <color indexed="81"/>
            <rFont val="Tahoma"/>
            <family val="2"/>
          </rPr>
          <t>No GWP vallue was found in literature. The value used represent the average GWP100 for the other HCFCs in this list</t>
        </r>
      </text>
    </comment>
    <comment ref="G41" authorId="0" shapeId="0" xr:uid="{00000000-0006-0000-0900-0000CD000000}">
      <text>
        <r>
          <rPr>
            <sz val="9"/>
            <color indexed="81"/>
            <rFont val="Tahoma"/>
            <family val="2"/>
          </rPr>
          <t xml:space="preserve">0.02–0.07
</t>
        </r>
      </text>
    </comment>
    <comment ref="H41" authorId="0" shapeId="0" xr:uid="{00000000-0006-0000-0900-0000CE000000}">
      <text>
        <r>
          <rPr>
            <sz val="9"/>
            <color indexed="81"/>
            <rFont val="Tahoma"/>
            <family val="2"/>
          </rPr>
          <t xml:space="preserve">See note on CFC-11
</t>
        </r>
      </text>
    </comment>
    <comment ref="J41" authorId="0" shapeId="0" xr:uid="{00000000-0006-0000-0900-0000CF000000}">
      <text>
        <r>
          <rPr>
            <sz val="9"/>
            <color indexed="81"/>
            <rFont val="Tahoma"/>
            <family val="2"/>
          </rPr>
          <t xml:space="preserve">See notes on CFC11
</t>
        </r>
      </text>
    </comment>
    <comment ref="K41" authorId="0" shapeId="0" xr:uid="{00000000-0006-0000-0900-0000D0000000}">
      <text>
        <r>
          <rPr>
            <sz val="9"/>
            <color indexed="81"/>
            <rFont val="Tahoma"/>
            <family val="2"/>
          </rPr>
          <t xml:space="preserve">See notes on CFC11
</t>
        </r>
      </text>
    </comment>
    <comment ref="D42" authorId="0" shapeId="0" xr:uid="{00000000-0006-0000-0900-0000D1000000}">
      <text>
        <r>
          <rPr>
            <sz val="8"/>
            <color indexed="81"/>
            <rFont val="Tahoma"/>
            <family val="2"/>
          </rPr>
          <t xml:space="preserve">GWP100 including feedback mechanisms (IPCC AR5 WGI Table 8SM16)
</t>
        </r>
      </text>
    </comment>
    <comment ref="H42" authorId="0" shapeId="0" xr:uid="{00000000-0006-0000-0900-0000D2000000}">
      <text>
        <r>
          <rPr>
            <sz val="9"/>
            <color indexed="81"/>
            <rFont val="Tahoma"/>
            <family val="2"/>
          </rPr>
          <t xml:space="preserve">See note on CFC-11
</t>
        </r>
      </text>
    </comment>
    <comment ref="J42" authorId="0" shapeId="0" xr:uid="{00000000-0006-0000-0900-0000D3000000}">
      <text>
        <r>
          <rPr>
            <sz val="9"/>
            <color indexed="81"/>
            <rFont val="Tahoma"/>
            <family val="2"/>
          </rPr>
          <t xml:space="preserve">See notes on CFC11
</t>
        </r>
      </text>
    </comment>
    <comment ref="K42" authorId="0" shapeId="0" xr:uid="{00000000-0006-0000-0900-0000D4000000}">
      <text>
        <r>
          <rPr>
            <sz val="9"/>
            <color indexed="81"/>
            <rFont val="Tahoma"/>
            <family val="2"/>
          </rPr>
          <t xml:space="preserve">See notes on CFC11
</t>
        </r>
      </text>
    </comment>
    <comment ref="D43" authorId="0" shapeId="0" xr:uid="{00000000-0006-0000-0900-0000D5000000}">
      <text>
        <r>
          <rPr>
            <sz val="8"/>
            <color indexed="81"/>
            <rFont val="Tahoma"/>
            <family val="2"/>
          </rPr>
          <t xml:space="preserve">GWP100 including feedback mechanisms (IPCC AR5 WGI Table 8SM16)
</t>
        </r>
      </text>
    </comment>
    <comment ref="H43" authorId="0" shapeId="0" xr:uid="{00000000-0006-0000-0900-0000D6000000}">
      <text>
        <r>
          <rPr>
            <sz val="9"/>
            <color indexed="81"/>
            <rFont val="Tahoma"/>
            <family val="2"/>
          </rPr>
          <t xml:space="preserve">See note on CFC-11
</t>
        </r>
      </text>
    </comment>
    <comment ref="J43" authorId="0" shapeId="0" xr:uid="{00000000-0006-0000-0900-0000D7000000}">
      <text>
        <r>
          <rPr>
            <sz val="9"/>
            <color indexed="81"/>
            <rFont val="Tahoma"/>
            <family val="2"/>
          </rPr>
          <t xml:space="preserve">See notes on CFC11
</t>
        </r>
      </text>
    </comment>
    <comment ref="K43" authorId="0" shapeId="0" xr:uid="{00000000-0006-0000-0900-0000D8000000}">
      <text>
        <r>
          <rPr>
            <sz val="9"/>
            <color indexed="81"/>
            <rFont val="Tahoma"/>
            <family val="2"/>
          </rPr>
          <t xml:space="preserve">See notes on CFC11
</t>
        </r>
      </text>
    </comment>
    <comment ref="D44" authorId="0" shapeId="0" xr:uid="{00000000-0006-0000-0900-0000D9000000}">
      <text>
        <r>
          <rPr>
            <sz val="9"/>
            <color indexed="81"/>
            <rFont val="Tahoma"/>
            <family val="2"/>
          </rPr>
          <t>No GWP vallue was found in literature. The value used represent the average GWP100 for the other HCFCs in this list</t>
        </r>
      </text>
    </comment>
    <comment ref="G44" authorId="0" shapeId="0" xr:uid="{00000000-0006-0000-0900-0000DA000000}">
      <text>
        <r>
          <rPr>
            <sz val="9"/>
            <color indexed="81"/>
            <rFont val="Tahoma"/>
            <family val="2"/>
          </rPr>
          <t xml:space="preserve">0.02–0.10
</t>
        </r>
      </text>
    </comment>
    <comment ref="H44" authorId="0" shapeId="0" xr:uid="{00000000-0006-0000-0900-0000DB000000}">
      <text>
        <r>
          <rPr>
            <sz val="9"/>
            <color indexed="81"/>
            <rFont val="Tahoma"/>
            <family val="2"/>
          </rPr>
          <t xml:space="preserve">See note on CFC-11
</t>
        </r>
      </text>
    </comment>
    <comment ref="J44" authorId="0" shapeId="0" xr:uid="{00000000-0006-0000-0900-0000DC000000}">
      <text>
        <r>
          <rPr>
            <sz val="9"/>
            <color indexed="81"/>
            <rFont val="Tahoma"/>
            <family val="2"/>
          </rPr>
          <t xml:space="preserve">See notes on CFC11
</t>
        </r>
      </text>
    </comment>
    <comment ref="K44" authorId="0" shapeId="0" xr:uid="{00000000-0006-0000-0900-0000DD000000}">
      <text>
        <r>
          <rPr>
            <sz val="9"/>
            <color indexed="81"/>
            <rFont val="Tahoma"/>
            <family val="2"/>
          </rPr>
          <t xml:space="preserve">See notes on CFC11
</t>
        </r>
      </text>
    </comment>
    <comment ref="D45" authorId="0" shapeId="0" xr:uid="{00000000-0006-0000-0900-0000DE000000}">
      <text>
        <r>
          <rPr>
            <sz val="9"/>
            <color indexed="81"/>
            <rFont val="Tahoma"/>
            <family val="2"/>
          </rPr>
          <t>No GWP vallue was found in literature. The value used represent the average GWP100 for the other HCFCs in this list</t>
        </r>
      </text>
    </comment>
    <comment ref="G45" authorId="0" shapeId="0" xr:uid="{00000000-0006-0000-0900-0000DF000000}">
      <text>
        <r>
          <rPr>
            <sz val="9"/>
            <color indexed="81"/>
            <rFont val="Tahoma"/>
            <family val="2"/>
          </rPr>
          <t xml:space="preserve">0.05–0.09
</t>
        </r>
      </text>
    </comment>
    <comment ref="H45" authorId="0" shapeId="0" xr:uid="{00000000-0006-0000-0900-0000E0000000}">
      <text>
        <r>
          <rPr>
            <sz val="9"/>
            <color indexed="81"/>
            <rFont val="Tahoma"/>
            <family val="2"/>
          </rPr>
          <t xml:space="preserve">See note on CFC-11
</t>
        </r>
      </text>
    </comment>
    <comment ref="J45" authorId="0" shapeId="0" xr:uid="{00000000-0006-0000-0900-0000E1000000}">
      <text>
        <r>
          <rPr>
            <sz val="9"/>
            <color indexed="81"/>
            <rFont val="Tahoma"/>
            <family val="2"/>
          </rPr>
          <t xml:space="preserve">See notes on CFC11
</t>
        </r>
      </text>
    </comment>
    <comment ref="K45" authorId="0" shapeId="0" xr:uid="{00000000-0006-0000-0900-0000E2000000}">
      <text>
        <r>
          <rPr>
            <sz val="9"/>
            <color indexed="81"/>
            <rFont val="Tahoma"/>
            <family val="2"/>
          </rPr>
          <t xml:space="preserve">See notes on CFC11
</t>
        </r>
      </text>
    </comment>
    <comment ref="D46" authorId="0" shapeId="0" xr:uid="{00000000-0006-0000-0900-0000E3000000}">
      <text>
        <r>
          <rPr>
            <sz val="9"/>
            <color indexed="81"/>
            <rFont val="Tahoma"/>
            <family val="2"/>
          </rPr>
          <t>No GWP vallue was found in literature. The value used represent the average GWP100 for the other HCFCs in this list</t>
        </r>
      </text>
    </comment>
    <comment ref="G46" authorId="0" shapeId="0" xr:uid="{00000000-0006-0000-0900-0000E4000000}">
      <text>
        <r>
          <rPr>
            <sz val="9"/>
            <color indexed="81"/>
            <rFont val="Tahoma"/>
            <family val="2"/>
          </rPr>
          <t xml:space="preserve">0.008–0.10
</t>
        </r>
      </text>
    </comment>
    <comment ref="H46" authorId="0" shapeId="0" xr:uid="{00000000-0006-0000-0900-0000E5000000}">
      <text>
        <r>
          <rPr>
            <sz val="9"/>
            <color indexed="81"/>
            <rFont val="Tahoma"/>
            <family val="2"/>
          </rPr>
          <t xml:space="preserve">See note on CFC-11
</t>
        </r>
      </text>
    </comment>
    <comment ref="J46" authorId="0" shapeId="0" xr:uid="{00000000-0006-0000-0900-0000E6000000}">
      <text>
        <r>
          <rPr>
            <sz val="9"/>
            <color indexed="81"/>
            <rFont val="Tahoma"/>
            <family val="2"/>
          </rPr>
          <t xml:space="preserve">See notes on CFC11
</t>
        </r>
      </text>
    </comment>
    <comment ref="K46" authorId="0" shapeId="0" xr:uid="{00000000-0006-0000-0900-0000E7000000}">
      <text>
        <r>
          <rPr>
            <sz val="9"/>
            <color indexed="81"/>
            <rFont val="Tahoma"/>
            <family val="2"/>
          </rPr>
          <t xml:space="preserve">See notes on CFC11
</t>
        </r>
      </text>
    </comment>
    <comment ref="D47" authorId="0" shapeId="0" xr:uid="{00000000-0006-0000-0900-0000E8000000}">
      <text>
        <r>
          <rPr>
            <sz val="9"/>
            <color indexed="81"/>
            <rFont val="Tahoma"/>
            <family val="2"/>
          </rPr>
          <t>No GWP vallue was found in literature. The value used represent the average GWP100 for the other HCFCs in this list</t>
        </r>
      </text>
    </comment>
    <comment ref="G47" authorId="0" shapeId="0" xr:uid="{00000000-0006-0000-0900-0000E9000000}">
      <text>
        <r>
          <rPr>
            <sz val="9"/>
            <color indexed="81"/>
            <rFont val="Tahoma"/>
            <family val="2"/>
          </rPr>
          <t xml:space="preserve">0.007–0.23
</t>
        </r>
      </text>
    </comment>
    <comment ref="H47" authorId="0" shapeId="0" xr:uid="{00000000-0006-0000-0900-0000EA000000}">
      <text>
        <r>
          <rPr>
            <sz val="9"/>
            <color indexed="81"/>
            <rFont val="Tahoma"/>
            <family val="2"/>
          </rPr>
          <t xml:space="preserve">See note on CFC-11
</t>
        </r>
      </text>
    </comment>
    <comment ref="J47" authorId="0" shapeId="0" xr:uid="{00000000-0006-0000-0900-0000EB000000}">
      <text>
        <r>
          <rPr>
            <sz val="9"/>
            <color indexed="81"/>
            <rFont val="Tahoma"/>
            <family val="2"/>
          </rPr>
          <t xml:space="preserve">See notes on CFC11
</t>
        </r>
      </text>
    </comment>
    <comment ref="K47" authorId="0" shapeId="0" xr:uid="{00000000-0006-0000-0900-0000EC000000}">
      <text>
        <r>
          <rPr>
            <sz val="9"/>
            <color indexed="81"/>
            <rFont val="Tahoma"/>
            <family val="2"/>
          </rPr>
          <t xml:space="preserve">See notes on CFC11
</t>
        </r>
      </text>
    </comment>
    <comment ref="D48" authorId="0" shapeId="0" xr:uid="{00000000-0006-0000-0900-0000ED000000}">
      <text>
        <r>
          <rPr>
            <sz val="9"/>
            <color indexed="81"/>
            <rFont val="Tahoma"/>
            <family val="2"/>
          </rPr>
          <t>No GWP vallue was found in literature. The value used represent the average GWP100 for the other HCFCs in this list</t>
        </r>
      </text>
    </comment>
    <comment ref="G48" authorId="0" shapeId="0" xr:uid="{00000000-0006-0000-0900-0000EE000000}">
      <text>
        <r>
          <rPr>
            <sz val="9"/>
            <color indexed="81"/>
            <rFont val="Tahoma"/>
            <family val="2"/>
          </rPr>
          <t xml:space="preserve">0.01–0.28
</t>
        </r>
      </text>
    </comment>
    <comment ref="H48" authorId="0" shapeId="0" xr:uid="{00000000-0006-0000-0900-0000EF000000}">
      <text>
        <r>
          <rPr>
            <sz val="9"/>
            <color indexed="81"/>
            <rFont val="Tahoma"/>
            <family val="2"/>
          </rPr>
          <t xml:space="preserve">See note on CFC-11
</t>
        </r>
      </text>
    </comment>
    <comment ref="J48" authorId="0" shapeId="0" xr:uid="{00000000-0006-0000-0900-0000F0000000}">
      <text>
        <r>
          <rPr>
            <sz val="9"/>
            <color indexed="81"/>
            <rFont val="Tahoma"/>
            <family val="2"/>
          </rPr>
          <t xml:space="preserve">See notes on CFC11
</t>
        </r>
      </text>
    </comment>
    <comment ref="K48" authorId="0" shapeId="0" xr:uid="{00000000-0006-0000-0900-0000F1000000}">
      <text>
        <r>
          <rPr>
            <sz val="9"/>
            <color indexed="81"/>
            <rFont val="Tahoma"/>
            <family val="2"/>
          </rPr>
          <t xml:space="preserve">See notes on CFC11
</t>
        </r>
      </text>
    </comment>
    <comment ref="D49" authorId="0" shapeId="0" xr:uid="{00000000-0006-0000-0900-0000F2000000}">
      <text>
        <r>
          <rPr>
            <sz val="9"/>
            <color indexed="81"/>
            <rFont val="Tahoma"/>
            <family val="2"/>
          </rPr>
          <t>No GWP vallue was found in literature. The value used represent the average GWP100 for the other HCFCs in this list</t>
        </r>
      </text>
    </comment>
    <comment ref="G49" authorId="0" shapeId="0" xr:uid="{00000000-0006-0000-0900-0000F3000000}">
      <text>
        <r>
          <rPr>
            <sz val="9"/>
            <color indexed="81"/>
            <rFont val="Tahoma"/>
            <family val="2"/>
          </rPr>
          <t xml:space="preserve">0.03–0.52
</t>
        </r>
      </text>
    </comment>
    <comment ref="H49" authorId="0" shapeId="0" xr:uid="{00000000-0006-0000-0900-0000F4000000}">
      <text>
        <r>
          <rPr>
            <sz val="9"/>
            <color indexed="81"/>
            <rFont val="Tahoma"/>
            <family val="2"/>
          </rPr>
          <t xml:space="preserve">See note on CFC-11
</t>
        </r>
      </text>
    </comment>
    <comment ref="J49" authorId="0" shapeId="0" xr:uid="{00000000-0006-0000-0900-0000F5000000}">
      <text>
        <r>
          <rPr>
            <sz val="9"/>
            <color indexed="81"/>
            <rFont val="Tahoma"/>
            <family val="2"/>
          </rPr>
          <t xml:space="preserve">See notes on CFC11
</t>
        </r>
      </text>
    </comment>
    <comment ref="K49" authorId="0" shapeId="0" xr:uid="{00000000-0006-0000-0900-0000F6000000}">
      <text>
        <r>
          <rPr>
            <sz val="9"/>
            <color indexed="81"/>
            <rFont val="Tahoma"/>
            <family val="2"/>
          </rPr>
          <t xml:space="preserve">See notes on CFC11
</t>
        </r>
      </text>
    </comment>
    <comment ref="D50" authorId="0" shapeId="0" xr:uid="{00000000-0006-0000-0900-0000F7000000}">
      <text>
        <r>
          <rPr>
            <sz val="9"/>
            <color indexed="81"/>
            <rFont val="Tahoma"/>
            <family val="2"/>
          </rPr>
          <t>No GWP vallue was found in literature. The value used represent the average GWP100 for the other HCFCs in this list</t>
        </r>
      </text>
    </comment>
    <comment ref="G50" authorId="0" shapeId="0" xr:uid="{00000000-0006-0000-0900-0000F8000000}">
      <text>
        <r>
          <rPr>
            <sz val="9"/>
            <color indexed="81"/>
            <rFont val="Tahoma"/>
            <family val="2"/>
          </rPr>
          <t xml:space="preserve">0.004–0.09
</t>
        </r>
      </text>
    </comment>
    <comment ref="H50" authorId="0" shapeId="0" xr:uid="{00000000-0006-0000-0900-0000F9000000}">
      <text>
        <r>
          <rPr>
            <sz val="9"/>
            <color indexed="81"/>
            <rFont val="Tahoma"/>
            <family val="2"/>
          </rPr>
          <t xml:space="preserve">See note on CFC-11
</t>
        </r>
      </text>
    </comment>
    <comment ref="J50" authorId="0" shapeId="0" xr:uid="{00000000-0006-0000-0900-0000FA000000}">
      <text>
        <r>
          <rPr>
            <sz val="9"/>
            <color indexed="81"/>
            <rFont val="Tahoma"/>
            <family val="2"/>
          </rPr>
          <t xml:space="preserve">See notes on CFC11
</t>
        </r>
      </text>
    </comment>
    <comment ref="K50" authorId="0" shapeId="0" xr:uid="{00000000-0006-0000-0900-0000FB000000}">
      <text>
        <r>
          <rPr>
            <sz val="9"/>
            <color indexed="81"/>
            <rFont val="Tahoma"/>
            <family val="2"/>
          </rPr>
          <t xml:space="preserve">See notes on CFC11
</t>
        </r>
      </text>
    </comment>
    <comment ref="D51" authorId="0" shapeId="0" xr:uid="{00000000-0006-0000-0900-0000FC000000}">
      <text>
        <r>
          <rPr>
            <sz val="9"/>
            <color indexed="81"/>
            <rFont val="Tahoma"/>
            <family val="2"/>
          </rPr>
          <t>No GWP vallue was found in literature. The value used represent the average GWP100 for the other HCFCs in this list</t>
        </r>
      </text>
    </comment>
    <comment ref="G51" authorId="0" shapeId="0" xr:uid="{00000000-0006-0000-0900-0000FD000000}">
      <text>
        <r>
          <rPr>
            <sz val="9"/>
            <color indexed="81"/>
            <rFont val="Tahoma"/>
            <family val="2"/>
          </rPr>
          <t xml:space="preserve">0.005–0.13
</t>
        </r>
      </text>
    </comment>
    <comment ref="H51" authorId="0" shapeId="0" xr:uid="{00000000-0006-0000-0900-0000FE000000}">
      <text>
        <r>
          <rPr>
            <sz val="9"/>
            <color indexed="81"/>
            <rFont val="Tahoma"/>
            <family val="2"/>
          </rPr>
          <t xml:space="preserve">See note on CFC-11
</t>
        </r>
      </text>
    </comment>
    <comment ref="J51" authorId="0" shapeId="0" xr:uid="{00000000-0006-0000-0900-0000FF000000}">
      <text>
        <r>
          <rPr>
            <sz val="9"/>
            <color indexed="81"/>
            <rFont val="Tahoma"/>
            <family val="2"/>
          </rPr>
          <t xml:space="preserve">See notes on CFC11
</t>
        </r>
      </text>
    </comment>
    <comment ref="K51" authorId="0" shapeId="0" xr:uid="{00000000-0006-0000-0900-000000010000}">
      <text>
        <r>
          <rPr>
            <sz val="9"/>
            <color indexed="81"/>
            <rFont val="Tahoma"/>
            <family val="2"/>
          </rPr>
          <t xml:space="preserve">See notes on CFC11
</t>
        </r>
      </text>
    </comment>
    <comment ref="D52" authorId="0" shapeId="0" xr:uid="{00000000-0006-0000-0900-000001010000}">
      <text>
        <r>
          <rPr>
            <sz val="9"/>
            <color indexed="81"/>
            <rFont val="Tahoma"/>
            <family val="2"/>
          </rPr>
          <t>No GWP vallue was found in literature. The value used represent the average GWP100 for the other HCFCs in this list</t>
        </r>
      </text>
    </comment>
    <comment ref="G52" authorId="0" shapeId="0" xr:uid="{00000000-0006-0000-0900-000002010000}">
      <text>
        <r>
          <rPr>
            <sz val="9"/>
            <color indexed="81"/>
            <rFont val="Tahoma"/>
            <family val="2"/>
          </rPr>
          <t xml:space="preserve">0.007–0.12
</t>
        </r>
      </text>
    </comment>
    <comment ref="H52" authorId="0" shapeId="0" xr:uid="{00000000-0006-0000-0900-000003010000}">
      <text>
        <r>
          <rPr>
            <sz val="9"/>
            <color indexed="81"/>
            <rFont val="Tahoma"/>
            <family val="2"/>
          </rPr>
          <t xml:space="preserve">See note on CFC-11
</t>
        </r>
      </text>
    </comment>
    <comment ref="J52" authorId="0" shapeId="0" xr:uid="{00000000-0006-0000-0900-000004010000}">
      <text>
        <r>
          <rPr>
            <sz val="9"/>
            <color indexed="81"/>
            <rFont val="Tahoma"/>
            <family val="2"/>
          </rPr>
          <t xml:space="preserve">See notes on CFC11
</t>
        </r>
      </text>
    </comment>
    <comment ref="K52" authorId="0" shapeId="0" xr:uid="{00000000-0006-0000-0900-000005010000}">
      <text>
        <r>
          <rPr>
            <sz val="9"/>
            <color indexed="81"/>
            <rFont val="Tahoma"/>
            <family val="2"/>
          </rPr>
          <t xml:space="preserve">See notes on CFC11
</t>
        </r>
      </text>
    </comment>
    <comment ref="D53" authorId="0" shapeId="0" xr:uid="{00000000-0006-0000-0900-000006010000}">
      <text>
        <r>
          <rPr>
            <sz val="9"/>
            <color indexed="81"/>
            <rFont val="Tahoma"/>
            <family val="2"/>
          </rPr>
          <t>No GWP vallue was found in literature. The value used represent the average GWP100 for the other HCFCs in this list</t>
        </r>
      </text>
    </comment>
    <comment ref="G53" authorId="0" shapeId="0" xr:uid="{00000000-0006-0000-0900-000007010000}">
      <text>
        <r>
          <rPr>
            <sz val="9"/>
            <color indexed="81"/>
            <rFont val="Tahoma"/>
            <family val="2"/>
          </rPr>
          <t xml:space="preserve">0.009–0.14
</t>
        </r>
      </text>
    </comment>
    <comment ref="H53" authorId="0" shapeId="0" xr:uid="{00000000-0006-0000-0900-000008010000}">
      <text>
        <r>
          <rPr>
            <sz val="9"/>
            <color indexed="81"/>
            <rFont val="Tahoma"/>
            <family val="2"/>
          </rPr>
          <t xml:space="preserve">See note on CFC-11
</t>
        </r>
      </text>
    </comment>
    <comment ref="J53" authorId="0" shapeId="0" xr:uid="{00000000-0006-0000-0900-000009010000}">
      <text>
        <r>
          <rPr>
            <sz val="9"/>
            <color indexed="81"/>
            <rFont val="Tahoma"/>
            <family val="2"/>
          </rPr>
          <t xml:space="preserve">See notes on CFC11
</t>
        </r>
      </text>
    </comment>
    <comment ref="K53" authorId="0" shapeId="0" xr:uid="{00000000-0006-0000-0900-00000A010000}">
      <text>
        <r>
          <rPr>
            <sz val="9"/>
            <color indexed="81"/>
            <rFont val="Tahoma"/>
            <family val="2"/>
          </rPr>
          <t xml:space="preserve">See notes on CFC11
</t>
        </r>
      </text>
    </comment>
    <comment ref="D54" authorId="0" shapeId="0" xr:uid="{00000000-0006-0000-0900-00000B010000}">
      <text>
        <r>
          <rPr>
            <sz val="9"/>
            <color indexed="81"/>
            <rFont val="Tahoma"/>
            <family val="2"/>
          </rPr>
          <t>No GWP vallue was found in literature. The value used represent the average GWP100 for the other HCFCs in this list</t>
        </r>
      </text>
    </comment>
    <comment ref="G54" authorId="0" shapeId="0" xr:uid="{00000000-0006-0000-0900-00000C010000}">
      <text>
        <r>
          <rPr>
            <sz val="9"/>
            <color indexed="81"/>
            <rFont val="Tahoma"/>
            <family val="2"/>
          </rPr>
          <t xml:space="preserve">0.001–0.01
</t>
        </r>
      </text>
    </comment>
    <comment ref="H54" authorId="0" shapeId="0" xr:uid="{00000000-0006-0000-0900-00000D010000}">
      <text>
        <r>
          <rPr>
            <sz val="9"/>
            <color indexed="81"/>
            <rFont val="Tahoma"/>
            <family val="2"/>
          </rPr>
          <t xml:space="preserve">See note on CFC-11
</t>
        </r>
      </text>
    </comment>
    <comment ref="J54" authorId="0" shapeId="0" xr:uid="{00000000-0006-0000-0900-00000E010000}">
      <text>
        <r>
          <rPr>
            <sz val="9"/>
            <color indexed="81"/>
            <rFont val="Tahoma"/>
            <family val="2"/>
          </rPr>
          <t xml:space="preserve">See notes on CFC11
</t>
        </r>
      </text>
    </comment>
    <comment ref="K54" authorId="0" shapeId="0" xr:uid="{00000000-0006-0000-0900-00000F010000}">
      <text>
        <r>
          <rPr>
            <sz val="9"/>
            <color indexed="81"/>
            <rFont val="Tahoma"/>
            <family val="2"/>
          </rPr>
          <t xml:space="preserve">See notes on CFC11
</t>
        </r>
      </text>
    </comment>
    <comment ref="D55" authorId="0" shapeId="0" xr:uid="{00000000-0006-0000-0900-000010010000}">
      <text>
        <r>
          <rPr>
            <sz val="9"/>
            <color indexed="81"/>
            <rFont val="Tahoma"/>
            <family val="2"/>
          </rPr>
          <t>No GWP vallue was found in literature. The value used represent the average GWP100 for the other HCFCs in this list</t>
        </r>
      </text>
    </comment>
    <comment ref="G55" authorId="0" shapeId="0" xr:uid="{00000000-0006-0000-0900-000011010000}">
      <text>
        <r>
          <rPr>
            <sz val="9"/>
            <color indexed="81"/>
            <rFont val="Tahoma"/>
            <family val="2"/>
          </rPr>
          <t>0.005–0.04</t>
        </r>
      </text>
    </comment>
    <comment ref="H55" authorId="0" shapeId="0" xr:uid="{00000000-0006-0000-0900-000012010000}">
      <text>
        <r>
          <rPr>
            <sz val="9"/>
            <color indexed="81"/>
            <rFont val="Tahoma"/>
            <family val="2"/>
          </rPr>
          <t xml:space="preserve">See note on CFC-11
</t>
        </r>
      </text>
    </comment>
    <comment ref="J55" authorId="0" shapeId="0" xr:uid="{00000000-0006-0000-0900-000013010000}">
      <text>
        <r>
          <rPr>
            <sz val="9"/>
            <color indexed="81"/>
            <rFont val="Tahoma"/>
            <family val="2"/>
          </rPr>
          <t xml:space="preserve">See notes on CFC11
</t>
        </r>
      </text>
    </comment>
    <comment ref="K55" authorId="0" shapeId="0" xr:uid="{00000000-0006-0000-0900-000014010000}">
      <text>
        <r>
          <rPr>
            <sz val="9"/>
            <color indexed="81"/>
            <rFont val="Tahoma"/>
            <family val="2"/>
          </rPr>
          <t xml:space="preserve">See notes on CFC11
</t>
        </r>
      </text>
    </comment>
    <comment ref="D56" authorId="0" shapeId="0" xr:uid="{00000000-0006-0000-0900-000015010000}">
      <text>
        <r>
          <rPr>
            <sz val="9"/>
            <color indexed="81"/>
            <rFont val="Tahoma"/>
            <family val="2"/>
          </rPr>
          <t>No GWP vallue was found in literature. The value used represent the average GWP100 for the other HCFCs in this list</t>
        </r>
      </text>
    </comment>
    <comment ref="G56" authorId="0" shapeId="0" xr:uid="{00000000-0006-0000-0900-000016010000}">
      <text>
        <r>
          <rPr>
            <sz val="9"/>
            <color indexed="81"/>
            <rFont val="Tahoma"/>
            <family val="2"/>
          </rPr>
          <t xml:space="preserve">0.003–0.03
</t>
        </r>
      </text>
    </comment>
    <comment ref="H56" authorId="0" shapeId="0" xr:uid="{00000000-0006-0000-0900-000017010000}">
      <text>
        <r>
          <rPr>
            <sz val="9"/>
            <color indexed="81"/>
            <rFont val="Tahoma"/>
            <family val="2"/>
          </rPr>
          <t xml:space="preserve">See note on CFC-11
</t>
        </r>
      </text>
    </comment>
    <comment ref="J56" authorId="0" shapeId="0" xr:uid="{00000000-0006-0000-0900-000018010000}">
      <text>
        <r>
          <rPr>
            <sz val="9"/>
            <color indexed="81"/>
            <rFont val="Tahoma"/>
            <family val="2"/>
          </rPr>
          <t xml:space="preserve">See notes on CFC11
</t>
        </r>
      </text>
    </comment>
    <comment ref="K56" authorId="0" shapeId="0" xr:uid="{00000000-0006-0000-0900-000019010000}">
      <text>
        <r>
          <rPr>
            <sz val="9"/>
            <color indexed="81"/>
            <rFont val="Tahoma"/>
            <family val="2"/>
          </rPr>
          <t xml:space="preserve">See notes on CFC11
</t>
        </r>
      </text>
    </comment>
    <comment ref="D57" authorId="0" shapeId="0" xr:uid="{00000000-0006-0000-0900-00001A010000}">
      <text>
        <r>
          <rPr>
            <sz val="9"/>
            <color indexed="81"/>
            <rFont val="Tahoma"/>
            <family val="2"/>
          </rPr>
          <t>No GWP vallue was found in literature. The value used represent the average GWP100 for the other HCFCs in this list</t>
        </r>
      </text>
    </comment>
    <comment ref="G57" authorId="0" shapeId="0" xr:uid="{00000000-0006-0000-0900-00001B010000}">
      <text>
        <r>
          <rPr>
            <sz val="9"/>
            <color indexed="81"/>
            <rFont val="Tahoma"/>
            <family val="2"/>
          </rPr>
          <t xml:space="preserve">0.002–0.02
</t>
        </r>
      </text>
    </comment>
    <comment ref="H57" authorId="0" shapeId="0" xr:uid="{00000000-0006-0000-0900-00001C010000}">
      <text>
        <r>
          <rPr>
            <sz val="9"/>
            <color indexed="81"/>
            <rFont val="Tahoma"/>
            <family val="2"/>
          </rPr>
          <t xml:space="preserve">See note on CFC-11
</t>
        </r>
      </text>
    </comment>
    <comment ref="J57" authorId="0" shapeId="0" xr:uid="{00000000-0006-0000-0900-00001D010000}">
      <text>
        <r>
          <rPr>
            <sz val="9"/>
            <color indexed="81"/>
            <rFont val="Tahoma"/>
            <family val="2"/>
          </rPr>
          <t xml:space="preserve">See notes on CFC11
</t>
        </r>
      </text>
    </comment>
    <comment ref="K57" authorId="0" shapeId="0" xr:uid="{00000000-0006-0000-0900-00001E010000}">
      <text>
        <r>
          <rPr>
            <sz val="9"/>
            <color indexed="81"/>
            <rFont val="Tahoma"/>
            <family val="2"/>
          </rPr>
          <t xml:space="preserve">See notes on CFC11
</t>
        </r>
      </text>
    </comment>
    <comment ref="D58" authorId="0" shapeId="0" xr:uid="{00000000-0006-0000-0900-00001F010000}">
      <text>
        <r>
          <rPr>
            <sz val="9"/>
            <color indexed="81"/>
            <rFont val="Tahoma"/>
            <family val="2"/>
          </rPr>
          <t>No GWP vallue was found in literature. The value used represent the average GWP100 for the other HCFCs in this list</t>
        </r>
      </text>
    </comment>
    <comment ref="G58" authorId="0" shapeId="0" xr:uid="{00000000-0006-0000-0900-000020010000}">
      <text>
        <r>
          <rPr>
            <sz val="9"/>
            <color indexed="81"/>
            <rFont val="Tahoma"/>
            <family val="2"/>
          </rPr>
          <t xml:space="preserve">0.002–0.02
</t>
        </r>
      </text>
    </comment>
    <comment ref="H58" authorId="0" shapeId="0" xr:uid="{00000000-0006-0000-0900-000021010000}">
      <text>
        <r>
          <rPr>
            <sz val="9"/>
            <color indexed="81"/>
            <rFont val="Tahoma"/>
            <family val="2"/>
          </rPr>
          <t xml:space="preserve">See note on CFC-11
</t>
        </r>
      </text>
    </comment>
    <comment ref="J58" authorId="0" shapeId="0" xr:uid="{00000000-0006-0000-0900-000022010000}">
      <text>
        <r>
          <rPr>
            <sz val="9"/>
            <color indexed="81"/>
            <rFont val="Tahoma"/>
            <family val="2"/>
          </rPr>
          <t xml:space="preserve">See notes on CFC11
</t>
        </r>
      </text>
    </comment>
    <comment ref="K58" authorId="0" shapeId="0" xr:uid="{00000000-0006-0000-0900-000023010000}">
      <text>
        <r>
          <rPr>
            <sz val="9"/>
            <color indexed="81"/>
            <rFont val="Tahoma"/>
            <family val="2"/>
          </rPr>
          <t xml:space="preserve">See notes on CFC11
</t>
        </r>
      </text>
    </comment>
    <comment ref="D59" authorId="0" shapeId="0" xr:uid="{00000000-0006-0000-0900-000024010000}">
      <text>
        <r>
          <rPr>
            <sz val="9"/>
            <color indexed="81"/>
            <rFont val="Tahoma"/>
            <family val="2"/>
          </rPr>
          <t>No GWP vallue was found in literature. The value used represent the average GWP100 for the other HCFCs in this list</t>
        </r>
      </text>
    </comment>
    <comment ref="G59" authorId="0" shapeId="0" xr:uid="{00000000-0006-0000-0900-000025010000}">
      <text>
        <r>
          <rPr>
            <sz val="9"/>
            <color indexed="81"/>
            <rFont val="Tahoma"/>
            <family val="2"/>
          </rPr>
          <t xml:space="preserve">0.001–0.03
</t>
        </r>
      </text>
    </comment>
    <comment ref="H59" authorId="0" shapeId="0" xr:uid="{00000000-0006-0000-0900-000026010000}">
      <text>
        <r>
          <rPr>
            <sz val="9"/>
            <color indexed="81"/>
            <rFont val="Tahoma"/>
            <family val="2"/>
          </rPr>
          <t xml:space="preserve">See note on CFC-11
</t>
        </r>
      </text>
    </comment>
    <comment ref="J59" authorId="0" shapeId="0" xr:uid="{00000000-0006-0000-0900-000027010000}">
      <text>
        <r>
          <rPr>
            <sz val="9"/>
            <color indexed="81"/>
            <rFont val="Tahoma"/>
            <family val="2"/>
          </rPr>
          <t xml:space="preserve">See notes on CFC11
</t>
        </r>
      </text>
    </comment>
    <comment ref="K59" authorId="0" shapeId="0" xr:uid="{00000000-0006-0000-0900-000028010000}">
      <text>
        <r>
          <rPr>
            <sz val="9"/>
            <color indexed="81"/>
            <rFont val="Tahoma"/>
            <family val="2"/>
          </rPr>
          <t xml:space="preserve">See notes on CFC11
</t>
        </r>
      </text>
    </comment>
    <comment ref="A60" authorId="0" shapeId="0" xr:uid="{00000000-0006-0000-0900-000029010000}">
      <text>
        <r>
          <rPr>
            <b/>
            <sz val="9"/>
            <color indexed="81"/>
            <rFont val="Tahoma"/>
            <family val="2"/>
          </rPr>
          <t>Bengt Steen:</t>
        </r>
        <r>
          <rPr>
            <sz val="9"/>
            <color indexed="81"/>
            <rFont val="Tahoma"/>
            <family val="2"/>
          </rPr>
          <t xml:space="preserve">
finns ej med i AR5 WG1 CH8</t>
        </r>
      </text>
    </comment>
    <comment ref="D60" authorId="0" shapeId="0" xr:uid="{00000000-0006-0000-0900-00002A010000}">
      <text>
        <r>
          <rPr>
            <sz val="9"/>
            <color indexed="81"/>
            <rFont val="Tahoma"/>
            <family val="2"/>
          </rPr>
          <t xml:space="preserve">IPCC 1994
</t>
        </r>
      </text>
    </comment>
    <comment ref="H60" authorId="0" shapeId="0" xr:uid="{00000000-0006-0000-0900-00002B010000}">
      <text>
        <r>
          <rPr>
            <sz val="9"/>
            <color indexed="81"/>
            <rFont val="Tahoma"/>
            <family val="2"/>
          </rPr>
          <t xml:space="preserve">See note on CFC-11
</t>
        </r>
      </text>
    </comment>
    <comment ref="J60" authorId="0" shapeId="0" xr:uid="{00000000-0006-0000-0900-00002C010000}">
      <text>
        <r>
          <rPr>
            <sz val="9"/>
            <color indexed="81"/>
            <rFont val="Tahoma"/>
            <family val="2"/>
          </rPr>
          <t xml:space="preserve">See notes on CFC11
</t>
        </r>
      </text>
    </comment>
    <comment ref="K60" authorId="0" shapeId="0" xr:uid="{00000000-0006-0000-0900-00002D010000}">
      <text>
        <r>
          <rPr>
            <sz val="9"/>
            <color indexed="81"/>
            <rFont val="Tahoma"/>
            <family val="2"/>
          </rPr>
          <t xml:space="preserve">See notes on CFC11
</t>
        </r>
      </text>
    </comment>
    <comment ref="D61" authorId="0" shapeId="0" xr:uid="{00000000-0006-0000-0900-00002E010000}">
      <text>
        <r>
          <rPr>
            <sz val="9"/>
            <color indexed="81"/>
            <rFont val="Tahoma"/>
            <family val="2"/>
          </rPr>
          <t xml:space="preserve">IPCC 1994
</t>
        </r>
      </text>
    </comment>
    <comment ref="H61" authorId="0" shapeId="0" xr:uid="{00000000-0006-0000-0900-00002F010000}">
      <text>
        <r>
          <rPr>
            <sz val="9"/>
            <color indexed="81"/>
            <rFont val="Tahoma"/>
            <family val="2"/>
          </rPr>
          <t xml:space="preserve">See note on CFC-11
</t>
        </r>
      </text>
    </comment>
    <comment ref="J61" authorId="0" shapeId="0" xr:uid="{00000000-0006-0000-0900-000030010000}">
      <text>
        <r>
          <rPr>
            <sz val="9"/>
            <color indexed="81"/>
            <rFont val="Tahoma"/>
            <family val="2"/>
          </rPr>
          <t xml:space="preserve">See notes on CFC11
</t>
        </r>
      </text>
    </comment>
    <comment ref="K61" authorId="0" shapeId="0" xr:uid="{00000000-0006-0000-0900-000031010000}">
      <text>
        <r>
          <rPr>
            <sz val="9"/>
            <color indexed="81"/>
            <rFont val="Tahoma"/>
            <family val="2"/>
          </rPr>
          <t xml:space="preserve">See notes on CFC11
</t>
        </r>
      </text>
    </comment>
    <comment ref="D62" authorId="0" shapeId="0" xr:uid="{00000000-0006-0000-0900-000032010000}">
      <text>
        <r>
          <rPr>
            <sz val="9"/>
            <color indexed="81"/>
            <rFont val="Tahoma"/>
            <family val="2"/>
          </rPr>
          <t xml:space="preserve">IPCC 1994
</t>
        </r>
      </text>
    </comment>
    <comment ref="H62" authorId="0" shapeId="0" xr:uid="{00000000-0006-0000-0900-000033010000}">
      <text>
        <r>
          <rPr>
            <sz val="9"/>
            <color indexed="81"/>
            <rFont val="Tahoma"/>
            <family val="2"/>
          </rPr>
          <t xml:space="preserve">See note on CFC-11
</t>
        </r>
      </text>
    </comment>
    <comment ref="J62" authorId="0" shapeId="0" xr:uid="{00000000-0006-0000-0900-000034010000}">
      <text>
        <r>
          <rPr>
            <sz val="9"/>
            <color indexed="81"/>
            <rFont val="Tahoma"/>
            <family val="2"/>
          </rPr>
          <t xml:space="preserve">See notes on CFC11
</t>
        </r>
      </text>
    </comment>
    <comment ref="K62" authorId="0" shapeId="0" xr:uid="{00000000-0006-0000-0900-000035010000}">
      <text>
        <r>
          <rPr>
            <sz val="9"/>
            <color indexed="81"/>
            <rFont val="Tahoma"/>
            <family val="2"/>
          </rPr>
          <t xml:space="preserve">See notes on CFC11
</t>
        </r>
      </text>
    </comment>
    <comment ref="D63" authorId="0" shapeId="0" xr:uid="{00000000-0006-0000-0900-000036010000}">
      <text>
        <r>
          <rPr>
            <sz val="9"/>
            <color indexed="81"/>
            <rFont val="Tahoma"/>
            <family val="2"/>
          </rPr>
          <t xml:space="preserve">IPCC 1994
</t>
        </r>
      </text>
    </comment>
    <comment ref="H63" authorId="0" shapeId="0" xr:uid="{00000000-0006-0000-0900-000037010000}">
      <text>
        <r>
          <rPr>
            <sz val="9"/>
            <color indexed="81"/>
            <rFont val="Tahoma"/>
            <family val="2"/>
          </rPr>
          <t xml:space="preserve">See note on CFC-11
</t>
        </r>
      </text>
    </comment>
    <comment ref="J63" authorId="0" shapeId="0" xr:uid="{00000000-0006-0000-0900-000038010000}">
      <text>
        <r>
          <rPr>
            <sz val="9"/>
            <color indexed="81"/>
            <rFont val="Tahoma"/>
            <family val="2"/>
          </rPr>
          <t xml:space="preserve">See notes on CFC11
</t>
        </r>
      </text>
    </comment>
    <comment ref="K63" authorId="0" shapeId="0" xr:uid="{00000000-0006-0000-0900-000039010000}">
      <text>
        <r>
          <rPr>
            <sz val="9"/>
            <color indexed="81"/>
            <rFont val="Tahoma"/>
            <family val="2"/>
          </rPr>
          <t xml:space="preserve">See notes on CFC11
</t>
        </r>
      </text>
    </comment>
    <comment ref="D64" authorId="0" shapeId="0" xr:uid="{00000000-0006-0000-0900-00003A010000}">
      <text>
        <r>
          <rPr>
            <sz val="9"/>
            <color indexed="81"/>
            <rFont val="Tahoma"/>
            <family val="2"/>
          </rPr>
          <t xml:space="preserve">IPCC 1994
</t>
        </r>
      </text>
    </comment>
    <comment ref="H64" authorId="0" shapeId="0" xr:uid="{00000000-0006-0000-0900-00003B010000}">
      <text>
        <r>
          <rPr>
            <sz val="9"/>
            <color indexed="81"/>
            <rFont val="Tahoma"/>
            <family val="2"/>
          </rPr>
          <t xml:space="preserve">See note on CFC-11
</t>
        </r>
      </text>
    </comment>
    <comment ref="J64" authorId="0" shapeId="0" xr:uid="{00000000-0006-0000-0900-00003C010000}">
      <text>
        <r>
          <rPr>
            <sz val="9"/>
            <color indexed="81"/>
            <rFont val="Tahoma"/>
            <family val="2"/>
          </rPr>
          <t xml:space="preserve">See notes on CFC11
</t>
        </r>
      </text>
    </comment>
    <comment ref="K64" authorId="0" shapeId="0" xr:uid="{00000000-0006-0000-0900-00003D010000}">
      <text>
        <r>
          <rPr>
            <sz val="9"/>
            <color indexed="81"/>
            <rFont val="Tahoma"/>
            <family val="2"/>
          </rPr>
          <t xml:space="preserve">See notes on CFC11
</t>
        </r>
      </text>
    </comment>
    <comment ref="D65" authorId="0" shapeId="0" xr:uid="{00000000-0006-0000-0900-00003E010000}">
      <text>
        <r>
          <rPr>
            <sz val="9"/>
            <color indexed="81"/>
            <rFont val="Tahoma"/>
            <family val="2"/>
          </rPr>
          <t xml:space="preserve">IPCC 1994
</t>
        </r>
      </text>
    </comment>
    <comment ref="H65" authorId="0" shapeId="0" xr:uid="{00000000-0006-0000-0900-00003F010000}">
      <text>
        <r>
          <rPr>
            <sz val="9"/>
            <color indexed="81"/>
            <rFont val="Tahoma"/>
            <family val="2"/>
          </rPr>
          <t xml:space="preserve">See note on CFC-11
</t>
        </r>
      </text>
    </comment>
    <comment ref="J65" authorId="0" shapeId="0" xr:uid="{00000000-0006-0000-0900-000040010000}">
      <text>
        <r>
          <rPr>
            <sz val="9"/>
            <color indexed="81"/>
            <rFont val="Tahoma"/>
            <family val="2"/>
          </rPr>
          <t xml:space="preserve">See notes on CFC11
</t>
        </r>
      </text>
    </comment>
    <comment ref="K65" authorId="0" shapeId="0" xr:uid="{00000000-0006-0000-0900-000041010000}">
      <text>
        <r>
          <rPr>
            <sz val="9"/>
            <color indexed="81"/>
            <rFont val="Tahoma"/>
            <family val="2"/>
          </rPr>
          <t xml:space="preserve">See notes on CFC11
</t>
        </r>
      </text>
    </comment>
    <comment ref="D66" authorId="0" shapeId="0" xr:uid="{00000000-0006-0000-0900-000042010000}">
      <text>
        <r>
          <rPr>
            <sz val="9"/>
            <color indexed="81"/>
            <rFont val="Tahoma"/>
            <family val="2"/>
          </rPr>
          <t>No GWP vallue was found in literature. The value used represent the average GWP100 for the other HCFCs in this list</t>
        </r>
      </text>
    </comment>
    <comment ref="H66" authorId="0" shapeId="0" xr:uid="{00000000-0006-0000-0900-000043010000}">
      <text>
        <r>
          <rPr>
            <sz val="9"/>
            <color indexed="81"/>
            <rFont val="Tahoma"/>
            <family val="2"/>
          </rPr>
          <t xml:space="preserve">See note on CFC-11
</t>
        </r>
      </text>
    </comment>
    <comment ref="J66" authorId="0" shapeId="0" xr:uid="{00000000-0006-0000-0900-000044010000}">
      <text>
        <r>
          <rPr>
            <sz val="9"/>
            <color indexed="81"/>
            <rFont val="Tahoma"/>
            <family val="2"/>
          </rPr>
          <t xml:space="preserve">See notes on CFC11
</t>
        </r>
      </text>
    </comment>
    <comment ref="K66" authorId="0" shapeId="0" xr:uid="{00000000-0006-0000-0900-000045010000}">
      <text>
        <r>
          <rPr>
            <sz val="9"/>
            <color indexed="81"/>
            <rFont val="Tahoma"/>
            <family val="2"/>
          </rPr>
          <t xml:space="preserve">See notes on CFC11
</t>
        </r>
      </text>
    </comment>
    <comment ref="H67" authorId="0" shapeId="0" xr:uid="{00000000-0006-0000-0900-000046010000}">
      <text>
        <r>
          <rPr>
            <sz val="9"/>
            <color indexed="81"/>
            <rFont val="Tahoma"/>
            <family val="2"/>
          </rPr>
          <t xml:space="preserve">See note on CFC-11
</t>
        </r>
      </text>
    </comment>
    <comment ref="J67" authorId="0" shapeId="0" xr:uid="{00000000-0006-0000-0900-000047010000}">
      <text>
        <r>
          <rPr>
            <sz val="9"/>
            <color indexed="81"/>
            <rFont val="Tahoma"/>
            <family val="2"/>
          </rPr>
          <t xml:space="preserve">See notes on CFC11
</t>
        </r>
      </text>
    </comment>
    <comment ref="K67" authorId="0" shapeId="0" xr:uid="{00000000-0006-0000-0900-000048010000}">
      <text>
        <r>
          <rPr>
            <sz val="9"/>
            <color indexed="81"/>
            <rFont val="Tahoma"/>
            <family val="2"/>
          </rPr>
          <t xml:space="preserve">See notes on CFC11
</t>
        </r>
      </text>
    </comment>
    <comment ref="H68" authorId="0" shapeId="0" xr:uid="{00000000-0006-0000-0900-000049010000}">
      <text>
        <r>
          <rPr>
            <sz val="9"/>
            <color indexed="81"/>
            <rFont val="Tahoma"/>
            <family val="2"/>
          </rPr>
          <t xml:space="preserve">See note on CFC-11
</t>
        </r>
      </text>
    </comment>
    <comment ref="J68" authorId="0" shapeId="0" xr:uid="{00000000-0006-0000-0900-00004A010000}">
      <text>
        <r>
          <rPr>
            <sz val="9"/>
            <color indexed="81"/>
            <rFont val="Tahoma"/>
            <family val="2"/>
          </rPr>
          <t xml:space="preserve">See notes on CFC11
</t>
        </r>
      </text>
    </comment>
    <comment ref="K68" authorId="0" shapeId="0" xr:uid="{00000000-0006-0000-0900-00004B010000}">
      <text>
        <r>
          <rPr>
            <sz val="9"/>
            <color indexed="81"/>
            <rFont val="Tahoma"/>
            <family val="2"/>
          </rPr>
          <t xml:space="preserve">See notes on CFC11
</t>
        </r>
      </text>
    </comment>
    <comment ref="H69" authorId="0" shapeId="0" xr:uid="{00000000-0006-0000-0900-00004C010000}">
      <text>
        <r>
          <rPr>
            <sz val="9"/>
            <color indexed="81"/>
            <rFont val="Tahoma"/>
            <family val="2"/>
          </rPr>
          <t xml:space="preserve">See note on CFC-11
</t>
        </r>
      </text>
    </comment>
    <comment ref="J69" authorId="0" shapeId="0" xr:uid="{00000000-0006-0000-0900-00004D010000}">
      <text>
        <r>
          <rPr>
            <sz val="9"/>
            <color indexed="81"/>
            <rFont val="Tahoma"/>
            <family val="2"/>
          </rPr>
          <t xml:space="preserve">See notes on CFC11
</t>
        </r>
      </text>
    </comment>
    <comment ref="K69" authorId="0" shapeId="0" xr:uid="{00000000-0006-0000-0900-00004E010000}">
      <text>
        <r>
          <rPr>
            <sz val="9"/>
            <color indexed="81"/>
            <rFont val="Tahoma"/>
            <family val="2"/>
          </rPr>
          <t xml:space="preserve">See notes on CFC11
</t>
        </r>
      </text>
    </comment>
    <comment ref="H70" authorId="0" shapeId="0" xr:uid="{00000000-0006-0000-0900-00004F010000}">
      <text>
        <r>
          <rPr>
            <sz val="9"/>
            <color indexed="81"/>
            <rFont val="Tahoma"/>
            <family val="2"/>
          </rPr>
          <t xml:space="preserve">See note on CFC-11
</t>
        </r>
      </text>
    </comment>
    <comment ref="J70" authorId="0" shapeId="0" xr:uid="{00000000-0006-0000-0900-000050010000}">
      <text>
        <r>
          <rPr>
            <sz val="9"/>
            <color indexed="81"/>
            <rFont val="Tahoma"/>
            <family val="2"/>
          </rPr>
          <t xml:space="preserve">See notes on CFC11
</t>
        </r>
      </text>
    </comment>
    <comment ref="K70" authorId="0" shapeId="0" xr:uid="{00000000-0006-0000-0900-000051010000}">
      <text>
        <r>
          <rPr>
            <sz val="9"/>
            <color indexed="81"/>
            <rFont val="Tahoma"/>
            <family val="2"/>
          </rPr>
          <t xml:space="preserve">See notes on CFC11
</t>
        </r>
      </text>
    </comment>
    <comment ref="D71" authorId="0" shapeId="0" xr:uid="{00000000-0006-0000-0900-000052010000}">
      <text>
        <r>
          <rPr>
            <sz val="9"/>
            <color indexed="81"/>
            <rFont val="Tahoma"/>
            <family val="2"/>
          </rPr>
          <t xml:space="preserve">IPCC 1994
</t>
        </r>
      </text>
    </comment>
    <comment ref="H71" authorId="0" shapeId="0" xr:uid="{00000000-0006-0000-0900-000053010000}">
      <text>
        <r>
          <rPr>
            <sz val="9"/>
            <color indexed="81"/>
            <rFont val="Tahoma"/>
            <family val="2"/>
          </rPr>
          <t xml:space="preserve">See note on CFC-11
</t>
        </r>
      </text>
    </comment>
    <comment ref="J71" authorId="0" shapeId="0" xr:uid="{00000000-0006-0000-0900-000054010000}">
      <text>
        <r>
          <rPr>
            <sz val="9"/>
            <color indexed="81"/>
            <rFont val="Tahoma"/>
            <family val="2"/>
          </rPr>
          <t xml:space="preserve">See notes on CFC11
</t>
        </r>
      </text>
    </comment>
    <comment ref="K71" authorId="0" shapeId="0" xr:uid="{00000000-0006-0000-0900-000055010000}">
      <text>
        <r>
          <rPr>
            <sz val="9"/>
            <color indexed="81"/>
            <rFont val="Tahoma"/>
            <family val="2"/>
          </rPr>
          <t xml:space="preserve">See notes on CFC11
</t>
        </r>
      </text>
    </comment>
    <comment ref="A72" authorId="0" shapeId="0" xr:uid="{00000000-0006-0000-0900-000056010000}">
      <text>
        <r>
          <rPr>
            <sz val="9"/>
            <color indexed="81"/>
            <rFont val="Tahoma"/>
            <family val="2"/>
          </rPr>
          <t xml:space="preserve">Pentafluoroethane
</t>
        </r>
      </text>
    </comment>
    <comment ref="H72" authorId="0" shapeId="0" xr:uid="{00000000-0006-0000-0900-000057010000}">
      <text>
        <r>
          <rPr>
            <sz val="9"/>
            <color indexed="81"/>
            <rFont val="Tahoma"/>
            <family val="2"/>
          </rPr>
          <t xml:space="preserve">See note on CFC-11
</t>
        </r>
      </text>
    </comment>
    <comment ref="J72" authorId="0" shapeId="0" xr:uid="{00000000-0006-0000-0900-000058010000}">
      <text>
        <r>
          <rPr>
            <sz val="9"/>
            <color indexed="81"/>
            <rFont val="Tahoma"/>
            <family val="2"/>
          </rPr>
          <t xml:space="preserve">See notes on CFC11
</t>
        </r>
      </text>
    </comment>
    <comment ref="K72" authorId="0" shapeId="0" xr:uid="{00000000-0006-0000-0900-000059010000}">
      <text>
        <r>
          <rPr>
            <sz val="9"/>
            <color indexed="81"/>
            <rFont val="Tahoma"/>
            <family val="2"/>
          </rPr>
          <t xml:space="preserve">See notes on CFC11
</t>
        </r>
      </text>
    </comment>
    <comment ref="H73" authorId="0" shapeId="0" xr:uid="{00000000-0006-0000-0900-00005A010000}">
      <text>
        <r>
          <rPr>
            <sz val="9"/>
            <color indexed="81"/>
            <rFont val="Tahoma"/>
            <family val="2"/>
          </rPr>
          <t xml:space="preserve">See note on CFC-11
</t>
        </r>
      </text>
    </comment>
    <comment ref="J73" authorId="0" shapeId="0" xr:uid="{00000000-0006-0000-0900-00005B010000}">
      <text>
        <r>
          <rPr>
            <sz val="9"/>
            <color indexed="81"/>
            <rFont val="Tahoma"/>
            <family val="2"/>
          </rPr>
          <t xml:space="preserve">See notes on CFC11
</t>
        </r>
      </text>
    </comment>
    <comment ref="K73" authorId="0" shapeId="0" xr:uid="{00000000-0006-0000-0900-00005C010000}">
      <text>
        <r>
          <rPr>
            <sz val="9"/>
            <color indexed="81"/>
            <rFont val="Tahoma"/>
            <family val="2"/>
          </rPr>
          <t xml:space="preserve">See notes on CFC11
</t>
        </r>
      </text>
    </comment>
    <comment ref="H74" authorId="0" shapeId="0" xr:uid="{00000000-0006-0000-0900-00005D010000}">
      <text>
        <r>
          <rPr>
            <sz val="9"/>
            <color indexed="81"/>
            <rFont val="Tahoma"/>
            <family val="2"/>
          </rPr>
          <t xml:space="preserve">See note on CFC-11
</t>
        </r>
      </text>
    </comment>
    <comment ref="J74" authorId="0" shapeId="0" xr:uid="{00000000-0006-0000-0900-00005E010000}">
      <text>
        <r>
          <rPr>
            <sz val="9"/>
            <color indexed="81"/>
            <rFont val="Tahoma"/>
            <family val="2"/>
          </rPr>
          <t xml:space="preserve">See notes on CFC11
</t>
        </r>
      </text>
    </comment>
    <comment ref="K74" authorId="0" shapeId="0" xr:uid="{00000000-0006-0000-0900-00005F010000}">
      <text>
        <r>
          <rPr>
            <sz val="9"/>
            <color indexed="81"/>
            <rFont val="Tahoma"/>
            <family val="2"/>
          </rPr>
          <t xml:space="preserve">See notes on CFC11
</t>
        </r>
      </text>
    </comment>
    <comment ref="H75" authorId="0" shapeId="0" xr:uid="{00000000-0006-0000-0900-000060010000}">
      <text>
        <r>
          <rPr>
            <sz val="9"/>
            <color indexed="81"/>
            <rFont val="Tahoma"/>
            <family val="2"/>
          </rPr>
          <t xml:space="preserve">See note on CFC-11
</t>
        </r>
      </text>
    </comment>
    <comment ref="J75" authorId="0" shapeId="0" xr:uid="{00000000-0006-0000-0900-000061010000}">
      <text>
        <r>
          <rPr>
            <sz val="9"/>
            <color indexed="81"/>
            <rFont val="Tahoma"/>
            <family val="2"/>
          </rPr>
          <t xml:space="preserve">See notes on CFC11
</t>
        </r>
      </text>
    </comment>
    <comment ref="K75" authorId="0" shapeId="0" xr:uid="{00000000-0006-0000-0900-000062010000}">
      <text>
        <r>
          <rPr>
            <sz val="9"/>
            <color indexed="81"/>
            <rFont val="Tahoma"/>
            <family val="2"/>
          </rPr>
          <t xml:space="preserve">See notes on CFC11
</t>
        </r>
      </text>
    </comment>
    <comment ref="H76" authorId="0" shapeId="0" xr:uid="{00000000-0006-0000-0900-000063010000}">
      <text>
        <r>
          <rPr>
            <sz val="9"/>
            <color indexed="81"/>
            <rFont val="Tahoma"/>
            <family val="2"/>
          </rPr>
          <t xml:space="preserve">See note on CFC-11
</t>
        </r>
      </text>
    </comment>
    <comment ref="J76" authorId="0" shapeId="0" xr:uid="{00000000-0006-0000-0900-000064010000}">
      <text>
        <r>
          <rPr>
            <sz val="9"/>
            <color indexed="81"/>
            <rFont val="Tahoma"/>
            <family val="2"/>
          </rPr>
          <t xml:space="preserve">See notes on CFC11
</t>
        </r>
      </text>
    </comment>
    <comment ref="K76" authorId="0" shapeId="0" xr:uid="{00000000-0006-0000-0900-000065010000}">
      <text>
        <r>
          <rPr>
            <sz val="9"/>
            <color indexed="81"/>
            <rFont val="Tahoma"/>
            <family val="2"/>
          </rPr>
          <t xml:space="preserve">See notes on CFC11
</t>
        </r>
      </text>
    </comment>
    <comment ref="H77" authorId="0" shapeId="0" xr:uid="{00000000-0006-0000-0900-000066010000}">
      <text>
        <r>
          <rPr>
            <sz val="9"/>
            <color indexed="81"/>
            <rFont val="Tahoma"/>
            <family val="2"/>
          </rPr>
          <t xml:space="preserve">See note on CFC-11
</t>
        </r>
      </text>
    </comment>
    <comment ref="J77" authorId="0" shapeId="0" xr:uid="{00000000-0006-0000-0900-000067010000}">
      <text>
        <r>
          <rPr>
            <sz val="9"/>
            <color indexed="81"/>
            <rFont val="Tahoma"/>
            <family val="2"/>
          </rPr>
          <t xml:space="preserve">See notes on CFC11
</t>
        </r>
      </text>
    </comment>
    <comment ref="K77" authorId="0" shapeId="0" xr:uid="{00000000-0006-0000-0900-000068010000}">
      <text>
        <r>
          <rPr>
            <sz val="9"/>
            <color indexed="81"/>
            <rFont val="Tahoma"/>
            <family val="2"/>
          </rPr>
          <t xml:space="preserve">See notes on CFC11
</t>
        </r>
      </text>
    </comment>
    <comment ref="H78" authorId="0" shapeId="0" xr:uid="{00000000-0006-0000-0900-000069010000}">
      <text>
        <r>
          <rPr>
            <sz val="9"/>
            <color indexed="81"/>
            <rFont val="Tahoma"/>
            <family val="2"/>
          </rPr>
          <t xml:space="preserve">See note on CFC-11
</t>
        </r>
      </text>
    </comment>
    <comment ref="J78" authorId="0" shapeId="0" xr:uid="{00000000-0006-0000-0900-00006A010000}">
      <text>
        <r>
          <rPr>
            <sz val="9"/>
            <color indexed="81"/>
            <rFont val="Tahoma"/>
            <family val="2"/>
          </rPr>
          <t xml:space="preserve">See notes on CFC11
</t>
        </r>
      </text>
    </comment>
    <comment ref="K78" authorId="0" shapeId="0" xr:uid="{00000000-0006-0000-0900-00006B010000}">
      <text>
        <r>
          <rPr>
            <sz val="9"/>
            <color indexed="81"/>
            <rFont val="Tahoma"/>
            <family val="2"/>
          </rPr>
          <t xml:space="preserve">See notes on CFC11
</t>
        </r>
      </text>
    </comment>
    <comment ref="H79" authorId="0" shapeId="0" xr:uid="{00000000-0006-0000-0900-00006C010000}">
      <text>
        <r>
          <rPr>
            <sz val="9"/>
            <color indexed="81"/>
            <rFont val="Tahoma"/>
            <family val="2"/>
          </rPr>
          <t xml:space="preserve">See note on CFC-11
</t>
        </r>
      </text>
    </comment>
    <comment ref="J79" authorId="0" shapeId="0" xr:uid="{00000000-0006-0000-0900-00006D010000}">
      <text>
        <r>
          <rPr>
            <sz val="9"/>
            <color indexed="81"/>
            <rFont val="Tahoma"/>
            <family val="2"/>
          </rPr>
          <t xml:space="preserve">See notes on CFC11
</t>
        </r>
      </text>
    </comment>
    <comment ref="K79" authorId="0" shapeId="0" xr:uid="{00000000-0006-0000-0900-00006E010000}">
      <text>
        <r>
          <rPr>
            <sz val="9"/>
            <color indexed="81"/>
            <rFont val="Tahoma"/>
            <family val="2"/>
          </rPr>
          <t xml:space="preserve">See notes on CFC11
</t>
        </r>
      </text>
    </comment>
    <comment ref="H80" authorId="0" shapeId="0" xr:uid="{00000000-0006-0000-0900-00006F010000}">
      <text>
        <r>
          <rPr>
            <sz val="9"/>
            <color indexed="81"/>
            <rFont val="Tahoma"/>
            <family val="2"/>
          </rPr>
          <t xml:space="preserve">See note on CFC-11
</t>
        </r>
      </text>
    </comment>
    <comment ref="J80" authorId="0" shapeId="0" xr:uid="{00000000-0006-0000-0900-000070010000}">
      <text>
        <r>
          <rPr>
            <sz val="9"/>
            <color indexed="81"/>
            <rFont val="Tahoma"/>
            <family val="2"/>
          </rPr>
          <t xml:space="preserve">See notes on CFC11
</t>
        </r>
      </text>
    </comment>
    <comment ref="K80" authorId="0" shapeId="0" xr:uid="{00000000-0006-0000-0900-000071010000}">
      <text>
        <r>
          <rPr>
            <sz val="9"/>
            <color indexed="81"/>
            <rFont val="Tahoma"/>
            <family val="2"/>
          </rPr>
          <t xml:space="preserve">See notes on CFC11
</t>
        </r>
      </text>
    </comment>
    <comment ref="H81" authorId="0" shapeId="0" xr:uid="{00000000-0006-0000-0900-000072010000}">
      <text>
        <r>
          <rPr>
            <sz val="9"/>
            <color indexed="81"/>
            <rFont val="Tahoma"/>
            <family val="2"/>
          </rPr>
          <t xml:space="preserve">See note on CFC-11
</t>
        </r>
      </text>
    </comment>
    <comment ref="J81" authorId="0" shapeId="0" xr:uid="{00000000-0006-0000-0900-000073010000}">
      <text>
        <r>
          <rPr>
            <sz val="9"/>
            <color indexed="81"/>
            <rFont val="Tahoma"/>
            <family val="2"/>
          </rPr>
          <t xml:space="preserve">See notes on CFC11
</t>
        </r>
      </text>
    </comment>
    <comment ref="K81" authorId="0" shapeId="0" xr:uid="{00000000-0006-0000-0900-000074010000}">
      <text>
        <r>
          <rPr>
            <sz val="9"/>
            <color indexed="81"/>
            <rFont val="Tahoma"/>
            <family val="2"/>
          </rPr>
          <t xml:space="preserve">See notes on CFC11
</t>
        </r>
      </text>
    </comment>
    <comment ref="H82" authorId="0" shapeId="0" xr:uid="{00000000-0006-0000-0900-000075010000}">
      <text>
        <r>
          <rPr>
            <sz val="9"/>
            <color indexed="81"/>
            <rFont val="Tahoma"/>
            <family val="2"/>
          </rPr>
          <t xml:space="preserve">See note on CFC-11
</t>
        </r>
      </text>
    </comment>
    <comment ref="J82" authorId="0" shapeId="0" xr:uid="{00000000-0006-0000-0900-000076010000}">
      <text>
        <r>
          <rPr>
            <sz val="9"/>
            <color indexed="81"/>
            <rFont val="Tahoma"/>
            <family val="2"/>
          </rPr>
          <t xml:space="preserve">See notes on CFC11
</t>
        </r>
      </text>
    </comment>
    <comment ref="K82" authorId="0" shapeId="0" xr:uid="{00000000-0006-0000-0900-000077010000}">
      <text>
        <r>
          <rPr>
            <sz val="9"/>
            <color indexed="81"/>
            <rFont val="Tahoma"/>
            <family val="2"/>
          </rPr>
          <t xml:space="preserve">See notes on CFC11
</t>
        </r>
      </text>
    </comment>
    <comment ref="H83" authorId="0" shapeId="0" xr:uid="{00000000-0006-0000-0900-000078010000}">
      <text>
        <r>
          <rPr>
            <sz val="9"/>
            <color indexed="81"/>
            <rFont val="Tahoma"/>
            <family val="2"/>
          </rPr>
          <t xml:space="preserve">See note on CFC-11
</t>
        </r>
      </text>
    </comment>
    <comment ref="J83" authorId="0" shapeId="0" xr:uid="{00000000-0006-0000-0900-000079010000}">
      <text>
        <r>
          <rPr>
            <sz val="9"/>
            <color indexed="81"/>
            <rFont val="Tahoma"/>
            <family val="2"/>
          </rPr>
          <t xml:space="preserve">See notes on CFC11
</t>
        </r>
      </text>
    </comment>
    <comment ref="K83" authorId="0" shapeId="0" xr:uid="{00000000-0006-0000-0900-00007A010000}">
      <text>
        <r>
          <rPr>
            <sz val="9"/>
            <color indexed="81"/>
            <rFont val="Tahoma"/>
            <family val="2"/>
          </rPr>
          <t xml:space="preserve">See notes on CFC11
</t>
        </r>
      </text>
    </comment>
    <comment ref="H84" authorId="0" shapeId="0" xr:uid="{00000000-0006-0000-0900-00007B010000}">
      <text>
        <r>
          <rPr>
            <sz val="9"/>
            <color indexed="81"/>
            <rFont val="Tahoma"/>
            <family val="2"/>
          </rPr>
          <t xml:space="preserve">See note on CFC-11
</t>
        </r>
      </text>
    </comment>
    <comment ref="J84" authorId="0" shapeId="0" xr:uid="{00000000-0006-0000-0900-00007C010000}">
      <text>
        <r>
          <rPr>
            <sz val="9"/>
            <color indexed="81"/>
            <rFont val="Tahoma"/>
            <family val="2"/>
          </rPr>
          <t xml:space="preserve">See notes on CFC11
</t>
        </r>
      </text>
    </comment>
    <comment ref="K84" authorId="0" shapeId="0" xr:uid="{00000000-0006-0000-0900-00007D010000}">
      <text>
        <r>
          <rPr>
            <sz val="9"/>
            <color indexed="81"/>
            <rFont val="Tahoma"/>
            <family val="2"/>
          </rPr>
          <t xml:space="preserve">See notes on CFC11
</t>
        </r>
      </text>
    </comment>
    <comment ref="H85" authorId="0" shapeId="0" xr:uid="{00000000-0006-0000-0900-00007E010000}">
      <text>
        <r>
          <rPr>
            <sz val="9"/>
            <color indexed="81"/>
            <rFont val="Tahoma"/>
            <family val="2"/>
          </rPr>
          <t xml:space="preserve">See note on CFC-11
</t>
        </r>
      </text>
    </comment>
    <comment ref="J85" authorId="0" shapeId="0" xr:uid="{00000000-0006-0000-0900-00007F010000}">
      <text>
        <r>
          <rPr>
            <sz val="9"/>
            <color indexed="81"/>
            <rFont val="Tahoma"/>
            <family val="2"/>
          </rPr>
          <t xml:space="preserve">See notes on CFC11
</t>
        </r>
      </text>
    </comment>
    <comment ref="K85" authorId="0" shapeId="0" xr:uid="{00000000-0006-0000-0900-000080010000}">
      <text>
        <r>
          <rPr>
            <sz val="9"/>
            <color indexed="81"/>
            <rFont val="Tahoma"/>
            <family val="2"/>
          </rPr>
          <t xml:space="preserve">See notes on CFC11
</t>
        </r>
      </text>
    </comment>
    <comment ref="H86" authorId="0" shapeId="0" xr:uid="{00000000-0006-0000-0900-000081010000}">
      <text>
        <r>
          <rPr>
            <sz val="9"/>
            <color indexed="81"/>
            <rFont val="Tahoma"/>
            <family val="2"/>
          </rPr>
          <t xml:space="preserve">See note on CFC-11
</t>
        </r>
      </text>
    </comment>
    <comment ref="J86" authorId="0" shapeId="0" xr:uid="{00000000-0006-0000-0900-000082010000}">
      <text>
        <r>
          <rPr>
            <sz val="9"/>
            <color indexed="81"/>
            <rFont val="Tahoma"/>
            <family val="2"/>
          </rPr>
          <t xml:space="preserve">See notes on CFC11
</t>
        </r>
      </text>
    </comment>
    <comment ref="K86" authorId="0" shapeId="0" xr:uid="{00000000-0006-0000-0900-000083010000}">
      <text>
        <r>
          <rPr>
            <sz val="9"/>
            <color indexed="81"/>
            <rFont val="Tahoma"/>
            <family val="2"/>
          </rPr>
          <t xml:space="preserve">See notes on CFC11
</t>
        </r>
      </text>
    </comment>
    <comment ref="H87" authorId="0" shapeId="0" xr:uid="{00000000-0006-0000-0900-000084010000}">
      <text>
        <r>
          <rPr>
            <sz val="9"/>
            <color indexed="81"/>
            <rFont val="Tahoma"/>
            <family val="2"/>
          </rPr>
          <t xml:space="preserve">See note on CFC-11
</t>
        </r>
      </text>
    </comment>
    <comment ref="J87" authorId="0" shapeId="0" xr:uid="{00000000-0006-0000-0900-000085010000}">
      <text>
        <r>
          <rPr>
            <sz val="9"/>
            <color indexed="81"/>
            <rFont val="Tahoma"/>
            <family val="2"/>
          </rPr>
          <t xml:space="preserve">See notes on CFC11
</t>
        </r>
      </text>
    </comment>
    <comment ref="K87" authorId="0" shapeId="0" xr:uid="{00000000-0006-0000-0900-000086010000}">
      <text>
        <r>
          <rPr>
            <sz val="9"/>
            <color indexed="81"/>
            <rFont val="Tahoma"/>
            <family val="2"/>
          </rPr>
          <t xml:space="preserve">See notes on CFC11
</t>
        </r>
      </text>
    </comment>
    <comment ref="H88" authorId="0" shapeId="0" xr:uid="{00000000-0006-0000-0900-000087010000}">
      <text>
        <r>
          <rPr>
            <sz val="9"/>
            <color indexed="81"/>
            <rFont val="Tahoma"/>
            <family val="2"/>
          </rPr>
          <t xml:space="preserve">See note on CFC-11
</t>
        </r>
      </text>
    </comment>
    <comment ref="J88" authorId="0" shapeId="0" xr:uid="{00000000-0006-0000-0900-000088010000}">
      <text>
        <r>
          <rPr>
            <sz val="9"/>
            <color indexed="81"/>
            <rFont val="Tahoma"/>
            <family val="2"/>
          </rPr>
          <t xml:space="preserve">See notes on CFC11
</t>
        </r>
      </text>
    </comment>
    <comment ref="K88" authorId="0" shapeId="0" xr:uid="{00000000-0006-0000-0900-000089010000}">
      <text>
        <r>
          <rPr>
            <sz val="9"/>
            <color indexed="81"/>
            <rFont val="Tahoma"/>
            <family val="2"/>
          </rPr>
          <t xml:space="preserve">See notes on CFC11
</t>
        </r>
      </text>
    </comment>
    <comment ref="A89" authorId="0" shapeId="0" xr:uid="{00000000-0006-0000-0900-00008A010000}">
      <text>
        <r>
          <rPr>
            <sz val="9"/>
            <color indexed="81"/>
            <rFont val="Tahoma"/>
            <family val="2"/>
          </rPr>
          <t xml:space="preserve">1,1,1,3,3-Pentafluoropropane
</t>
        </r>
      </text>
    </comment>
    <comment ref="H89" authorId="0" shapeId="0" xr:uid="{00000000-0006-0000-0900-00008B010000}">
      <text>
        <r>
          <rPr>
            <sz val="9"/>
            <color indexed="81"/>
            <rFont val="Tahoma"/>
            <family val="2"/>
          </rPr>
          <t xml:space="preserve">See note on CFC-11
</t>
        </r>
      </text>
    </comment>
    <comment ref="J89" authorId="0" shapeId="0" xr:uid="{00000000-0006-0000-0900-00008C010000}">
      <text>
        <r>
          <rPr>
            <sz val="9"/>
            <color indexed="81"/>
            <rFont val="Tahoma"/>
            <family val="2"/>
          </rPr>
          <t xml:space="preserve">See notes on CFC11
</t>
        </r>
      </text>
    </comment>
    <comment ref="K89" authorId="0" shapeId="0" xr:uid="{00000000-0006-0000-0900-00008D010000}">
      <text>
        <r>
          <rPr>
            <sz val="9"/>
            <color indexed="81"/>
            <rFont val="Tahoma"/>
            <family val="2"/>
          </rPr>
          <t xml:space="preserve">See notes on CFC11
</t>
        </r>
      </text>
    </comment>
    <comment ref="H90" authorId="0" shapeId="0" xr:uid="{00000000-0006-0000-0900-00008E010000}">
      <text>
        <r>
          <rPr>
            <sz val="9"/>
            <color indexed="81"/>
            <rFont val="Tahoma"/>
            <family val="2"/>
          </rPr>
          <t xml:space="preserve">See note on CFC-11
</t>
        </r>
      </text>
    </comment>
    <comment ref="J90" authorId="0" shapeId="0" xr:uid="{00000000-0006-0000-0900-00008F010000}">
      <text>
        <r>
          <rPr>
            <sz val="9"/>
            <color indexed="81"/>
            <rFont val="Tahoma"/>
            <family val="2"/>
          </rPr>
          <t xml:space="preserve">See notes on CFC11
</t>
        </r>
      </text>
    </comment>
    <comment ref="K90" authorId="0" shapeId="0" xr:uid="{00000000-0006-0000-0900-000090010000}">
      <text>
        <r>
          <rPr>
            <sz val="9"/>
            <color indexed="81"/>
            <rFont val="Tahoma"/>
            <family val="2"/>
          </rPr>
          <t xml:space="preserve">See notes on CFC11
</t>
        </r>
      </text>
    </comment>
    <comment ref="H91" authorId="0" shapeId="0" xr:uid="{00000000-0006-0000-0900-000091010000}">
      <text>
        <r>
          <rPr>
            <sz val="9"/>
            <color indexed="81"/>
            <rFont val="Tahoma"/>
            <family val="2"/>
          </rPr>
          <t xml:space="preserve">See note on CFC-11
</t>
        </r>
      </text>
    </comment>
    <comment ref="J91" authorId="0" shapeId="0" xr:uid="{00000000-0006-0000-0900-000092010000}">
      <text>
        <r>
          <rPr>
            <sz val="9"/>
            <color indexed="81"/>
            <rFont val="Tahoma"/>
            <family val="2"/>
          </rPr>
          <t xml:space="preserve">See notes on CFC11
</t>
        </r>
      </text>
    </comment>
    <comment ref="K91" authorId="0" shapeId="0" xr:uid="{00000000-0006-0000-0900-000093010000}">
      <text>
        <r>
          <rPr>
            <sz val="9"/>
            <color indexed="81"/>
            <rFont val="Tahoma"/>
            <family val="2"/>
          </rPr>
          <t xml:space="preserve">See notes on CFC11
</t>
        </r>
      </text>
    </comment>
    <comment ref="H92" authorId="0" shapeId="0" xr:uid="{00000000-0006-0000-0900-000094010000}">
      <text>
        <r>
          <rPr>
            <sz val="9"/>
            <color indexed="81"/>
            <rFont val="Tahoma"/>
            <family val="2"/>
          </rPr>
          <t xml:space="preserve">See note on CFC-11
</t>
        </r>
      </text>
    </comment>
    <comment ref="J92" authorId="0" shapeId="0" xr:uid="{00000000-0006-0000-0900-000095010000}">
      <text>
        <r>
          <rPr>
            <sz val="9"/>
            <color indexed="81"/>
            <rFont val="Tahoma"/>
            <family val="2"/>
          </rPr>
          <t xml:space="preserve">See notes on CFC11
</t>
        </r>
      </text>
    </comment>
    <comment ref="K92" authorId="0" shapeId="0" xr:uid="{00000000-0006-0000-0900-000096010000}">
      <text>
        <r>
          <rPr>
            <sz val="9"/>
            <color indexed="81"/>
            <rFont val="Tahoma"/>
            <family val="2"/>
          </rPr>
          <t xml:space="preserve">See notes on CFC11
</t>
        </r>
      </text>
    </comment>
    <comment ref="H93" authorId="0" shapeId="0" xr:uid="{00000000-0006-0000-0900-000097010000}">
      <text>
        <r>
          <rPr>
            <sz val="9"/>
            <color indexed="81"/>
            <rFont val="Tahoma"/>
            <family val="2"/>
          </rPr>
          <t xml:space="preserve">See note on CFC-11
</t>
        </r>
      </text>
    </comment>
    <comment ref="J93" authorId="0" shapeId="0" xr:uid="{00000000-0006-0000-0900-000098010000}">
      <text>
        <r>
          <rPr>
            <sz val="9"/>
            <color indexed="81"/>
            <rFont val="Tahoma"/>
            <family val="2"/>
          </rPr>
          <t xml:space="preserve">See notes on CFC11
</t>
        </r>
      </text>
    </comment>
    <comment ref="K93" authorId="0" shapeId="0" xr:uid="{00000000-0006-0000-0900-000099010000}">
      <text>
        <r>
          <rPr>
            <sz val="9"/>
            <color indexed="81"/>
            <rFont val="Tahoma"/>
            <family val="2"/>
          </rPr>
          <t xml:space="preserve">See notes on CFC11
</t>
        </r>
      </text>
    </comment>
    <comment ref="H94" authorId="0" shapeId="0" xr:uid="{00000000-0006-0000-0900-00009A010000}">
      <text>
        <r>
          <rPr>
            <sz val="9"/>
            <color indexed="81"/>
            <rFont val="Tahoma"/>
            <family val="2"/>
          </rPr>
          <t xml:space="preserve">See note on CFC-11
</t>
        </r>
      </text>
    </comment>
    <comment ref="J94" authorId="0" shapeId="0" xr:uid="{00000000-0006-0000-0900-00009B010000}">
      <text>
        <r>
          <rPr>
            <sz val="9"/>
            <color indexed="81"/>
            <rFont val="Tahoma"/>
            <family val="2"/>
          </rPr>
          <t xml:space="preserve">See notes on CFC11
</t>
        </r>
      </text>
    </comment>
    <comment ref="K94" authorId="0" shapeId="0" xr:uid="{00000000-0006-0000-0900-00009C010000}">
      <text>
        <r>
          <rPr>
            <sz val="9"/>
            <color indexed="81"/>
            <rFont val="Tahoma"/>
            <family val="2"/>
          </rPr>
          <t xml:space="preserve">See notes on CFC11
</t>
        </r>
      </text>
    </comment>
    <comment ref="H95" authorId="0" shapeId="0" xr:uid="{00000000-0006-0000-0900-00009D010000}">
      <text>
        <r>
          <rPr>
            <sz val="9"/>
            <color indexed="81"/>
            <rFont val="Tahoma"/>
            <family val="2"/>
          </rPr>
          <t xml:space="preserve">See note on CFC-11
</t>
        </r>
      </text>
    </comment>
    <comment ref="J95" authorId="0" shapeId="0" xr:uid="{00000000-0006-0000-0900-00009E010000}">
      <text>
        <r>
          <rPr>
            <sz val="9"/>
            <color indexed="81"/>
            <rFont val="Tahoma"/>
            <family val="2"/>
          </rPr>
          <t xml:space="preserve">See notes on CFC11
</t>
        </r>
      </text>
    </comment>
    <comment ref="K95" authorId="0" shapeId="0" xr:uid="{00000000-0006-0000-0900-00009F010000}">
      <text>
        <r>
          <rPr>
            <sz val="9"/>
            <color indexed="81"/>
            <rFont val="Tahoma"/>
            <family val="2"/>
          </rPr>
          <t xml:space="preserve">See notes on CFC11
</t>
        </r>
      </text>
    </comment>
    <comment ref="H96" authorId="0" shapeId="0" xr:uid="{00000000-0006-0000-0900-0000A0010000}">
      <text>
        <r>
          <rPr>
            <sz val="9"/>
            <color indexed="81"/>
            <rFont val="Tahoma"/>
            <family val="2"/>
          </rPr>
          <t xml:space="preserve">See note on CFC-11
</t>
        </r>
      </text>
    </comment>
    <comment ref="J96" authorId="0" shapeId="0" xr:uid="{00000000-0006-0000-0900-0000A1010000}">
      <text>
        <r>
          <rPr>
            <sz val="9"/>
            <color indexed="81"/>
            <rFont val="Tahoma"/>
            <family val="2"/>
          </rPr>
          <t xml:space="preserve">See notes on CFC11
</t>
        </r>
      </text>
    </comment>
    <comment ref="K96" authorId="0" shapeId="0" xr:uid="{00000000-0006-0000-0900-0000A2010000}">
      <text>
        <r>
          <rPr>
            <sz val="9"/>
            <color indexed="81"/>
            <rFont val="Tahoma"/>
            <family val="2"/>
          </rPr>
          <t xml:space="preserve">See notes on CFC11
</t>
        </r>
      </text>
    </comment>
    <comment ref="H97" authorId="0" shapeId="0" xr:uid="{00000000-0006-0000-0900-0000A3010000}">
      <text>
        <r>
          <rPr>
            <sz val="9"/>
            <color indexed="81"/>
            <rFont val="Tahoma"/>
            <family val="2"/>
          </rPr>
          <t xml:space="preserve">See note on CFC-11
</t>
        </r>
      </text>
    </comment>
    <comment ref="J97" authorId="0" shapeId="0" xr:uid="{00000000-0006-0000-0900-0000A4010000}">
      <text>
        <r>
          <rPr>
            <sz val="9"/>
            <color indexed="81"/>
            <rFont val="Tahoma"/>
            <family val="2"/>
          </rPr>
          <t xml:space="preserve">See notes on CFC11
</t>
        </r>
      </text>
    </comment>
    <comment ref="K97" authorId="0" shapeId="0" xr:uid="{00000000-0006-0000-0900-0000A5010000}">
      <text>
        <r>
          <rPr>
            <sz val="9"/>
            <color indexed="81"/>
            <rFont val="Tahoma"/>
            <family val="2"/>
          </rPr>
          <t xml:space="preserve">See notes on CFC11
</t>
        </r>
      </text>
    </comment>
    <comment ref="H98" authorId="0" shapeId="0" xr:uid="{00000000-0006-0000-0900-0000A6010000}">
      <text>
        <r>
          <rPr>
            <sz val="9"/>
            <color indexed="81"/>
            <rFont val="Tahoma"/>
            <family val="2"/>
          </rPr>
          <t xml:space="preserve">See note on CFC-11
</t>
        </r>
      </text>
    </comment>
    <comment ref="J98" authorId="0" shapeId="0" xr:uid="{00000000-0006-0000-0900-0000A7010000}">
      <text>
        <r>
          <rPr>
            <sz val="9"/>
            <color indexed="81"/>
            <rFont val="Tahoma"/>
            <family val="2"/>
          </rPr>
          <t xml:space="preserve">See notes on CFC11
</t>
        </r>
      </text>
    </comment>
    <comment ref="K98" authorId="0" shapeId="0" xr:uid="{00000000-0006-0000-0900-0000A8010000}">
      <text>
        <r>
          <rPr>
            <sz val="9"/>
            <color indexed="81"/>
            <rFont val="Tahoma"/>
            <family val="2"/>
          </rPr>
          <t xml:space="preserve">See notes on CFC11
</t>
        </r>
      </text>
    </comment>
    <comment ref="H99" authorId="0" shapeId="0" xr:uid="{00000000-0006-0000-0900-0000A9010000}">
      <text>
        <r>
          <rPr>
            <sz val="9"/>
            <color indexed="81"/>
            <rFont val="Tahoma"/>
            <family val="2"/>
          </rPr>
          <t xml:space="preserve">See note on CFC-11
</t>
        </r>
      </text>
    </comment>
    <comment ref="J99" authorId="0" shapeId="0" xr:uid="{00000000-0006-0000-0900-0000AA010000}">
      <text>
        <r>
          <rPr>
            <sz val="9"/>
            <color indexed="81"/>
            <rFont val="Tahoma"/>
            <family val="2"/>
          </rPr>
          <t xml:space="preserve">See notes on CFC11
</t>
        </r>
      </text>
    </comment>
    <comment ref="K99" authorId="0" shapeId="0" xr:uid="{00000000-0006-0000-0900-0000AB010000}">
      <text>
        <r>
          <rPr>
            <sz val="9"/>
            <color indexed="81"/>
            <rFont val="Tahoma"/>
            <family val="2"/>
          </rPr>
          <t xml:space="preserve">See notes on CFC11
</t>
        </r>
      </text>
    </comment>
    <comment ref="H100" authorId="0" shapeId="0" xr:uid="{00000000-0006-0000-0900-0000AC010000}">
      <text>
        <r>
          <rPr>
            <sz val="9"/>
            <color indexed="81"/>
            <rFont val="Tahoma"/>
            <family val="2"/>
          </rPr>
          <t xml:space="preserve">See note on CFC-11
</t>
        </r>
      </text>
    </comment>
    <comment ref="J100" authorId="0" shapeId="0" xr:uid="{00000000-0006-0000-0900-0000AD010000}">
      <text>
        <r>
          <rPr>
            <sz val="9"/>
            <color indexed="81"/>
            <rFont val="Tahoma"/>
            <family val="2"/>
          </rPr>
          <t xml:space="preserve">See notes on CFC11
</t>
        </r>
      </text>
    </comment>
    <comment ref="K100" authorId="0" shapeId="0" xr:uid="{00000000-0006-0000-0900-0000AE010000}">
      <text>
        <r>
          <rPr>
            <sz val="9"/>
            <color indexed="81"/>
            <rFont val="Tahoma"/>
            <family val="2"/>
          </rPr>
          <t xml:space="preserve">See notes on CFC11
</t>
        </r>
      </text>
    </comment>
    <comment ref="H101" authorId="0" shapeId="0" xr:uid="{00000000-0006-0000-0900-0000AF010000}">
      <text>
        <r>
          <rPr>
            <sz val="9"/>
            <color indexed="81"/>
            <rFont val="Tahoma"/>
            <family val="2"/>
          </rPr>
          <t xml:space="preserve">See note on CFC-11
</t>
        </r>
      </text>
    </comment>
    <comment ref="J101" authorId="0" shapeId="0" xr:uid="{00000000-0006-0000-0900-0000B0010000}">
      <text>
        <r>
          <rPr>
            <sz val="9"/>
            <color indexed="81"/>
            <rFont val="Tahoma"/>
            <family val="2"/>
          </rPr>
          <t xml:space="preserve">See notes on CFC11
</t>
        </r>
      </text>
    </comment>
    <comment ref="K101" authorId="0" shapeId="0" xr:uid="{00000000-0006-0000-0900-0000B1010000}">
      <text>
        <r>
          <rPr>
            <sz val="9"/>
            <color indexed="81"/>
            <rFont val="Tahoma"/>
            <family val="2"/>
          </rPr>
          <t xml:space="preserve">See notes on CFC11
</t>
        </r>
      </text>
    </comment>
    <comment ref="H102" authorId="0" shapeId="0" xr:uid="{00000000-0006-0000-0900-0000B2010000}">
      <text>
        <r>
          <rPr>
            <sz val="9"/>
            <color indexed="81"/>
            <rFont val="Tahoma"/>
            <family val="2"/>
          </rPr>
          <t xml:space="preserve">See note on CFC-11
</t>
        </r>
      </text>
    </comment>
    <comment ref="J102" authorId="0" shapeId="0" xr:uid="{00000000-0006-0000-0900-0000B3010000}">
      <text>
        <r>
          <rPr>
            <sz val="9"/>
            <color indexed="81"/>
            <rFont val="Tahoma"/>
            <family val="2"/>
          </rPr>
          <t xml:space="preserve">See notes on CFC11
</t>
        </r>
      </text>
    </comment>
    <comment ref="K102" authorId="0" shapeId="0" xr:uid="{00000000-0006-0000-0900-0000B4010000}">
      <text>
        <r>
          <rPr>
            <sz val="9"/>
            <color indexed="81"/>
            <rFont val="Tahoma"/>
            <family val="2"/>
          </rPr>
          <t xml:space="preserve">See notes on CFC11
</t>
        </r>
      </text>
    </comment>
    <comment ref="H103" authorId="0" shapeId="0" xr:uid="{00000000-0006-0000-0900-0000B5010000}">
      <text>
        <r>
          <rPr>
            <sz val="9"/>
            <color indexed="81"/>
            <rFont val="Tahoma"/>
            <family val="2"/>
          </rPr>
          <t xml:space="preserve">See note on CFC-11
</t>
        </r>
      </text>
    </comment>
    <comment ref="J103" authorId="0" shapeId="0" xr:uid="{00000000-0006-0000-0900-0000B6010000}">
      <text>
        <r>
          <rPr>
            <sz val="9"/>
            <color indexed="81"/>
            <rFont val="Tahoma"/>
            <family val="2"/>
          </rPr>
          <t xml:space="preserve">See notes on CFC11
</t>
        </r>
      </text>
    </comment>
    <comment ref="K103" authorId="0" shapeId="0" xr:uid="{00000000-0006-0000-0900-0000B7010000}">
      <text>
        <r>
          <rPr>
            <sz val="9"/>
            <color indexed="81"/>
            <rFont val="Tahoma"/>
            <family val="2"/>
          </rPr>
          <t xml:space="preserve">See notes on CFC11
</t>
        </r>
      </text>
    </comment>
    <comment ref="H104" authorId="0" shapeId="0" xr:uid="{00000000-0006-0000-0900-0000B8010000}">
      <text>
        <r>
          <rPr>
            <sz val="9"/>
            <color indexed="81"/>
            <rFont val="Tahoma"/>
            <family val="2"/>
          </rPr>
          <t xml:space="preserve">See note on CFC-11
</t>
        </r>
      </text>
    </comment>
    <comment ref="J104" authorId="0" shapeId="0" xr:uid="{00000000-0006-0000-0900-0000B9010000}">
      <text>
        <r>
          <rPr>
            <sz val="9"/>
            <color indexed="81"/>
            <rFont val="Tahoma"/>
            <family val="2"/>
          </rPr>
          <t xml:space="preserve">See notes on CFC11
</t>
        </r>
      </text>
    </comment>
    <comment ref="K104" authorId="0" shapeId="0" xr:uid="{00000000-0006-0000-0900-0000BA010000}">
      <text>
        <r>
          <rPr>
            <sz val="9"/>
            <color indexed="81"/>
            <rFont val="Tahoma"/>
            <family val="2"/>
          </rPr>
          <t xml:space="preserve">See notes on CFC11
</t>
        </r>
      </text>
    </comment>
    <comment ref="H105" authorId="0" shapeId="0" xr:uid="{00000000-0006-0000-0900-0000BB010000}">
      <text>
        <r>
          <rPr>
            <sz val="9"/>
            <color indexed="81"/>
            <rFont val="Tahoma"/>
            <family val="2"/>
          </rPr>
          <t xml:space="preserve">See note on CFC-11
</t>
        </r>
      </text>
    </comment>
    <comment ref="J105" authorId="0" shapeId="0" xr:uid="{00000000-0006-0000-0900-0000BC010000}">
      <text>
        <r>
          <rPr>
            <sz val="9"/>
            <color indexed="81"/>
            <rFont val="Tahoma"/>
            <family val="2"/>
          </rPr>
          <t xml:space="preserve">See notes on CFC11
</t>
        </r>
      </text>
    </comment>
    <comment ref="K105" authorId="0" shapeId="0" xr:uid="{00000000-0006-0000-0900-0000BD010000}">
      <text>
        <r>
          <rPr>
            <sz val="9"/>
            <color indexed="81"/>
            <rFont val="Tahoma"/>
            <family val="2"/>
          </rPr>
          <t xml:space="preserve">See notes on CFC11
</t>
        </r>
      </text>
    </comment>
    <comment ref="H106" authorId="0" shapeId="0" xr:uid="{00000000-0006-0000-0900-0000BE010000}">
      <text>
        <r>
          <rPr>
            <sz val="9"/>
            <color indexed="81"/>
            <rFont val="Tahoma"/>
            <family val="2"/>
          </rPr>
          <t xml:space="preserve">See note on CFC-11
</t>
        </r>
      </text>
    </comment>
    <comment ref="J106" authorId="0" shapeId="0" xr:uid="{00000000-0006-0000-0900-0000BF010000}">
      <text>
        <r>
          <rPr>
            <sz val="9"/>
            <color indexed="81"/>
            <rFont val="Tahoma"/>
            <family val="2"/>
          </rPr>
          <t xml:space="preserve">See notes on CFC11
</t>
        </r>
      </text>
    </comment>
    <comment ref="K106" authorId="0" shapeId="0" xr:uid="{00000000-0006-0000-0900-0000C0010000}">
      <text>
        <r>
          <rPr>
            <sz val="9"/>
            <color indexed="81"/>
            <rFont val="Tahoma"/>
            <family val="2"/>
          </rPr>
          <t xml:space="preserve">See notes on CFC11
</t>
        </r>
      </text>
    </comment>
    <comment ref="H107" authorId="0" shapeId="0" xr:uid="{00000000-0006-0000-0900-0000C1010000}">
      <text>
        <r>
          <rPr>
            <sz val="9"/>
            <color indexed="81"/>
            <rFont val="Tahoma"/>
            <family val="2"/>
          </rPr>
          <t xml:space="preserve">See note on CFC-11
</t>
        </r>
      </text>
    </comment>
    <comment ref="J107" authorId="0" shapeId="0" xr:uid="{00000000-0006-0000-0900-0000C2010000}">
      <text>
        <r>
          <rPr>
            <sz val="9"/>
            <color indexed="81"/>
            <rFont val="Tahoma"/>
            <family val="2"/>
          </rPr>
          <t xml:space="preserve">See notes on CFC11
</t>
        </r>
      </text>
    </comment>
    <comment ref="K107" authorId="0" shapeId="0" xr:uid="{00000000-0006-0000-0900-0000C3010000}">
      <text>
        <r>
          <rPr>
            <sz val="9"/>
            <color indexed="81"/>
            <rFont val="Tahoma"/>
            <family val="2"/>
          </rPr>
          <t xml:space="preserve">See notes on CFC11
</t>
        </r>
      </text>
    </comment>
    <comment ref="F108" authorId="0" shapeId="0" xr:uid="{00000000-0006-0000-0900-0000C4010000}">
      <text>
        <r>
          <rPr>
            <sz val="9"/>
            <color indexed="81"/>
            <rFont val="Tahoma"/>
            <family val="2"/>
          </rPr>
          <t xml:space="preserve">WMO 2006
</t>
        </r>
      </text>
    </comment>
    <comment ref="H108" authorId="0" shapeId="0" xr:uid="{00000000-0006-0000-0900-0000C5010000}">
      <text>
        <r>
          <rPr>
            <sz val="9"/>
            <color indexed="81"/>
            <rFont val="Tahoma"/>
            <family val="2"/>
          </rPr>
          <t xml:space="preserve">See note on CFC-11
</t>
        </r>
      </text>
    </comment>
    <comment ref="J108" authorId="0" shapeId="0" xr:uid="{00000000-0006-0000-0900-0000C6010000}">
      <text>
        <r>
          <rPr>
            <sz val="9"/>
            <color indexed="81"/>
            <rFont val="Tahoma"/>
            <family val="2"/>
          </rPr>
          <t xml:space="preserve">See notes on CFC11
</t>
        </r>
      </text>
    </comment>
    <comment ref="K108" authorId="0" shapeId="0" xr:uid="{00000000-0006-0000-0900-0000C7010000}">
      <text>
        <r>
          <rPr>
            <sz val="9"/>
            <color indexed="81"/>
            <rFont val="Tahoma"/>
            <family val="2"/>
          </rPr>
          <t xml:space="preserve">See notes on CFC11
</t>
        </r>
      </text>
    </comment>
    <comment ref="H109" authorId="0" shapeId="0" xr:uid="{00000000-0006-0000-0900-0000C8010000}">
      <text>
        <r>
          <rPr>
            <sz val="9"/>
            <color indexed="81"/>
            <rFont val="Tahoma"/>
            <family val="2"/>
          </rPr>
          <t xml:space="preserve">See note on CFC-11
</t>
        </r>
      </text>
    </comment>
    <comment ref="J109" authorId="0" shapeId="0" xr:uid="{00000000-0006-0000-0900-0000C9010000}">
      <text>
        <r>
          <rPr>
            <sz val="9"/>
            <color indexed="81"/>
            <rFont val="Tahoma"/>
            <family val="2"/>
          </rPr>
          <t xml:space="preserve">See notes on CFC11
</t>
        </r>
      </text>
    </comment>
    <comment ref="K109" authorId="0" shapeId="0" xr:uid="{00000000-0006-0000-0900-0000CA010000}">
      <text>
        <r>
          <rPr>
            <sz val="9"/>
            <color indexed="81"/>
            <rFont val="Tahoma"/>
            <family val="2"/>
          </rPr>
          <t xml:space="preserve">See notes on CFC11
</t>
        </r>
      </text>
    </comment>
    <comment ref="H111" authorId="0" shapeId="0" xr:uid="{00000000-0006-0000-0900-0000CB010000}">
      <text>
        <r>
          <rPr>
            <sz val="9"/>
            <color indexed="81"/>
            <rFont val="Tahoma"/>
            <family val="2"/>
          </rPr>
          <t xml:space="preserve">See note on CFC-11
</t>
        </r>
      </text>
    </comment>
    <comment ref="J111" authorId="0" shapeId="0" xr:uid="{00000000-0006-0000-0900-0000CC010000}">
      <text>
        <r>
          <rPr>
            <sz val="9"/>
            <color indexed="81"/>
            <rFont val="Tahoma"/>
            <family val="2"/>
          </rPr>
          <t xml:space="preserve">See notes on CFC11
</t>
        </r>
      </text>
    </comment>
    <comment ref="K111" authorId="0" shapeId="0" xr:uid="{00000000-0006-0000-0900-0000CD010000}">
      <text>
        <r>
          <rPr>
            <sz val="9"/>
            <color indexed="81"/>
            <rFont val="Tahoma"/>
            <family val="2"/>
          </rPr>
          <t xml:space="preserve">See notes on CFC11
</t>
        </r>
      </text>
    </comment>
    <comment ref="H112" authorId="0" shapeId="0" xr:uid="{00000000-0006-0000-0900-0000CE010000}">
      <text>
        <r>
          <rPr>
            <sz val="9"/>
            <color indexed="81"/>
            <rFont val="Tahoma"/>
            <family val="2"/>
          </rPr>
          <t xml:space="preserve">See note on CFC-11
</t>
        </r>
      </text>
    </comment>
    <comment ref="J112" authorId="0" shapeId="0" xr:uid="{00000000-0006-0000-0900-0000CF010000}">
      <text>
        <r>
          <rPr>
            <sz val="9"/>
            <color indexed="81"/>
            <rFont val="Tahoma"/>
            <family val="2"/>
          </rPr>
          <t xml:space="preserve">See notes on CFC11
</t>
        </r>
      </text>
    </comment>
    <comment ref="K112" authorId="0" shapeId="0" xr:uid="{00000000-0006-0000-0900-0000D0010000}">
      <text>
        <r>
          <rPr>
            <sz val="9"/>
            <color indexed="81"/>
            <rFont val="Tahoma"/>
            <family val="2"/>
          </rPr>
          <t xml:space="preserve">See notes on CFC11
</t>
        </r>
      </text>
    </comment>
    <comment ref="A113" authorId="0" shapeId="0" xr:uid="{00000000-0006-0000-0900-0000D1010000}">
      <text>
        <r>
          <rPr>
            <sz val="9"/>
            <color indexed="81"/>
            <rFont val="Tahoma"/>
            <family val="2"/>
          </rPr>
          <t>=Bromodifluoromethane,
HBFC-12B1(CHF2Br)</t>
        </r>
      </text>
    </comment>
    <comment ref="F113" authorId="0" shapeId="0" xr:uid="{00000000-0006-0000-0900-0000D2010000}">
      <text>
        <r>
          <rPr>
            <sz val="9"/>
            <color indexed="81"/>
            <rFont val="Tahoma"/>
            <family val="2"/>
          </rPr>
          <t>ODP1, 
USEPA 2014</t>
        </r>
      </text>
    </comment>
    <comment ref="H113" authorId="0" shapeId="0" xr:uid="{00000000-0006-0000-0900-0000D3010000}">
      <text>
        <r>
          <rPr>
            <sz val="9"/>
            <color indexed="81"/>
            <rFont val="Tahoma"/>
            <family val="2"/>
          </rPr>
          <t xml:space="preserve">See note on CFC-11
</t>
        </r>
      </text>
    </comment>
    <comment ref="J113" authorId="0" shapeId="0" xr:uid="{00000000-0006-0000-0900-0000D4010000}">
      <text>
        <r>
          <rPr>
            <sz val="9"/>
            <color indexed="81"/>
            <rFont val="Tahoma"/>
            <family val="2"/>
          </rPr>
          <t xml:space="preserve">See notes on CFC11
</t>
        </r>
      </text>
    </comment>
    <comment ref="K113" authorId="0" shapeId="0" xr:uid="{00000000-0006-0000-0900-0000D5010000}">
      <text>
        <r>
          <rPr>
            <sz val="9"/>
            <color indexed="81"/>
            <rFont val="Tahoma"/>
            <family val="2"/>
          </rPr>
          <t xml:space="preserve">See notes on CFC11
</t>
        </r>
      </text>
    </comment>
    <comment ref="A114" authorId="0" shapeId="0" xr:uid="{00000000-0006-0000-0900-0000D6010000}">
      <text>
        <r>
          <rPr>
            <sz val="9"/>
            <color indexed="81"/>
            <rFont val="Tahoma"/>
            <family val="2"/>
          </rPr>
          <t xml:space="preserve">Difluorodibromomethane, = Carbon dibromide difluoride, Carbon bromide fluoride, Halon 1202, Fluorocarbon 12-B2, FC 12-B2, R 12B2
</t>
        </r>
      </text>
    </comment>
    <comment ref="H114" authorId="0" shapeId="0" xr:uid="{00000000-0006-0000-0900-0000D7010000}">
      <text>
        <r>
          <rPr>
            <sz val="9"/>
            <color indexed="81"/>
            <rFont val="Tahoma"/>
            <family val="2"/>
          </rPr>
          <t xml:space="preserve">See note on CFC-11
</t>
        </r>
      </text>
    </comment>
    <comment ref="J114" authorId="0" shapeId="0" xr:uid="{00000000-0006-0000-0900-0000D8010000}">
      <text>
        <r>
          <rPr>
            <sz val="9"/>
            <color indexed="81"/>
            <rFont val="Tahoma"/>
            <family val="2"/>
          </rPr>
          <t xml:space="preserve">See notes on CFC11
</t>
        </r>
      </text>
    </comment>
    <comment ref="K114" authorId="0" shapeId="0" xr:uid="{00000000-0006-0000-0900-0000D9010000}">
      <text>
        <r>
          <rPr>
            <sz val="9"/>
            <color indexed="81"/>
            <rFont val="Tahoma"/>
            <family val="2"/>
          </rPr>
          <t xml:space="preserve">See notes on CFC11
</t>
        </r>
      </text>
    </comment>
    <comment ref="A115" authorId="0" shapeId="0" xr:uid="{00000000-0006-0000-0900-0000DA010000}">
      <text>
        <r>
          <rPr>
            <sz val="9"/>
            <color indexed="81"/>
            <rFont val="Tahoma"/>
            <family val="2"/>
          </rPr>
          <t xml:space="preserve">= Bromdifluorklormetan, BCF, Freon 12B1, CBrClF2
</t>
        </r>
      </text>
    </comment>
    <comment ref="D115" authorId="0" shapeId="0" xr:uid="{00000000-0006-0000-0900-0000DB010000}">
      <text>
        <r>
          <rPr>
            <sz val="9"/>
            <color indexed="81"/>
            <rFont val="Tahoma"/>
            <family val="2"/>
          </rPr>
          <t xml:space="preserve">Direct GWP. Youn et al (Youn, D., K.O. Patten, J.-T. Lin, and D.J. Wuebbles, Explicit calculation of indirect global warming potentials
for halons using atmospheric models, Atmos. Chem. Phys., 9 (22), 8719-8733, doi: 10.5194/acp-9-8719-2009, 2009) have included indirect effects and found a net GWP of -15000
</t>
        </r>
      </text>
    </comment>
    <comment ref="H115" authorId="0" shapeId="0" xr:uid="{00000000-0006-0000-0900-0000DC010000}">
      <text>
        <r>
          <rPr>
            <sz val="9"/>
            <color indexed="81"/>
            <rFont val="Tahoma"/>
            <family val="2"/>
          </rPr>
          <t xml:space="preserve">See note on CFC-11
</t>
        </r>
      </text>
    </comment>
    <comment ref="J115" authorId="0" shapeId="0" xr:uid="{00000000-0006-0000-0900-0000DD010000}">
      <text>
        <r>
          <rPr>
            <sz val="9"/>
            <color indexed="81"/>
            <rFont val="Tahoma"/>
            <family val="2"/>
          </rPr>
          <t xml:space="preserve">See notes on CFC11
</t>
        </r>
      </text>
    </comment>
    <comment ref="K115" authorId="0" shapeId="0" xr:uid="{00000000-0006-0000-0900-0000DE010000}">
      <text>
        <r>
          <rPr>
            <sz val="9"/>
            <color indexed="81"/>
            <rFont val="Tahoma"/>
            <family val="2"/>
          </rPr>
          <t xml:space="preserve">See notes on CFC11
</t>
        </r>
      </text>
    </comment>
    <comment ref="D116" authorId="0" shapeId="0" xr:uid="{00000000-0006-0000-0900-0000DF010000}">
      <text>
        <r>
          <rPr>
            <sz val="9"/>
            <color indexed="81"/>
            <rFont val="Tahoma"/>
            <family val="2"/>
          </rPr>
          <t xml:space="preserve">Direct GWP. Youn et al (Youn, D., K.O. Patten, J.-T. Lin, and D.J. Wuebbles, Explicit calculation of indirect global warming potentials
for halons using atmospheric models, Atmos. Chem. Phys., 9 (22), 8719-8733, doi: 10.5194/acp-9-8719-2009, 2009) have included indirect effects and found a net GWP of -30000
</t>
        </r>
      </text>
    </comment>
    <comment ref="H116" authorId="0" shapeId="0" xr:uid="{00000000-0006-0000-0900-0000E0010000}">
      <text>
        <r>
          <rPr>
            <sz val="9"/>
            <color indexed="81"/>
            <rFont val="Tahoma"/>
            <family val="2"/>
          </rPr>
          <t xml:space="preserve">See note on CFC-11
</t>
        </r>
      </text>
    </comment>
    <comment ref="J116" authorId="0" shapeId="0" xr:uid="{00000000-0006-0000-0900-0000E1010000}">
      <text>
        <r>
          <rPr>
            <sz val="9"/>
            <color indexed="81"/>
            <rFont val="Tahoma"/>
            <family val="2"/>
          </rPr>
          <t xml:space="preserve">See notes on CFC11
</t>
        </r>
      </text>
    </comment>
    <comment ref="K116" authorId="0" shapeId="0" xr:uid="{00000000-0006-0000-0900-0000E2010000}">
      <text>
        <r>
          <rPr>
            <sz val="9"/>
            <color indexed="81"/>
            <rFont val="Tahoma"/>
            <family val="2"/>
          </rPr>
          <t xml:space="preserve">See notes on CFC11
</t>
        </r>
      </text>
    </comment>
    <comment ref="A117" authorId="0" shapeId="0" xr:uid="{00000000-0006-0000-0900-0000E3010000}">
      <text>
        <r>
          <rPr>
            <sz val="9"/>
            <color indexed="81"/>
            <rFont val="Tahoma"/>
            <family val="2"/>
          </rPr>
          <t xml:space="preserve">=1,1,1-trifluoro-2-bromoethane
</t>
        </r>
      </text>
    </comment>
    <comment ref="H117" authorId="0" shapeId="0" xr:uid="{00000000-0006-0000-0900-0000E4010000}">
      <text>
        <r>
          <rPr>
            <sz val="9"/>
            <color indexed="81"/>
            <rFont val="Tahoma"/>
            <family val="2"/>
          </rPr>
          <t xml:space="preserve">See note on CFC-11
</t>
        </r>
      </text>
    </comment>
    <comment ref="J117" authorId="0" shapeId="0" xr:uid="{00000000-0006-0000-0900-0000E5010000}">
      <text>
        <r>
          <rPr>
            <sz val="9"/>
            <color indexed="81"/>
            <rFont val="Tahoma"/>
            <family val="2"/>
          </rPr>
          <t xml:space="preserve">See notes on CFC11
</t>
        </r>
      </text>
    </comment>
    <comment ref="K117" authorId="0" shapeId="0" xr:uid="{00000000-0006-0000-0900-0000E6010000}">
      <text>
        <r>
          <rPr>
            <sz val="9"/>
            <color indexed="81"/>
            <rFont val="Tahoma"/>
            <family val="2"/>
          </rPr>
          <t xml:space="preserve">See notes on CFC11
</t>
        </r>
      </text>
    </comment>
    <comment ref="A118" authorId="0" shapeId="0" xr:uid="{00000000-0006-0000-0900-0000E7010000}">
      <text>
        <r>
          <rPr>
            <sz val="9"/>
            <color indexed="81"/>
            <rFont val="Tahoma"/>
            <family val="2"/>
          </rPr>
          <t>2-Bromo-2-chloro-1,1,1-trifluoroethane, CF3CHBrCl</t>
        </r>
      </text>
    </comment>
    <comment ref="H118" authorId="0" shapeId="0" xr:uid="{00000000-0006-0000-0900-0000E8010000}">
      <text>
        <r>
          <rPr>
            <sz val="9"/>
            <color indexed="81"/>
            <rFont val="Tahoma"/>
            <family val="2"/>
          </rPr>
          <t xml:space="preserve">See note on CFC-11
</t>
        </r>
      </text>
    </comment>
    <comment ref="J118" authorId="0" shapeId="0" xr:uid="{00000000-0006-0000-0900-0000E9010000}">
      <text>
        <r>
          <rPr>
            <sz val="9"/>
            <color indexed="81"/>
            <rFont val="Tahoma"/>
            <family val="2"/>
          </rPr>
          <t xml:space="preserve">See notes on CFC11
</t>
        </r>
      </text>
    </comment>
    <comment ref="K118" authorId="0" shapeId="0" xr:uid="{00000000-0006-0000-0900-0000EA010000}">
      <text>
        <r>
          <rPr>
            <sz val="9"/>
            <color indexed="81"/>
            <rFont val="Tahoma"/>
            <family val="2"/>
          </rPr>
          <t xml:space="preserve">See notes on CFC11
</t>
        </r>
      </text>
    </comment>
    <comment ref="H119" authorId="0" shapeId="0" xr:uid="{00000000-0006-0000-0900-0000EB010000}">
      <text>
        <r>
          <rPr>
            <sz val="9"/>
            <color indexed="81"/>
            <rFont val="Tahoma"/>
            <family val="2"/>
          </rPr>
          <t xml:space="preserve">See note on CFC-11
</t>
        </r>
      </text>
    </comment>
    <comment ref="J119" authorId="0" shapeId="0" xr:uid="{00000000-0006-0000-0900-0000EC010000}">
      <text>
        <r>
          <rPr>
            <sz val="9"/>
            <color indexed="81"/>
            <rFont val="Tahoma"/>
            <family val="2"/>
          </rPr>
          <t xml:space="preserve">See notes on CFC11
</t>
        </r>
      </text>
    </comment>
    <comment ref="K119" authorId="0" shapeId="0" xr:uid="{00000000-0006-0000-0900-0000ED010000}">
      <text>
        <r>
          <rPr>
            <sz val="9"/>
            <color indexed="81"/>
            <rFont val="Tahoma"/>
            <family val="2"/>
          </rPr>
          <t xml:space="preserve">See notes on CFC11
</t>
        </r>
      </text>
    </comment>
    <comment ref="H120" authorId="0" shapeId="0" xr:uid="{00000000-0006-0000-0900-0000EE010000}">
      <text>
        <r>
          <rPr>
            <sz val="9"/>
            <color indexed="81"/>
            <rFont val="Tahoma"/>
            <family val="2"/>
          </rPr>
          <t xml:space="preserve">See note on CFC-11
</t>
        </r>
      </text>
    </comment>
    <comment ref="J120" authorId="0" shapeId="0" xr:uid="{00000000-0006-0000-0900-0000EF010000}">
      <text>
        <r>
          <rPr>
            <sz val="9"/>
            <color indexed="81"/>
            <rFont val="Tahoma"/>
            <family val="2"/>
          </rPr>
          <t xml:space="preserve">See notes on CFC11
</t>
        </r>
      </text>
    </comment>
    <comment ref="K120" authorId="0" shapeId="0" xr:uid="{00000000-0006-0000-0900-0000F0010000}">
      <text>
        <r>
          <rPr>
            <sz val="9"/>
            <color indexed="81"/>
            <rFont val="Tahoma"/>
            <family val="2"/>
          </rPr>
          <t xml:space="preserve">See notes on CFC11
</t>
        </r>
      </text>
    </comment>
    <comment ref="H122" authorId="0" shapeId="0" xr:uid="{00000000-0006-0000-0900-0000F1010000}">
      <text>
        <r>
          <rPr>
            <sz val="9"/>
            <color indexed="81"/>
            <rFont val="Tahoma"/>
            <family val="2"/>
          </rPr>
          <t xml:space="preserve">See note on CFC-11
</t>
        </r>
      </text>
    </comment>
    <comment ref="J122" authorId="0" shapeId="0" xr:uid="{00000000-0006-0000-0900-0000F2010000}">
      <text>
        <r>
          <rPr>
            <sz val="9"/>
            <color indexed="81"/>
            <rFont val="Tahoma"/>
            <family val="2"/>
          </rPr>
          <t xml:space="preserve">See notes on CFC11
</t>
        </r>
      </text>
    </comment>
    <comment ref="K122" authorId="0" shapeId="0" xr:uid="{00000000-0006-0000-0900-0000F3010000}">
      <text>
        <r>
          <rPr>
            <sz val="9"/>
            <color indexed="81"/>
            <rFont val="Tahoma"/>
            <family val="2"/>
          </rPr>
          <t xml:space="preserve">See notes on CFC11
</t>
        </r>
      </text>
    </comment>
    <comment ref="H123" authorId="0" shapeId="0" xr:uid="{00000000-0006-0000-0900-0000F4010000}">
      <text>
        <r>
          <rPr>
            <sz val="9"/>
            <color indexed="81"/>
            <rFont val="Tahoma"/>
            <family val="2"/>
          </rPr>
          <t xml:space="preserve">See note on CFC-11
</t>
        </r>
      </text>
    </comment>
    <comment ref="J123" authorId="0" shapeId="0" xr:uid="{00000000-0006-0000-0900-0000F5010000}">
      <text>
        <r>
          <rPr>
            <sz val="9"/>
            <color indexed="81"/>
            <rFont val="Tahoma"/>
            <family val="2"/>
          </rPr>
          <t xml:space="preserve">See notes on CFC11
</t>
        </r>
      </text>
    </comment>
    <comment ref="K123" authorId="0" shapeId="0" xr:uid="{00000000-0006-0000-0900-0000F6010000}">
      <text>
        <r>
          <rPr>
            <sz val="9"/>
            <color indexed="81"/>
            <rFont val="Tahoma"/>
            <family val="2"/>
          </rPr>
          <t xml:space="preserve">See notes on CFC11
</t>
        </r>
      </text>
    </comment>
    <comment ref="H124" authorId="0" shapeId="0" xr:uid="{00000000-0006-0000-0900-0000F7010000}">
      <text>
        <r>
          <rPr>
            <sz val="9"/>
            <color indexed="81"/>
            <rFont val="Tahoma"/>
            <family val="2"/>
          </rPr>
          <t xml:space="preserve">See note on CFC-11
</t>
        </r>
      </text>
    </comment>
    <comment ref="J124" authorId="0" shapeId="0" xr:uid="{00000000-0006-0000-0900-0000F8010000}">
      <text>
        <r>
          <rPr>
            <sz val="9"/>
            <color indexed="81"/>
            <rFont val="Tahoma"/>
            <family val="2"/>
          </rPr>
          <t xml:space="preserve">See notes on CFC11
</t>
        </r>
      </text>
    </comment>
    <comment ref="K124" authorId="0" shapeId="0" xr:uid="{00000000-0006-0000-0900-0000F9010000}">
      <text>
        <r>
          <rPr>
            <sz val="9"/>
            <color indexed="81"/>
            <rFont val="Tahoma"/>
            <family val="2"/>
          </rPr>
          <t xml:space="preserve">See notes on CFC11
</t>
        </r>
      </text>
    </comment>
    <comment ref="H125" authorId="0" shapeId="0" xr:uid="{00000000-0006-0000-0900-0000FA010000}">
      <text>
        <r>
          <rPr>
            <sz val="9"/>
            <color indexed="81"/>
            <rFont val="Tahoma"/>
            <family val="2"/>
          </rPr>
          <t xml:space="preserve">See note on CFC-11
</t>
        </r>
      </text>
    </comment>
    <comment ref="J125" authorId="0" shapeId="0" xr:uid="{00000000-0006-0000-0900-0000FB010000}">
      <text>
        <r>
          <rPr>
            <sz val="9"/>
            <color indexed="81"/>
            <rFont val="Tahoma"/>
            <family val="2"/>
          </rPr>
          <t xml:space="preserve">See notes on CFC11
</t>
        </r>
      </text>
    </comment>
    <comment ref="K125" authorId="0" shapeId="0" xr:uid="{00000000-0006-0000-0900-0000FC010000}">
      <text>
        <r>
          <rPr>
            <sz val="9"/>
            <color indexed="81"/>
            <rFont val="Tahoma"/>
            <family val="2"/>
          </rPr>
          <t xml:space="preserve">See notes on CFC11
</t>
        </r>
      </text>
    </comment>
    <comment ref="H126" authorId="0" shapeId="0" xr:uid="{00000000-0006-0000-0900-0000FD010000}">
      <text>
        <r>
          <rPr>
            <sz val="9"/>
            <color indexed="81"/>
            <rFont val="Tahoma"/>
            <family val="2"/>
          </rPr>
          <t xml:space="preserve">See note on CFC-11
</t>
        </r>
      </text>
    </comment>
    <comment ref="J126" authorId="0" shapeId="0" xr:uid="{00000000-0006-0000-0900-0000FE010000}">
      <text>
        <r>
          <rPr>
            <sz val="9"/>
            <color indexed="81"/>
            <rFont val="Tahoma"/>
            <family val="2"/>
          </rPr>
          <t xml:space="preserve">See notes on CFC11
</t>
        </r>
      </text>
    </comment>
    <comment ref="K126" authorId="0" shapeId="0" xr:uid="{00000000-0006-0000-0900-0000FF010000}">
      <text>
        <r>
          <rPr>
            <sz val="9"/>
            <color indexed="81"/>
            <rFont val="Tahoma"/>
            <family val="2"/>
          </rPr>
          <t xml:space="preserve">See notes on CFC11
</t>
        </r>
      </text>
    </comment>
    <comment ref="H127" authorId="0" shapeId="0" xr:uid="{00000000-0006-0000-0900-000000020000}">
      <text>
        <r>
          <rPr>
            <sz val="9"/>
            <color indexed="81"/>
            <rFont val="Tahoma"/>
            <family val="2"/>
          </rPr>
          <t xml:space="preserve">See note on CFC-11
</t>
        </r>
      </text>
    </comment>
    <comment ref="J127" authorId="0" shapeId="0" xr:uid="{00000000-0006-0000-0900-000001020000}">
      <text>
        <r>
          <rPr>
            <sz val="9"/>
            <color indexed="81"/>
            <rFont val="Tahoma"/>
            <family val="2"/>
          </rPr>
          <t xml:space="preserve">See notes on CFC11
</t>
        </r>
      </text>
    </comment>
    <comment ref="K127" authorId="0" shapeId="0" xr:uid="{00000000-0006-0000-0900-000002020000}">
      <text>
        <r>
          <rPr>
            <sz val="9"/>
            <color indexed="81"/>
            <rFont val="Tahoma"/>
            <family val="2"/>
          </rPr>
          <t xml:space="preserve">See notes on CFC11
</t>
        </r>
      </text>
    </comment>
    <comment ref="H128" authorId="0" shapeId="0" xr:uid="{00000000-0006-0000-0900-000003020000}">
      <text>
        <r>
          <rPr>
            <sz val="9"/>
            <color indexed="81"/>
            <rFont val="Tahoma"/>
            <family val="2"/>
          </rPr>
          <t xml:space="preserve">See note on CFC-11
</t>
        </r>
      </text>
    </comment>
    <comment ref="J128" authorId="0" shapeId="0" xr:uid="{00000000-0006-0000-0900-000004020000}">
      <text>
        <r>
          <rPr>
            <sz val="9"/>
            <color indexed="81"/>
            <rFont val="Tahoma"/>
            <family val="2"/>
          </rPr>
          <t xml:space="preserve">See notes on CFC11
</t>
        </r>
      </text>
    </comment>
    <comment ref="K128" authorId="0" shapeId="0" xr:uid="{00000000-0006-0000-0900-000005020000}">
      <text>
        <r>
          <rPr>
            <sz val="9"/>
            <color indexed="81"/>
            <rFont val="Tahoma"/>
            <family val="2"/>
          </rPr>
          <t xml:space="preserve">See notes on CFC11
</t>
        </r>
      </text>
    </comment>
    <comment ref="H129" authorId="0" shapeId="0" xr:uid="{00000000-0006-0000-0900-000006020000}">
      <text>
        <r>
          <rPr>
            <sz val="9"/>
            <color indexed="81"/>
            <rFont val="Tahoma"/>
            <family val="2"/>
          </rPr>
          <t xml:space="preserve">See note on CFC-11
</t>
        </r>
      </text>
    </comment>
    <comment ref="J129" authorId="0" shapeId="0" xr:uid="{00000000-0006-0000-0900-000007020000}">
      <text>
        <r>
          <rPr>
            <sz val="9"/>
            <color indexed="81"/>
            <rFont val="Tahoma"/>
            <family val="2"/>
          </rPr>
          <t xml:space="preserve">See notes on CFC11
</t>
        </r>
      </text>
    </comment>
    <comment ref="K129" authorId="0" shapeId="0" xr:uid="{00000000-0006-0000-0900-000008020000}">
      <text>
        <r>
          <rPr>
            <sz val="9"/>
            <color indexed="81"/>
            <rFont val="Tahoma"/>
            <family val="2"/>
          </rPr>
          <t xml:space="preserve">See notes on CFC11
</t>
        </r>
      </text>
    </comment>
    <comment ref="H130" authorId="0" shapeId="0" xr:uid="{00000000-0006-0000-0900-000009020000}">
      <text>
        <r>
          <rPr>
            <sz val="9"/>
            <color indexed="81"/>
            <rFont val="Tahoma"/>
            <family val="2"/>
          </rPr>
          <t xml:space="preserve">See note on CFC-11
</t>
        </r>
      </text>
    </comment>
    <comment ref="J130" authorId="0" shapeId="0" xr:uid="{00000000-0006-0000-0900-00000A020000}">
      <text>
        <r>
          <rPr>
            <sz val="9"/>
            <color indexed="81"/>
            <rFont val="Tahoma"/>
            <family val="2"/>
          </rPr>
          <t xml:space="preserve">See notes on CFC11
</t>
        </r>
      </text>
    </comment>
    <comment ref="K130" authorId="0" shapeId="0" xr:uid="{00000000-0006-0000-0900-00000B020000}">
      <text>
        <r>
          <rPr>
            <sz val="9"/>
            <color indexed="81"/>
            <rFont val="Tahoma"/>
            <family val="2"/>
          </rPr>
          <t xml:space="preserve">See notes on CFC11
</t>
        </r>
      </text>
    </comment>
    <comment ref="H131" authorId="0" shapeId="0" xr:uid="{00000000-0006-0000-0900-00000C020000}">
      <text>
        <r>
          <rPr>
            <sz val="9"/>
            <color indexed="81"/>
            <rFont val="Tahoma"/>
            <family val="2"/>
          </rPr>
          <t xml:space="preserve">See note on CFC-11
</t>
        </r>
      </text>
    </comment>
    <comment ref="J131" authorId="0" shapeId="0" xr:uid="{00000000-0006-0000-0900-00000D020000}">
      <text>
        <r>
          <rPr>
            <sz val="9"/>
            <color indexed="81"/>
            <rFont val="Tahoma"/>
            <family val="2"/>
          </rPr>
          <t xml:space="preserve">See notes on CFC11
</t>
        </r>
      </text>
    </comment>
    <comment ref="K131" authorId="0" shapeId="0" xr:uid="{00000000-0006-0000-0900-00000E020000}">
      <text>
        <r>
          <rPr>
            <sz val="9"/>
            <color indexed="81"/>
            <rFont val="Tahoma"/>
            <family val="2"/>
          </rPr>
          <t xml:space="preserve">See notes on CFC11
</t>
        </r>
      </text>
    </comment>
    <comment ref="H132" authorId="0" shapeId="0" xr:uid="{00000000-0006-0000-0900-00000F020000}">
      <text>
        <r>
          <rPr>
            <sz val="9"/>
            <color indexed="81"/>
            <rFont val="Tahoma"/>
            <family val="2"/>
          </rPr>
          <t xml:space="preserve">See note on CFC-11
</t>
        </r>
      </text>
    </comment>
    <comment ref="J132" authorId="0" shapeId="0" xr:uid="{00000000-0006-0000-0900-000010020000}">
      <text>
        <r>
          <rPr>
            <sz val="9"/>
            <color indexed="81"/>
            <rFont val="Tahoma"/>
            <family val="2"/>
          </rPr>
          <t xml:space="preserve">See notes on CFC11
</t>
        </r>
      </text>
    </comment>
    <comment ref="K132" authorId="0" shapeId="0" xr:uid="{00000000-0006-0000-0900-000011020000}">
      <text>
        <r>
          <rPr>
            <sz val="9"/>
            <color indexed="81"/>
            <rFont val="Tahoma"/>
            <family val="2"/>
          </rPr>
          <t xml:space="preserve">See notes on CFC11
</t>
        </r>
      </text>
    </comment>
    <comment ref="H133" authorId="0" shapeId="0" xr:uid="{00000000-0006-0000-0900-000012020000}">
      <text>
        <r>
          <rPr>
            <sz val="9"/>
            <color indexed="81"/>
            <rFont val="Tahoma"/>
            <family val="2"/>
          </rPr>
          <t xml:space="preserve">See note on CFC-11
</t>
        </r>
      </text>
    </comment>
    <comment ref="J133" authorId="0" shapeId="0" xr:uid="{00000000-0006-0000-0900-000013020000}">
      <text>
        <r>
          <rPr>
            <sz val="9"/>
            <color indexed="81"/>
            <rFont val="Tahoma"/>
            <family val="2"/>
          </rPr>
          <t xml:space="preserve">See notes on CFC11
</t>
        </r>
      </text>
    </comment>
    <comment ref="K133" authorId="0" shapeId="0" xr:uid="{00000000-0006-0000-0900-000014020000}">
      <text>
        <r>
          <rPr>
            <sz val="9"/>
            <color indexed="81"/>
            <rFont val="Tahoma"/>
            <family val="2"/>
          </rPr>
          <t xml:space="preserve">See notes on CFC11
</t>
        </r>
      </text>
    </comment>
    <comment ref="H134" authorId="0" shapeId="0" xr:uid="{00000000-0006-0000-0900-000015020000}">
      <text>
        <r>
          <rPr>
            <sz val="9"/>
            <color indexed="81"/>
            <rFont val="Tahoma"/>
            <family val="2"/>
          </rPr>
          <t xml:space="preserve">See note on CFC-11
</t>
        </r>
      </text>
    </comment>
    <comment ref="J134" authorId="0" shapeId="0" xr:uid="{00000000-0006-0000-0900-000016020000}">
      <text>
        <r>
          <rPr>
            <sz val="9"/>
            <color indexed="81"/>
            <rFont val="Tahoma"/>
            <family val="2"/>
          </rPr>
          <t xml:space="preserve">See notes on CFC11
</t>
        </r>
      </text>
    </comment>
    <comment ref="K134" authorId="0" shapeId="0" xr:uid="{00000000-0006-0000-0900-000017020000}">
      <text>
        <r>
          <rPr>
            <sz val="9"/>
            <color indexed="81"/>
            <rFont val="Tahoma"/>
            <family val="2"/>
          </rPr>
          <t xml:space="preserve">See notes on CFC11
</t>
        </r>
      </text>
    </comment>
    <comment ref="H135" authorId="0" shapeId="0" xr:uid="{00000000-0006-0000-0900-000018020000}">
      <text>
        <r>
          <rPr>
            <sz val="9"/>
            <color indexed="81"/>
            <rFont val="Tahoma"/>
            <family val="2"/>
          </rPr>
          <t xml:space="preserve">See note on CFC-11
</t>
        </r>
      </text>
    </comment>
    <comment ref="J135" authorId="0" shapeId="0" xr:uid="{00000000-0006-0000-0900-000019020000}">
      <text>
        <r>
          <rPr>
            <sz val="9"/>
            <color indexed="81"/>
            <rFont val="Tahoma"/>
            <family val="2"/>
          </rPr>
          <t xml:space="preserve">See notes on CFC11
</t>
        </r>
      </text>
    </comment>
    <comment ref="K135" authorId="0" shapeId="0" xr:uid="{00000000-0006-0000-0900-00001A020000}">
      <text>
        <r>
          <rPr>
            <sz val="9"/>
            <color indexed="81"/>
            <rFont val="Tahoma"/>
            <family val="2"/>
          </rPr>
          <t xml:space="preserve">See notes on CFC11
</t>
        </r>
      </text>
    </comment>
    <comment ref="H136" authorId="0" shapeId="0" xr:uid="{00000000-0006-0000-0900-00001B020000}">
      <text>
        <r>
          <rPr>
            <sz val="9"/>
            <color indexed="81"/>
            <rFont val="Tahoma"/>
            <family val="2"/>
          </rPr>
          <t xml:space="preserve">See note on CFC-11
</t>
        </r>
      </text>
    </comment>
    <comment ref="J136" authorId="0" shapeId="0" xr:uid="{00000000-0006-0000-0900-00001C020000}">
      <text>
        <r>
          <rPr>
            <sz val="9"/>
            <color indexed="81"/>
            <rFont val="Tahoma"/>
            <family val="2"/>
          </rPr>
          <t xml:space="preserve">See notes on CFC11
</t>
        </r>
      </text>
    </comment>
    <comment ref="K136" authorId="0" shapeId="0" xr:uid="{00000000-0006-0000-0900-00001D020000}">
      <text>
        <r>
          <rPr>
            <sz val="9"/>
            <color indexed="81"/>
            <rFont val="Tahoma"/>
            <family val="2"/>
          </rPr>
          <t xml:space="preserve">See notes on CFC11
</t>
        </r>
      </text>
    </comment>
    <comment ref="H137" authorId="0" shapeId="0" xr:uid="{00000000-0006-0000-0900-00001E020000}">
      <text>
        <r>
          <rPr>
            <sz val="9"/>
            <color indexed="81"/>
            <rFont val="Tahoma"/>
            <family val="2"/>
          </rPr>
          <t xml:space="preserve">See note on CFC-11
</t>
        </r>
      </text>
    </comment>
    <comment ref="J137" authorId="0" shapeId="0" xr:uid="{00000000-0006-0000-0900-00001F020000}">
      <text>
        <r>
          <rPr>
            <sz val="9"/>
            <color indexed="81"/>
            <rFont val="Tahoma"/>
            <family val="2"/>
          </rPr>
          <t xml:space="preserve">See notes on CFC11
</t>
        </r>
      </text>
    </comment>
    <comment ref="K137" authorId="0" shapeId="0" xr:uid="{00000000-0006-0000-0900-000020020000}">
      <text>
        <r>
          <rPr>
            <sz val="9"/>
            <color indexed="81"/>
            <rFont val="Tahoma"/>
            <family val="2"/>
          </rPr>
          <t xml:space="preserve">See notes on CFC11
</t>
        </r>
      </text>
    </comment>
    <comment ref="H138" authorId="0" shapeId="0" xr:uid="{00000000-0006-0000-0900-000021020000}">
      <text>
        <r>
          <rPr>
            <sz val="9"/>
            <color indexed="81"/>
            <rFont val="Tahoma"/>
            <family val="2"/>
          </rPr>
          <t xml:space="preserve">See note on CFC-11
</t>
        </r>
      </text>
    </comment>
    <comment ref="J138" authorId="0" shapeId="0" xr:uid="{00000000-0006-0000-0900-000022020000}">
      <text>
        <r>
          <rPr>
            <sz val="9"/>
            <color indexed="81"/>
            <rFont val="Tahoma"/>
            <family val="2"/>
          </rPr>
          <t xml:space="preserve">See notes on CFC11
</t>
        </r>
      </text>
    </comment>
    <comment ref="K138" authorId="0" shapeId="0" xr:uid="{00000000-0006-0000-0900-000023020000}">
      <text>
        <r>
          <rPr>
            <sz val="9"/>
            <color indexed="81"/>
            <rFont val="Tahoma"/>
            <family val="2"/>
          </rPr>
          <t xml:space="preserve">See notes on CFC11
</t>
        </r>
      </text>
    </comment>
    <comment ref="H139" authorId="0" shapeId="0" xr:uid="{00000000-0006-0000-0900-000024020000}">
      <text>
        <r>
          <rPr>
            <sz val="9"/>
            <color indexed="81"/>
            <rFont val="Tahoma"/>
            <family val="2"/>
          </rPr>
          <t xml:space="preserve">See note on CFC-11
</t>
        </r>
      </text>
    </comment>
    <comment ref="J139" authorId="0" shapeId="0" xr:uid="{00000000-0006-0000-0900-000025020000}">
      <text>
        <r>
          <rPr>
            <sz val="9"/>
            <color indexed="81"/>
            <rFont val="Tahoma"/>
            <family val="2"/>
          </rPr>
          <t xml:space="preserve">See notes on CFC11
</t>
        </r>
      </text>
    </comment>
    <comment ref="K139" authorId="0" shapeId="0" xr:uid="{00000000-0006-0000-0900-000026020000}">
      <text>
        <r>
          <rPr>
            <sz val="9"/>
            <color indexed="81"/>
            <rFont val="Tahoma"/>
            <family val="2"/>
          </rPr>
          <t xml:space="preserve">See notes on CFC11
</t>
        </r>
      </text>
    </comment>
    <comment ref="H140" authorId="0" shapeId="0" xr:uid="{00000000-0006-0000-0900-000027020000}">
      <text>
        <r>
          <rPr>
            <sz val="9"/>
            <color indexed="81"/>
            <rFont val="Tahoma"/>
            <family val="2"/>
          </rPr>
          <t xml:space="preserve">See note on CFC-11
</t>
        </r>
      </text>
    </comment>
    <comment ref="J140" authorId="0" shapeId="0" xr:uid="{00000000-0006-0000-0900-000028020000}">
      <text>
        <r>
          <rPr>
            <sz val="9"/>
            <color indexed="81"/>
            <rFont val="Tahoma"/>
            <family val="2"/>
          </rPr>
          <t xml:space="preserve">See notes on CFC11
</t>
        </r>
      </text>
    </comment>
    <comment ref="K140" authorId="0" shapeId="0" xr:uid="{00000000-0006-0000-0900-000029020000}">
      <text>
        <r>
          <rPr>
            <sz val="9"/>
            <color indexed="81"/>
            <rFont val="Tahoma"/>
            <family val="2"/>
          </rPr>
          <t xml:space="preserve">See notes on CFC11
</t>
        </r>
      </text>
    </comment>
    <comment ref="H141" authorId="0" shapeId="0" xr:uid="{00000000-0006-0000-0900-00002A020000}">
      <text>
        <r>
          <rPr>
            <sz val="9"/>
            <color indexed="81"/>
            <rFont val="Tahoma"/>
            <family val="2"/>
          </rPr>
          <t xml:space="preserve">See note on CFC-11
</t>
        </r>
      </text>
    </comment>
    <comment ref="J141" authorId="0" shapeId="0" xr:uid="{00000000-0006-0000-0900-00002B020000}">
      <text>
        <r>
          <rPr>
            <sz val="9"/>
            <color indexed="81"/>
            <rFont val="Tahoma"/>
            <family val="2"/>
          </rPr>
          <t xml:space="preserve">See notes on CFC11
</t>
        </r>
      </text>
    </comment>
    <comment ref="K141" authorId="0" shapeId="0" xr:uid="{00000000-0006-0000-0900-00002C020000}">
      <text>
        <r>
          <rPr>
            <sz val="9"/>
            <color indexed="81"/>
            <rFont val="Tahoma"/>
            <family val="2"/>
          </rPr>
          <t xml:space="preserve">See notes on CFC11
</t>
        </r>
      </text>
    </comment>
    <comment ref="H142" authorId="0" shapeId="0" xr:uid="{00000000-0006-0000-0900-00002D020000}">
      <text>
        <r>
          <rPr>
            <sz val="9"/>
            <color indexed="81"/>
            <rFont val="Tahoma"/>
            <family val="2"/>
          </rPr>
          <t xml:space="preserve">See note on CFC-11
</t>
        </r>
      </text>
    </comment>
    <comment ref="J142" authorId="0" shapeId="0" xr:uid="{00000000-0006-0000-0900-00002E020000}">
      <text>
        <r>
          <rPr>
            <sz val="9"/>
            <color indexed="81"/>
            <rFont val="Tahoma"/>
            <family val="2"/>
          </rPr>
          <t xml:space="preserve">See notes on CFC11
</t>
        </r>
      </text>
    </comment>
    <comment ref="K142" authorId="0" shapeId="0" xr:uid="{00000000-0006-0000-0900-00002F020000}">
      <text>
        <r>
          <rPr>
            <sz val="9"/>
            <color indexed="81"/>
            <rFont val="Tahoma"/>
            <family val="2"/>
          </rPr>
          <t xml:space="preserve">See notes on CFC11
</t>
        </r>
      </text>
    </comment>
    <comment ref="H143" authorId="0" shapeId="0" xr:uid="{00000000-0006-0000-0900-000030020000}">
      <text>
        <r>
          <rPr>
            <sz val="9"/>
            <color indexed="81"/>
            <rFont val="Tahoma"/>
            <family val="2"/>
          </rPr>
          <t xml:space="preserve">See note on CFC-11
</t>
        </r>
      </text>
    </comment>
    <comment ref="J143" authorId="0" shapeId="0" xr:uid="{00000000-0006-0000-0900-000031020000}">
      <text>
        <r>
          <rPr>
            <sz val="9"/>
            <color indexed="81"/>
            <rFont val="Tahoma"/>
            <family val="2"/>
          </rPr>
          <t xml:space="preserve">See notes on CFC11
</t>
        </r>
      </text>
    </comment>
    <comment ref="K143" authorId="0" shapeId="0" xr:uid="{00000000-0006-0000-0900-000032020000}">
      <text>
        <r>
          <rPr>
            <sz val="9"/>
            <color indexed="81"/>
            <rFont val="Tahoma"/>
            <family val="2"/>
          </rPr>
          <t xml:space="preserve">See notes on CFC11
</t>
        </r>
      </text>
    </comment>
    <comment ref="H144" authorId="0" shapeId="0" xr:uid="{00000000-0006-0000-0900-000033020000}">
      <text>
        <r>
          <rPr>
            <sz val="9"/>
            <color indexed="81"/>
            <rFont val="Tahoma"/>
            <family val="2"/>
          </rPr>
          <t xml:space="preserve">See note on CFC-11
</t>
        </r>
      </text>
    </comment>
    <comment ref="J144" authorId="0" shapeId="0" xr:uid="{00000000-0006-0000-0900-000034020000}">
      <text>
        <r>
          <rPr>
            <sz val="9"/>
            <color indexed="81"/>
            <rFont val="Tahoma"/>
            <family val="2"/>
          </rPr>
          <t xml:space="preserve">See notes on CFC11
</t>
        </r>
      </text>
    </comment>
    <comment ref="K144" authorId="0" shapeId="0" xr:uid="{00000000-0006-0000-0900-000035020000}">
      <text>
        <r>
          <rPr>
            <sz val="9"/>
            <color indexed="81"/>
            <rFont val="Tahoma"/>
            <family val="2"/>
          </rPr>
          <t xml:space="preserve">See notes on CFC11
</t>
        </r>
      </text>
    </comment>
    <comment ref="H145" authorId="0" shapeId="0" xr:uid="{00000000-0006-0000-0900-000036020000}">
      <text>
        <r>
          <rPr>
            <sz val="9"/>
            <color indexed="81"/>
            <rFont val="Tahoma"/>
            <family val="2"/>
          </rPr>
          <t xml:space="preserve">See note on CFC-11
</t>
        </r>
      </text>
    </comment>
    <comment ref="J145" authorId="0" shapeId="0" xr:uid="{00000000-0006-0000-0900-000037020000}">
      <text>
        <r>
          <rPr>
            <sz val="9"/>
            <color indexed="81"/>
            <rFont val="Tahoma"/>
            <family val="2"/>
          </rPr>
          <t xml:space="preserve">See notes on CFC11
</t>
        </r>
      </text>
    </comment>
    <comment ref="K145" authorId="0" shapeId="0" xr:uid="{00000000-0006-0000-0900-000038020000}">
      <text>
        <r>
          <rPr>
            <sz val="9"/>
            <color indexed="81"/>
            <rFont val="Tahoma"/>
            <family val="2"/>
          </rPr>
          <t xml:space="preserve">See notes on CFC11
</t>
        </r>
      </text>
    </comment>
    <comment ref="H146" authorId="0" shapeId="0" xr:uid="{00000000-0006-0000-0900-000039020000}">
      <text>
        <r>
          <rPr>
            <sz val="9"/>
            <color indexed="81"/>
            <rFont val="Tahoma"/>
            <family val="2"/>
          </rPr>
          <t xml:space="preserve">See note on CFC-11
</t>
        </r>
      </text>
    </comment>
    <comment ref="J146" authorId="0" shapeId="0" xr:uid="{00000000-0006-0000-0900-00003A020000}">
      <text>
        <r>
          <rPr>
            <sz val="9"/>
            <color indexed="81"/>
            <rFont val="Tahoma"/>
            <family val="2"/>
          </rPr>
          <t xml:space="preserve">See notes on CFC11
</t>
        </r>
      </text>
    </comment>
    <comment ref="K146" authorId="0" shapeId="0" xr:uid="{00000000-0006-0000-0900-00003B020000}">
      <text>
        <r>
          <rPr>
            <sz val="9"/>
            <color indexed="81"/>
            <rFont val="Tahoma"/>
            <family val="2"/>
          </rPr>
          <t xml:space="preserve">See notes on CFC11
</t>
        </r>
      </text>
    </comment>
    <comment ref="H147" authorId="0" shapeId="0" xr:uid="{00000000-0006-0000-0900-00003C020000}">
      <text>
        <r>
          <rPr>
            <sz val="9"/>
            <color indexed="81"/>
            <rFont val="Tahoma"/>
            <family val="2"/>
          </rPr>
          <t xml:space="preserve">See note on CFC-11
</t>
        </r>
      </text>
    </comment>
    <comment ref="J147" authorId="0" shapeId="0" xr:uid="{00000000-0006-0000-0900-00003D020000}">
      <text>
        <r>
          <rPr>
            <sz val="9"/>
            <color indexed="81"/>
            <rFont val="Tahoma"/>
            <family val="2"/>
          </rPr>
          <t xml:space="preserve">See notes on CFC11
</t>
        </r>
      </text>
    </comment>
    <comment ref="K147" authorId="0" shapeId="0" xr:uid="{00000000-0006-0000-0900-00003E020000}">
      <text>
        <r>
          <rPr>
            <sz val="9"/>
            <color indexed="81"/>
            <rFont val="Tahoma"/>
            <family val="2"/>
          </rPr>
          <t xml:space="preserve">See notes on CFC11
</t>
        </r>
      </text>
    </comment>
    <comment ref="H148" authorId="0" shapeId="0" xr:uid="{00000000-0006-0000-0900-00003F020000}">
      <text>
        <r>
          <rPr>
            <sz val="9"/>
            <color indexed="81"/>
            <rFont val="Tahoma"/>
            <family val="2"/>
          </rPr>
          <t xml:space="preserve">See note on CFC-11
</t>
        </r>
      </text>
    </comment>
    <comment ref="J148" authorId="0" shapeId="0" xr:uid="{00000000-0006-0000-0900-000040020000}">
      <text>
        <r>
          <rPr>
            <sz val="9"/>
            <color indexed="81"/>
            <rFont val="Tahoma"/>
            <family val="2"/>
          </rPr>
          <t xml:space="preserve">See notes on CFC11
</t>
        </r>
      </text>
    </comment>
    <comment ref="K148" authorId="0" shapeId="0" xr:uid="{00000000-0006-0000-0900-000041020000}">
      <text>
        <r>
          <rPr>
            <sz val="9"/>
            <color indexed="81"/>
            <rFont val="Tahoma"/>
            <family val="2"/>
          </rPr>
          <t xml:space="preserve">See notes on CFC11
</t>
        </r>
      </text>
    </comment>
    <comment ref="H149" authorId="0" shapeId="0" xr:uid="{00000000-0006-0000-0900-000042020000}">
      <text>
        <r>
          <rPr>
            <sz val="9"/>
            <color indexed="81"/>
            <rFont val="Tahoma"/>
            <family val="2"/>
          </rPr>
          <t xml:space="preserve">See note on CFC-11
</t>
        </r>
      </text>
    </comment>
    <comment ref="J149" authorId="0" shapeId="0" xr:uid="{00000000-0006-0000-0900-000043020000}">
      <text>
        <r>
          <rPr>
            <sz val="9"/>
            <color indexed="81"/>
            <rFont val="Tahoma"/>
            <family val="2"/>
          </rPr>
          <t xml:space="preserve">See notes on CFC11
</t>
        </r>
      </text>
    </comment>
    <comment ref="K149" authorId="0" shapeId="0" xr:uid="{00000000-0006-0000-0900-000044020000}">
      <text>
        <r>
          <rPr>
            <sz val="9"/>
            <color indexed="81"/>
            <rFont val="Tahoma"/>
            <family val="2"/>
          </rPr>
          <t xml:space="preserve">See notes on CFC11
</t>
        </r>
      </text>
    </comment>
    <comment ref="H150" authorId="0" shapeId="0" xr:uid="{00000000-0006-0000-0900-000045020000}">
      <text>
        <r>
          <rPr>
            <sz val="9"/>
            <color indexed="81"/>
            <rFont val="Tahoma"/>
            <family val="2"/>
          </rPr>
          <t xml:space="preserve">See note on CFC-11
</t>
        </r>
      </text>
    </comment>
    <comment ref="J150" authorId="0" shapeId="0" xr:uid="{00000000-0006-0000-0900-000046020000}">
      <text>
        <r>
          <rPr>
            <sz val="9"/>
            <color indexed="81"/>
            <rFont val="Tahoma"/>
            <family val="2"/>
          </rPr>
          <t xml:space="preserve">See notes on CFC11
</t>
        </r>
      </text>
    </comment>
    <comment ref="K150" authorId="0" shapeId="0" xr:uid="{00000000-0006-0000-0900-000047020000}">
      <text>
        <r>
          <rPr>
            <sz val="9"/>
            <color indexed="81"/>
            <rFont val="Tahoma"/>
            <family val="2"/>
          </rPr>
          <t xml:space="preserve">See notes on CFC11
</t>
        </r>
      </text>
    </comment>
    <comment ref="H151" authorId="0" shapeId="0" xr:uid="{00000000-0006-0000-0900-000048020000}">
      <text>
        <r>
          <rPr>
            <sz val="9"/>
            <color indexed="81"/>
            <rFont val="Tahoma"/>
            <family val="2"/>
          </rPr>
          <t xml:space="preserve">See note on CFC-11
</t>
        </r>
      </text>
    </comment>
    <comment ref="J151" authorId="0" shapeId="0" xr:uid="{00000000-0006-0000-0900-000049020000}">
      <text>
        <r>
          <rPr>
            <sz val="9"/>
            <color indexed="81"/>
            <rFont val="Tahoma"/>
            <family val="2"/>
          </rPr>
          <t xml:space="preserve">See notes on CFC11
</t>
        </r>
      </text>
    </comment>
    <comment ref="K151" authorId="0" shapeId="0" xr:uid="{00000000-0006-0000-0900-00004A020000}">
      <text>
        <r>
          <rPr>
            <sz val="9"/>
            <color indexed="81"/>
            <rFont val="Tahoma"/>
            <family val="2"/>
          </rPr>
          <t xml:space="preserve">See notes on CFC11
</t>
        </r>
      </text>
    </comment>
    <comment ref="H152" authorId="0" shapeId="0" xr:uid="{00000000-0006-0000-0900-00004B020000}">
      <text>
        <r>
          <rPr>
            <sz val="9"/>
            <color indexed="81"/>
            <rFont val="Tahoma"/>
            <family val="2"/>
          </rPr>
          <t xml:space="preserve">See note on CFC-11
</t>
        </r>
      </text>
    </comment>
    <comment ref="J152" authorId="0" shapeId="0" xr:uid="{00000000-0006-0000-0900-00004C020000}">
      <text>
        <r>
          <rPr>
            <sz val="9"/>
            <color indexed="81"/>
            <rFont val="Tahoma"/>
            <family val="2"/>
          </rPr>
          <t xml:space="preserve">See notes on CFC11
</t>
        </r>
      </text>
    </comment>
    <comment ref="K152" authorId="0" shapeId="0" xr:uid="{00000000-0006-0000-0900-00004D020000}">
      <text>
        <r>
          <rPr>
            <sz val="9"/>
            <color indexed="81"/>
            <rFont val="Tahoma"/>
            <family val="2"/>
          </rPr>
          <t xml:space="preserve">See notes on CFC11
</t>
        </r>
      </text>
    </comment>
    <comment ref="H153" authorId="0" shapeId="0" xr:uid="{00000000-0006-0000-0900-00004E020000}">
      <text>
        <r>
          <rPr>
            <sz val="9"/>
            <color indexed="81"/>
            <rFont val="Tahoma"/>
            <family val="2"/>
          </rPr>
          <t xml:space="preserve">See note on CFC-11
</t>
        </r>
      </text>
    </comment>
    <comment ref="J153" authorId="0" shapeId="0" xr:uid="{00000000-0006-0000-0900-00004F020000}">
      <text>
        <r>
          <rPr>
            <sz val="9"/>
            <color indexed="81"/>
            <rFont val="Tahoma"/>
            <family val="2"/>
          </rPr>
          <t xml:space="preserve">See notes on CFC11
</t>
        </r>
      </text>
    </comment>
    <comment ref="K153" authorId="0" shapeId="0" xr:uid="{00000000-0006-0000-0900-000050020000}">
      <text>
        <r>
          <rPr>
            <sz val="9"/>
            <color indexed="81"/>
            <rFont val="Tahoma"/>
            <family val="2"/>
          </rPr>
          <t xml:space="preserve">See notes on CFC11
</t>
        </r>
      </text>
    </comment>
    <comment ref="H154" authorId="0" shapeId="0" xr:uid="{00000000-0006-0000-0900-000051020000}">
      <text>
        <r>
          <rPr>
            <sz val="9"/>
            <color indexed="81"/>
            <rFont val="Tahoma"/>
            <family val="2"/>
          </rPr>
          <t xml:space="preserve">See note on CFC-11
</t>
        </r>
      </text>
    </comment>
    <comment ref="J154" authorId="0" shapeId="0" xr:uid="{00000000-0006-0000-0900-000052020000}">
      <text>
        <r>
          <rPr>
            <sz val="9"/>
            <color indexed="81"/>
            <rFont val="Tahoma"/>
            <family val="2"/>
          </rPr>
          <t xml:space="preserve">See notes on CFC11
</t>
        </r>
      </text>
    </comment>
    <comment ref="K154" authorId="0" shapeId="0" xr:uid="{00000000-0006-0000-0900-000053020000}">
      <text>
        <r>
          <rPr>
            <sz val="9"/>
            <color indexed="81"/>
            <rFont val="Tahoma"/>
            <family val="2"/>
          </rPr>
          <t xml:space="preserve">See notes on CFC11
</t>
        </r>
      </text>
    </comment>
    <comment ref="H155" authorId="0" shapeId="0" xr:uid="{00000000-0006-0000-0900-000054020000}">
      <text>
        <r>
          <rPr>
            <sz val="9"/>
            <color indexed="81"/>
            <rFont val="Tahoma"/>
            <family val="2"/>
          </rPr>
          <t xml:space="preserve">See note on CFC-11
</t>
        </r>
      </text>
    </comment>
    <comment ref="J155" authorId="0" shapeId="0" xr:uid="{00000000-0006-0000-0900-000055020000}">
      <text>
        <r>
          <rPr>
            <sz val="9"/>
            <color indexed="81"/>
            <rFont val="Tahoma"/>
            <family val="2"/>
          </rPr>
          <t xml:space="preserve">See notes on CFC11
</t>
        </r>
      </text>
    </comment>
    <comment ref="K155" authorId="0" shapeId="0" xr:uid="{00000000-0006-0000-0900-000056020000}">
      <text>
        <r>
          <rPr>
            <sz val="9"/>
            <color indexed="81"/>
            <rFont val="Tahoma"/>
            <family val="2"/>
          </rPr>
          <t xml:space="preserve">See notes on CFC11
</t>
        </r>
      </text>
    </comment>
    <comment ref="H156" authorId="0" shapeId="0" xr:uid="{00000000-0006-0000-0900-000057020000}">
      <text>
        <r>
          <rPr>
            <sz val="9"/>
            <color indexed="81"/>
            <rFont val="Tahoma"/>
            <family val="2"/>
          </rPr>
          <t xml:space="preserve">See note on CFC-11
</t>
        </r>
      </text>
    </comment>
    <comment ref="J156" authorId="0" shapeId="0" xr:uid="{00000000-0006-0000-0900-000058020000}">
      <text>
        <r>
          <rPr>
            <sz val="9"/>
            <color indexed="81"/>
            <rFont val="Tahoma"/>
            <family val="2"/>
          </rPr>
          <t xml:space="preserve">See notes on CFC11
</t>
        </r>
      </text>
    </comment>
    <comment ref="K156" authorId="0" shapeId="0" xr:uid="{00000000-0006-0000-0900-000059020000}">
      <text>
        <r>
          <rPr>
            <sz val="9"/>
            <color indexed="81"/>
            <rFont val="Tahoma"/>
            <family val="2"/>
          </rPr>
          <t xml:space="preserve">See notes on CFC11
</t>
        </r>
      </text>
    </comment>
    <comment ref="H157" authorId="0" shapeId="0" xr:uid="{00000000-0006-0000-0900-00005A020000}">
      <text>
        <r>
          <rPr>
            <sz val="9"/>
            <color indexed="81"/>
            <rFont val="Tahoma"/>
            <family val="2"/>
          </rPr>
          <t xml:space="preserve">See note on CFC-11
</t>
        </r>
      </text>
    </comment>
    <comment ref="J157" authorId="0" shapeId="0" xr:uid="{00000000-0006-0000-0900-00005B020000}">
      <text>
        <r>
          <rPr>
            <sz val="9"/>
            <color indexed="81"/>
            <rFont val="Tahoma"/>
            <family val="2"/>
          </rPr>
          <t xml:space="preserve">See notes on CFC11
</t>
        </r>
      </text>
    </comment>
    <comment ref="K157" authorId="0" shapeId="0" xr:uid="{00000000-0006-0000-0900-00005C020000}">
      <text>
        <r>
          <rPr>
            <sz val="9"/>
            <color indexed="81"/>
            <rFont val="Tahoma"/>
            <family val="2"/>
          </rPr>
          <t xml:space="preserve">See notes on CFC11
</t>
        </r>
      </text>
    </comment>
    <comment ref="H158" authorId="0" shapeId="0" xr:uid="{00000000-0006-0000-0900-00005D020000}">
      <text>
        <r>
          <rPr>
            <sz val="9"/>
            <color indexed="81"/>
            <rFont val="Tahoma"/>
            <family val="2"/>
          </rPr>
          <t xml:space="preserve">See note on CFC-11
</t>
        </r>
      </text>
    </comment>
    <comment ref="J158" authorId="0" shapeId="0" xr:uid="{00000000-0006-0000-0900-00005E020000}">
      <text>
        <r>
          <rPr>
            <sz val="9"/>
            <color indexed="81"/>
            <rFont val="Tahoma"/>
            <family val="2"/>
          </rPr>
          <t xml:space="preserve">See notes on CFC11
</t>
        </r>
      </text>
    </comment>
    <comment ref="K158" authorId="0" shapeId="0" xr:uid="{00000000-0006-0000-0900-00005F020000}">
      <text>
        <r>
          <rPr>
            <sz val="9"/>
            <color indexed="81"/>
            <rFont val="Tahoma"/>
            <family val="2"/>
          </rPr>
          <t xml:space="preserve">See notes on CFC11
</t>
        </r>
      </text>
    </comment>
    <comment ref="H159" authorId="0" shapeId="0" xr:uid="{00000000-0006-0000-0900-000060020000}">
      <text>
        <r>
          <rPr>
            <sz val="9"/>
            <color indexed="81"/>
            <rFont val="Tahoma"/>
            <family val="2"/>
          </rPr>
          <t xml:space="preserve">See note on CFC-11
</t>
        </r>
      </text>
    </comment>
    <comment ref="J159" authorId="0" shapeId="0" xr:uid="{00000000-0006-0000-0900-000061020000}">
      <text>
        <r>
          <rPr>
            <sz val="9"/>
            <color indexed="81"/>
            <rFont val="Tahoma"/>
            <family val="2"/>
          </rPr>
          <t xml:space="preserve">See notes on CFC11
</t>
        </r>
      </text>
    </comment>
    <comment ref="K159" authorId="0" shapeId="0" xr:uid="{00000000-0006-0000-0900-000062020000}">
      <text>
        <r>
          <rPr>
            <sz val="9"/>
            <color indexed="81"/>
            <rFont val="Tahoma"/>
            <family val="2"/>
          </rPr>
          <t xml:space="preserve">See notes on CFC11
</t>
        </r>
      </text>
    </comment>
    <comment ref="H160" authorId="0" shapeId="0" xr:uid="{00000000-0006-0000-0900-000063020000}">
      <text>
        <r>
          <rPr>
            <sz val="9"/>
            <color indexed="81"/>
            <rFont val="Tahoma"/>
            <family val="2"/>
          </rPr>
          <t xml:space="preserve">See note on CFC-11
</t>
        </r>
      </text>
    </comment>
    <comment ref="J160" authorId="0" shapeId="0" xr:uid="{00000000-0006-0000-0900-000064020000}">
      <text>
        <r>
          <rPr>
            <sz val="9"/>
            <color indexed="81"/>
            <rFont val="Tahoma"/>
            <family val="2"/>
          </rPr>
          <t xml:space="preserve">See notes on CFC11
</t>
        </r>
      </text>
    </comment>
    <comment ref="K160" authorId="0" shapeId="0" xr:uid="{00000000-0006-0000-0900-000065020000}">
      <text>
        <r>
          <rPr>
            <sz val="9"/>
            <color indexed="81"/>
            <rFont val="Tahoma"/>
            <family val="2"/>
          </rPr>
          <t xml:space="preserve">See notes on CFC11
</t>
        </r>
      </text>
    </comment>
    <comment ref="H161" authorId="0" shapeId="0" xr:uid="{00000000-0006-0000-0900-000066020000}">
      <text>
        <r>
          <rPr>
            <sz val="9"/>
            <color indexed="81"/>
            <rFont val="Tahoma"/>
            <family val="2"/>
          </rPr>
          <t xml:space="preserve">See note on CFC-11
</t>
        </r>
      </text>
    </comment>
    <comment ref="J161" authorId="0" shapeId="0" xr:uid="{00000000-0006-0000-0900-000067020000}">
      <text>
        <r>
          <rPr>
            <sz val="9"/>
            <color indexed="81"/>
            <rFont val="Tahoma"/>
            <family val="2"/>
          </rPr>
          <t xml:space="preserve">See notes on CFC11
</t>
        </r>
      </text>
    </comment>
    <comment ref="K161" authorId="0" shapeId="0" xr:uid="{00000000-0006-0000-0900-000068020000}">
      <text>
        <r>
          <rPr>
            <sz val="9"/>
            <color indexed="81"/>
            <rFont val="Tahoma"/>
            <family val="2"/>
          </rPr>
          <t xml:space="preserve">See notes on CFC11
</t>
        </r>
      </text>
    </comment>
    <comment ref="H162" authorId="0" shapeId="0" xr:uid="{00000000-0006-0000-0900-000069020000}">
      <text>
        <r>
          <rPr>
            <sz val="9"/>
            <color indexed="81"/>
            <rFont val="Tahoma"/>
            <family val="2"/>
          </rPr>
          <t xml:space="preserve">See note on CFC-11
</t>
        </r>
      </text>
    </comment>
    <comment ref="J162" authorId="0" shapeId="0" xr:uid="{00000000-0006-0000-0900-00006A020000}">
      <text>
        <r>
          <rPr>
            <sz val="9"/>
            <color indexed="81"/>
            <rFont val="Tahoma"/>
            <family val="2"/>
          </rPr>
          <t xml:space="preserve">See notes on CFC11
</t>
        </r>
      </text>
    </comment>
    <comment ref="K162" authorId="0" shapeId="0" xr:uid="{00000000-0006-0000-0900-00006B020000}">
      <text>
        <r>
          <rPr>
            <sz val="9"/>
            <color indexed="81"/>
            <rFont val="Tahoma"/>
            <family val="2"/>
          </rPr>
          <t xml:space="preserve">See notes on CFC11
</t>
        </r>
      </text>
    </comment>
    <comment ref="H163" authorId="0" shapeId="0" xr:uid="{00000000-0006-0000-0900-00006C020000}">
      <text>
        <r>
          <rPr>
            <sz val="9"/>
            <color indexed="81"/>
            <rFont val="Tahoma"/>
            <family val="2"/>
          </rPr>
          <t xml:space="preserve">See note on CFC-11
</t>
        </r>
      </text>
    </comment>
    <comment ref="J163" authorId="0" shapeId="0" xr:uid="{00000000-0006-0000-0900-00006D020000}">
      <text>
        <r>
          <rPr>
            <sz val="9"/>
            <color indexed="81"/>
            <rFont val="Tahoma"/>
            <family val="2"/>
          </rPr>
          <t xml:space="preserve">See notes on CFC11
</t>
        </r>
      </text>
    </comment>
    <comment ref="K163" authorId="0" shapeId="0" xr:uid="{00000000-0006-0000-0900-00006E020000}">
      <text>
        <r>
          <rPr>
            <sz val="9"/>
            <color indexed="81"/>
            <rFont val="Tahoma"/>
            <family val="2"/>
          </rPr>
          <t xml:space="preserve">See notes on CFC11
</t>
        </r>
      </text>
    </comment>
    <comment ref="H164" authorId="0" shapeId="0" xr:uid="{00000000-0006-0000-0900-00006F020000}">
      <text>
        <r>
          <rPr>
            <sz val="9"/>
            <color indexed="81"/>
            <rFont val="Tahoma"/>
            <family val="2"/>
          </rPr>
          <t xml:space="preserve">See note on CFC-11
</t>
        </r>
      </text>
    </comment>
    <comment ref="J164" authorId="0" shapeId="0" xr:uid="{00000000-0006-0000-0900-000070020000}">
      <text>
        <r>
          <rPr>
            <sz val="9"/>
            <color indexed="81"/>
            <rFont val="Tahoma"/>
            <family val="2"/>
          </rPr>
          <t xml:space="preserve">See notes on CFC11
</t>
        </r>
      </text>
    </comment>
    <comment ref="K164" authorId="0" shapeId="0" xr:uid="{00000000-0006-0000-0900-000071020000}">
      <text>
        <r>
          <rPr>
            <sz val="9"/>
            <color indexed="81"/>
            <rFont val="Tahoma"/>
            <family val="2"/>
          </rPr>
          <t xml:space="preserve">See notes on CFC11
</t>
        </r>
      </text>
    </comment>
    <comment ref="H165" authorId="0" shapeId="0" xr:uid="{00000000-0006-0000-0900-000072020000}">
      <text>
        <r>
          <rPr>
            <sz val="9"/>
            <color indexed="81"/>
            <rFont val="Tahoma"/>
            <family val="2"/>
          </rPr>
          <t xml:space="preserve">See note on CFC-11
</t>
        </r>
      </text>
    </comment>
    <comment ref="J165" authorId="0" shapeId="0" xr:uid="{00000000-0006-0000-0900-000073020000}">
      <text>
        <r>
          <rPr>
            <sz val="9"/>
            <color indexed="81"/>
            <rFont val="Tahoma"/>
            <family val="2"/>
          </rPr>
          <t xml:space="preserve">See notes on CFC11
</t>
        </r>
      </text>
    </comment>
    <comment ref="K165" authorId="0" shapeId="0" xr:uid="{00000000-0006-0000-0900-000074020000}">
      <text>
        <r>
          <rPr>
            <sz val="9"/>
            <color indexed="81"/>
            <rFont val="Tahoma"/>
            <family val="2"/>
          </rPr>
          <t xml:space="preserve">See notes on CFC11
</t>
        </r>
      </text>
    </comment>
    <comment ref="H166" authorId="0" shapeId="0" xr:uid="{00000000-0006-0000-0900-000075020000}">
      <text>
        <r>
          <rPr>
            <sz val="9"/>
            <color indexed="81"/>
            <rFont val="Tahoma"/>
            <family val="2"/>
          </rPr>
          <t xml:space="preserve">See note on CFC-11
</t>
        </r>
      </text>
    </comment>
    <comment ref="J166" authorId="0" shapeId="0" xr:uid="{00000000-0006-0000-0900-000076020000}">
      <text>
        <r>
          <rPr>
            <sz val="9"/>
            <color indexed="81"/>
            <rFont val="Tahoma"/>
            <family val="2"/>
          </rPr>
          <t xml:space="preserve">See notes on CFC11
</t>
        </r>
      </text>
    </comment>
    <comment ref="K166" authorId="0" shapeId="0" xr:uid="{00000000-0006-0000-0900-000077020000}">
      <text>
        <r>
          <rPr>
            <sz val="9"/>
            <color indexed="81"/>
            <rFont val="Tahoma"/>
            <family val="2"/>
          </rPr>
          <t xml:space="preserve">See notes on CFC11
</t>
        </r>
      </text>
    </comment>
    <comment ref="H167" authorId="0" shapeId="0" xr:uid="{00000000-0006-0000-0900-000078020000}">
      <text>
        <r>
          <rPr>
            <sz val="9"/>
            <color indexed="81"/>
            <rFont val="Tahoma"/>
            <family val="2"/>
          </rPr>
          <t xml:space="preserve">See note on CFC-11
</t>
        </r>
      </text>
    </comment>
    <comment ref="J167" authorId="0" shapeId="0" xr:uid="{00000000-0006-0000-0900-000079020000}">
      <text>
        <r>
          <rPr>
            <sz val="9"/>
            <color indexed="81"/>
            <rFont val="Tahoma"/>
            <family val="2"/>
          </rPr>
          <t xml:space="preserve">See notes on CFC11
</t>
        </r>
      </text>
    </comment>
    <comment ref="K167" authorId="0" shapeId="0" xr:uid="{00000000-0006-0000-0900-00007A020000}">
      <text>
        <r>
          <rPr>
            <sz val="9"/>
            <color indexed="81"/>
            <rFont val="Tahoma"/>
            <family val="2"/>
          </rPr>
          <t xml:space="preserve">See notes on CFC11
</t>
        </r>
      </text>
    </comment>
    <comment ref="H168" authorId="0" shapeId="0" xr:uid="{00000000-0006-0000-0900-00007B020000}">
      <text>
        <r>
          <rPr>
            <sz val="9"/>
            <color indexed="81"/>
            <rFont val="Tahoma"/>
            <family val="2"/>
          </rPr>
          <t xml:space="preserve">See note on CFC-11
</t>
        </r>
      </text>
    </comment>
    <comment ref="J168" authorId="0" shapeId="0" xr:uid="{00000000-0006-0000-0900-00007C020000}">
      <text>
        <r>
          <rPr>
            <sz val="9"/>
            <color indexed="81"/>
            <rFont val="Tahoma"/>
            <family val="2"/>
          </rPr>
          <t xml:space="preserve">See notes on CFC11
</t>
        </r>
      </text>
    </comment>
    <comment ref="K168" authorId="0" shapeId="0" xr:uid="{00000000-0006-0000-0900-00007D020000}">
      <text>
        <r>
          <rPr>
            <sz val="9"/>
            <color indexed="81"/>
            <rFont val="Tahoma"/>
            <family val="2"/>
          </rPr>
          <t xml:space="preserve">See notes on CFC11
</t>
        </r>
      </text>
    </comment>
    <comment ref="H169" authorId="0" shapeId="0" xr:uid="{00000000-0006-0000-0900-00007E020000}">
      <text>
        <r>
          <rPr>
            <sz val="9"/>
            <color indexed="81"/>
            <rFont val="Tahoma"/>
            <family val="2"/>
          </rPr>
          <t xml:space="preserve">See note on CFC-11
</t>
        </r>
      </text>
    </comment>
    <comment ref="J169" authorId="0" shapeId="0" xr:uid="{00000000-0006-0000-0900-00007F020000}">
      <text>
        <r>
          <rPr>
            <sz val="9"/>
            <color indexed="81"/>
            <rFont val="Tahoma"/>
            <family val="2"/>
          </rPr>
          <t xml:space="preserve">See notes on CFC11
</t>
        </r>
      </text>
    </comment>
    <comment ref="K169" authorId="0" shapeId="0" xr:uid="{00000000-0006-0000-0900-000080020000}">
      <text>
        <r>
          <rPr>
            <sz val="9"/>
            <color indexed="81"/>
            <rFont val="Tahoma"/>
            <family val="2"/>
          </rPr>
          <t xml:space="preserve">See notes on CFC11
</t>
        </r>
      </text>
    </comment>
    <comment ref="H170" authorId="0" shapeId="0" xr:uid="{00000000-0006-0000-0900-000081020000}">
      <text>
        <r>
          <rPr>
            <sz val="9"/>
            <color indexed="81"/>
            <rFont val="Tahoma"/>
            <family val="2"/>
          </rPr>
          <t xml:space="preserve">See note on CFC-11
</t>
        </r>
      </text>
    </comment>
    <comment ref="J170" authorId="0" shapeId="0" xr:uid="{00000000-0006-0000-0900-000082020000}">
      <text>
        <r>
          <rPr>
            <sz val="9"/>
            <color indexed="81"/>
            <rFont val="Tahoma"/>
            <family val="2"/>
          </rPr>
          <t xml:space="preserve">See notes on CFC11
</t>
        </r>
      </text>
    </comment>
    <comment ref="K170" authorId="0" shapeId="0" xr:uid="{00000000-0006-0000-0900-000083020000}">
      <text>
        <r>
          <rPr>
            <sz val="9"/>
            <color indexed="81"/>
            <rFont val="Tahoma"/>
            <family val="2"/>
          </rPr>
          <t xml:space="preserve">See notes on CFC11
</t>
        </r>
      </text>
    </comment>
    <comment ref="H171" authorId="0" shapeId="0" xr:uid="{00000000-0006-0000-0900-000084020000}">
      <text>
        <r>
          <rPr>
            <sz val="9"/>
            <color indexed="81"/>
            <rFont val="Tahoma"/>
            <family val="2"/>
          </rPr>
          <t xml:space="preserve">See note on CFC-11
</t>
        </r>
      </text>
    </comment>
    <comment ref="J171" authorId="0" shapeId="0" xr:uid="{00000000-0006-0000-0900-000085020000}">
      <text>
        <r>
          <rPr>
            <sz val="9"/>
            <color indexed="81"/>
            <rFont val="Tahoma"/>
            <family val="2"/>
          </rPr>
          <t xml:space="preserve">See notes on CFC11
</t>
        </r>
      </text>
    </comment>
    <comment ref="K171" authorId="0" shapeId="0" xr:uid="{00000000-0006-0000-0900-000086020000}">
      <text>
        <r>
          <rPr>
            <sz val="9"/>
            <color indexed="81"/>
            <rFont val="Tahoma"/>
            <family val="2"/>
          </rPr>
          <t xml:space="preserve">See notes on CFC11
</t>
        </r>
      </text>
    </comment>
    <comment ref="H172" authorId="0" shapeId="0" xr:uid="{00000000-0006-0000-0900-000087020000}">
      <text>
        <r>
          <rPr>
            <sz val="9"/>
            <color indexed="81"/>
            <rFont val="Tahoma"/>
            <family val="2"/>
          </rPr>
          <t xml:space="preserve">See note on CFC-11
</t>
        </r>
      </text>
    </comment>
    <comment ref="J172" authorId="0" shapeId="0" xr:uid="{00000000-0006-0000-0900-000088020000}">
      <text>
        <r>
          <rPr>
            <sz val="9"/>
            <color indexed="81"/>
            <rFont val="Tahoma"/>
            <family val="2"/>
          </rPr>
          <t xml:space="preserve">See notes on CFC11
</t>
        </r>
      </text>
    </comment>
    <comment ref="K172" authorId="0" shapeId="0" xr:uid="{00000000-0006-0000-0900-000089020000}">
      <text>
        <r>
          <rPr>
            <sz val="9"/>
            <color indexed="81"/>
            <rFont val="Tahoma"/>
            <family val="2"/>
          </rPr>
          <t xml:space="preserve">See notes on CFC11
</t>
        </r>
      </text>
    </comment>
    <comment ref="H173" authorId="0" shapeId="0" xr:uid="{00000000-0006-0000-0900-00008A020000}">
      <text>
        <r>
          <rPr>
            <sz val="9"/>
            <color indexed="81"/>
            <rFont val="Tahoma"/>
            <family val="2"/>
          </rPr>
          <t xml:space="preserve">See note on CFC-11
</t>
        </r>
      </text>
    </comment>
    <comment ref="J173" authorId="0" shapeId="0" xr:uid="{00000000-0006-0000-0900-00008B020000}">
      <text>
        <r>
          <rPr>
            <sz val="9"/>
            <color indexed="81"/>
            <rFont val="Tahoma"/>
            <family val="2"/>
          </rPr>
          <t xml:space="preserve">See notes on CFC11
</t>
        </r>
      </text>
    </comment>
    <comment ref="K173" authorId="0" shapeId="0" xr:uid="{00000000-0006-0000-0900-00008C020000}">
      <text>
        <r>
          <rPr>
            <sz val="9"/>
            <color indexed="81"/>
            <rFont val="Tahoma"/>
            <family val="2"/>
          </rPr>
          <t xml:space="preserve">See notes on CFC11
</t>
        </r>
      </text>
    </comment>
    <comment ref="H174" authorId="0" shapeId="0" xr:uid="{00000000-0006-0000-0900-00008D020000}">
      <text>
        <r>
          <rPr>
            <sz val="9"/>
            <color indexed="81"/>
            <rFont val="Tahoma"/>
            <family val="2"/>
          </rPr>
          <t xml:space="preserve">See note on CFC-11
</t>
        </r>
      </text>
    </comment>
    <comment ref="J174" authorId="0" shapeId="0" xr:uid="{00000000-0006-0000-0900-00008E020000}">
      <text>
        <r>
          <rPr>
            <sz val="9"/>
            <color indexed="81"/>
            <rFont val="Tahoma"/>
            <family val="2"/>
          </rPr>
          <t xml:space="preserve">See notes on CFC11
</t>
        </r>
      </text>
    </comment>
    <comment ref="K174" authorId="0" shapeId="0" xr:uid="{00000000-0006-0000-0900-00008F020000}">
      <text>
        <r>
          <rPr>
            <sz val="9"/>
            <color indexed="81"/>
            <rFont val="Tahoma"/>
            <family val="2"/>
          </rPr>
          <t xml:space="preserve">See notes on CFC11
</t>
        </r>
      </text>
    </comment>
    <comment ref="H175" authorId="0" shapeId="0" xr:uid="{00000000-0006-0000-0900-000090020000}">
      <text>
        <r>
          <rPr>
            <sz val="9"/>
            <color indexed="81"/>
            <rFont val="Tahoma"/>
            <family val="2"/>
          </rPr>
          <t xml:space="preserve">See note on CFC-11
</t>
        </r>
      </text>
    </comment>
    <comment ref="J175" authorId="0" shapeId="0" xr:uid="{00000000-0006-0000-0900-000091020000}">
      <text>
        <r>
          <rPr>
            <sz val="9"/>
            <color indexed="81"/>
            <rFont val="Tahoma"/>
            <family val="2"/>
          </rPr>
          <t xml:space="preserve">See notes on CFC11
</t>
        </r>
      </text>
    </comment>
    <comment ref="K175" authorId="0" shapeId="0" xr:uid="{00000000-0006-0000-0900-000092020000}">
      <text>
        <r>
          <rPr>
            <sz val="9"/>
            <color indexed="81"/>
            <rFont val="Tahoma"/>
            <family val="2"/>
          </rPr>
          <t xml:space="preserve">See notes on CFC11
</t>
        </r>
      </text>
    </comment>
    <comment ref="H176" authorId="0" shapeId="0" xr:uid="{00000000-0006-0000-0900-000093020000}">
      <text>
        <r>
          <rPr>
            <sz val="9"/>
            <color indexed="81"/>
            <rFont val="Tahoma"/>
            <family val="2"/>
          </rPr>
          <t xml:space="preserve">See note on CFC-11
</t>
        </r>
      </text>
    </comment>
    <comment ref="J176" authorId="0" shapeId="0" xr:uid="{00000000-0006-0000-0900-000094020000}">
      <text>
        <r>
          <rPr>
            <sz val="9"/>
            <color indexed="81"/>
            <rFont val="Tahoma"/>
            <family val="2"/>
          </rPr>
          <t xml:space="preserve">See notes on CFC11
</t>
        </r>
      </text>
    </comment>
    <comment ref="K176" authorId="0" shapeId="0" xr:uid="{00000000-0006-0000-0900-000095020000}">
      <text>
        <r>
          <rPr>
            <sz val="9"/>
            <color indexed="81"/>
            <rFont val="Tahoma"/>
            <family val="2"/>
          </rPr>
          <t xml:space="preserve">See notes on CFC11
</t>
        </r>
      </text>
    </comment>
    <comment ref="H177" authorId="0" shapeId="0" xr:uid="{00000000-0006-0000-0900-000096020000}">
      <text>
        <r>
          <rPr>
            <sz val="9"/>
            <color indexed="81"/>
            <rFont val="Tahoma"/>
            <family val="2"/>
          </rPr>
          <t xml:space="preserve">See note on CFC-11
</t>
        </r>
      </text>
    </comment>
    <comment ref="J177" authorId="0" shapeId="0" xr:uid="{00000000-0006-0000-0900-000097020000}">
      <text>
        <r>
          <rPr>
            <sz val="9"/>
            <color indexed="81"/>
            <rFont val="Tahoma"/>
            <family val="2"/>
          </rPr>
          <t xml:space="preserve">See notes on CFC11
</t>
        </r>
      </text>
    </comment>
    <comment ref="K177" authorId="0" shapeId="0" xr:uid="{00000000-0006-0000-0900-000098020000}">
      <text>
        <r>
          <rPr>
            <sz val="9"/>
            <color indexed="81"/>
            <rFont val="Tahoma"/>
            <family val="2"/>
          </rPr>
          <t xml:space="preserve">See notes on CFC11
</t>
        </r>
      </text>
    </comment>
    <comment ref="H178" authorId="0" shapeId="0" xr:uid="{00000000-0006-0000-0900-000099020000}">
      <text>
        <r>
          <rPr>
            <sz val="9"/>
            <color indexed="81"/>
            <rFont val="Tahoma"/>
            <family val="2"/>
          </rPr>
          <t xml:space="preserve">See note on CFC-11
</t>
        </r>
      </text>
    </comment>
    <comment ref="J178" authorId="0" shapeId="0" xr:uid="{00000000-0006-0000-0900-00009A020000}">
      <text>
        <r>
          <rPr>
            <sz val="9"/>
            <color indexed="81"/>
            <rFont val="Tahoma"/>
            <family val="2"/>
          </rPr>
          <t xml:space="preserve">See notes on CFC11
</t>
        </r>
      </text>
    </comment>
    <comment ref="K178" authorId="0" shapeId="0" xr:uid="{00000000-0006-0000-0900-00009B020000}">
      <text>
        <r>
          <rPr>
            <sz val="9"/>
            <color indexed="81"/>
            <rFont val="Tahoma"/>
            <family val="2"/>
          </rPr>
          <t xml:space="preserve">See notes on CFC11
</t>
        </r>
      </text>
    </comment>
    <comment ref="H179" authorId="0" shapeId="0" xr:uid="{00000000-0006-0000-0900-00009C020000}">
      <text>
        <r>
          <rPr>
            <sz val="9"/>
            <color indexed="81"/>
            <rFont val="Tahoma"/>
            <family val="2"/>
          </rPr>
          <t xml:space="preserve">See note on CFC-11
</t>
        </r>
      </text>
    </comment>
    <comment ref="J179" authorId="0" shapeId="0" xr:uid="{00000000-0006-0000-0900-00009D020000}">
      <text>
        <r>
          <rPr>
            <sz val="9"/>
            <color indexed="81"/>
            <rFont val="Tahoma"/>
            <family val="2"/>
          </rPr>
          <t xml:space="preserve">See notes on CFC11
</t>
        </r>
      </text>
    </comment>
    <comment ref="K179" authorId="0" shapeId="0" xr:uid="{00000000-0006-0000-0900-00009E020000}">
      <text>
        <r>
          <rPr>
            <sz val="9"/>
            <color indexed="81"/>
            <rFont val="Tahoma"/>
            <family val="2"/>
          </rPr>
          <t xml:space="preserve">See notes on CFC11
</t>
        </r>
      </text>
    </comment>
    <comment ref="H180" authorId="0" shapeId="0" xr:uid="{00000000-0006-0000-0900-00009F020000}">
      <text>
        <r>
          <rPr>
            <sz val="9"/>
            <color indexed="81"/>
            <rFont val="Tahoma"/>
            <family val="2"/>
          </rPr>
          <t xml:space="preserve">See note on CFC-11
</t>
        </r>
      </text>
    </comment>
    <comment ref="J180" authorId="0" shapeId="0" xr:uid="{00000000-0006-0000-0900-0000A0020000}">
      <text>
        <r>
          <rPr>
            <sz val="9"/>
            <color indexed="81"/>
            <rFont val="Tahoma"/>
            <family val="2"/>
          </rPr>
          <t xml:space="preserve">See notes on CFC11
</t>
        </r>
      </text>
    </comment>
    <comment ref="K180" authorId="0" shapeId="0" xr:uid="{00000000-0006-0000-0900-0000A1020000}">
      <text>
        <r>
          <rPr>
            <sz val="9"/>
            <color indexed="81"/>
            <rFont val="Tahoma"/>
            <family val="2"/>
          </rPr>
          <t xml:space="preserve">See notes on CFC11
</t>
        </r>
      </text>
    </comment>
    <comment ref="H181" authorId="0" shapeId="0" xr:uid="{00000000-0006-0000-0900-0000A2020000}">
      <text>
        <r>
          <rPr>
            <sz val="9"/>
            <color indexed="81"/>
            <rFont val="Tahoma"/>
            <family val="2"/>
          </rPr>
          <t xml:space="preserve">See note on CFC-11
</t>
        </r>
      </text>
    </comment>
    <comment ref="J181" authorId="0" shapeId="0" xr:uid="{00000000-0006-0000-0900-0000A3020000}">
      <text>
        <r>
          <rPr>
            <sz val="9"/>
            <color indexed="81"/>
            <rFont val="Tahoma"/>
            <family val="2"/>
          </rPr>
          <t xml:space="preserve">See notes on CFC11
</t>
        </r>
      </text>
    </comment>
    <comment ref="K181" authorId="0" shapeId="0" xr:uid="{00000000-0006-0000-0900-0000A4020000}">
      <text>
        <r>
          <rPr>
            <sz val="9"/>
            <color indexed="81"/>
            <rFont val="Tahoma"/>
            <family val="2"/>
          </rPr>
          <t xml:space="preserve">See notes on CFC11
</t>
        </r>
      </text>
    </comment>
    <comment ref="H182" authorId="0" shapeId="0" xr:uid="{00000000-0006-0000-0900-0000A5020000}">
      <text>
        <r>
          <rPr>
            <sz val="9"/>
            <color indexed="81"/>
            <rFont val="Tahoma"/>
            <family val="2"/>
          </rPr>
          <t xml:space="preserve">See note on CFC-11
</t>
        </r>
      </text>
    </comment>
    <comment ref="J182" authorId="0" shapeId="0" xr:uid="{00000000-0006-0000-0900-0000A6020000}">
      <text>
        <r>
          <rPr>
            <sz val="9"/>
            <color indexed="81"/>
            <rFont val="Tahoma"/>
            <family val="2"/>
          </rPr>
          <t xml:space="preserve">See notes on CFC11
</t>
        </r>
      </text>
    </comment>
    <comment ref="K182" authorId="0" shapeId="0" xr:uid="{00000000-0006-0000-0900-0000A7020000}">
      <text>
        <r>
          <rPr>
            <sz val="9"/>
            <color indexed="81"/>
            <rFont val="Tahoma"/>
            <family val="2"/>
          </rPr>
          <t xml:space="preserve">See notes on CFC11
</t>
        </r>
      </text>
    </comment>
    <comment ref="H183" authorId="0" shapeId="0" xr:uid="{00000000-0006-0000-0900-0000A8020000}">
      <text>
        <r>
          <rPr>
            <sz val="9"/>
            <color indexed="81"/>
            <rFont val="Tahoma"/>
            <family val="2"/>
          </rPr>
          <t xml:space="preserve">See note on CFC-11
</t>
        </r>
      </text>
    </comment>
    <comment ref="J183" authorId="0" shapeId="0" xr:uid="{00000000-0006-0000-0900-0000A9020000}">
      <text>
        <r>
          <rPr>
            <sz val="9"/>
            <color indexed="81"/>
            <rFont val="Tahoma"/>
            <family val="2"/>
          </rPr>
          <t xml:space="preserve">See notes on CFC11
</t>
        </r>
      </text>
    </comment>
    <comment ref="K183" authorId="0" shapeId="0" xr:uid="{00000000-0006-0000-0900-0000AA020000}">
      <text>
        <r>
          <rPr>
            <sz val="9"/>
            <color indexed="81"/>
            <rFont val="Tahoma"/>
            <family val="2"/>
          </rPr>
          <t xml:space="preserve">See notes on CFC11
</t>
        </r>
      </text>
    </comment>
    <comment ref="H184" authorId="0" shapeId="0" xr:uid="{00000000-0006-0000-0900-0000AB020000}">
      <text>
        <r>
          <rPr>
            <sz val="9"/>
            <color indexed="81"/>
            <rFont val="Tahoma"/>
            <family val="2"/>
          </rPr>
          <t xml:space="preserve">See note on CFC-11
</t>
        </r>
      </text>
    </comment>
    <comment ref="J184" authorId="0" shapeId="0" xr:uid="{00000000-0006-0000-0900-0000AC020000}">
      <text>
        <r>
          <rPr>
            <sz val="9"/>
            <color indexed="81"/>
            <rFont val="Tahoma"/>
            <family val="2"/>
          </rPr>
          <t xml:space="preserve">See notes on CFC11
</t>
        </r>
      </text>
    </comment>
    <comment ref="K184" authorId="0" shapeId="0" xr:uid="{00000000-0006-0000-0900-0000AD020000}">
      <text>
        <r>
          <rPr>
            <sz val="9"/>
            <color indexed="81"/>
            <rFont val="Tahoma"/>
            <family val="2"/>
          </rPr>
          <t xml:space="preserve">See notes on CFC11
</t>
        </r>
      </text>
    </comment>
    <comment ref="H185" authorId="0" shapeId="0" xr:uid="{00000000-0006-0000-0900-0000AE020000}">
      <text>
        <r>
          <rPr>
            <sz val="9"/>
            <color indexed="81"/>
            <rFont val="Tahoma"/>
            <family val="2"/>
          </rPr>
          <t xml:space="preserve">See note on CFC-11
</t>
        </r>
      </text>
    </comment>
    <comment ref="J185" authorId="0" shapeId="0" xr:uid="{00000000-0006-0000-0900-0000AF020000}">
      <text>
        <r>
          <rPr>
            <sz val="9"/>
            <color indexed="81"/>
            <rFont val="Tahoma"/>
            <family val="2"/>
          </rPr>
          <t xml:space="preserve">See notes on CFC11
</t>
        </r>
      </text>
    </comment>
    <comment ref="K185" authorId="0" shapeId="0" xr:uid="{00000000-0006-0000-0900-0000B0020000}">
      <text>
        <r>
          <rPr>
            <sz val="9"/>
            <color indexed="81"/>
            <rFont val="Tahoma"/>
            <family val="2"/>
          </rPr>
          <t xml:space="preserve">See notes on CFC11
</t>
        </r>
      </text>
    </comment>
    <comment ref="H186" authorId="0" shapeId="0" xr:uid="{00000000-0006-0000-0900-0000B1020000}">
      <text>
        <r>
          <rPr>
            <sz val="9"/>
            <color indexed="81"/>
            <rFont val="Tahoma"/>
            <family val="2"/>
          </rPr>
          <t xml:space="preserve">See note on CFC-11
</t>
        </r>
      </text>
    </comment>
    <comment ref="J186" authorId="0" shapeId="0" xr:uid="{00000000-0006-0000-0900-0000B2020000}">
      <text>
        <r>
          <rPr>
            <sz val="9"/>
            <color indexed="81"/>
            <rFont val="Tahoma"/>
            <family val="2"/>
          </rPr>
          <t xml:space="preserve">See notes on CFC11
</t>
        </r>
      </text>
    </comment>
    <comment ref="K186" authorId="0" shapeId="0" xr:uid="{00000000-0006-0000-0900-0000B3020000}">
      <text>
        <r>
          <rPr>
            <sz val="9"/>
            <color indexed="81"/>
            <rFont val="Tahoma"/>
            <family val="2"/>
          </rPr>
          <t xml:space="preserve">See notes on CFC11
</t>
        </r>
      </text>
    </comment>
    <comment ref="H187" authorId="0" shapeId="0" xr:uid="{00000000-0006-0000-0900-0000B4020000}">
      <text>
        <r>
          <rPr>
            <sz val="9"/>
            <color indexed="81"/>
            <rFont val="Tahoma"/>
            <family val="2"/>
          </rPr>
          <t xml:space="preserve">See note on CFC-11
</t>
        </r>
      </text>
    </comment>
    <comment ref="J187" authorId="0" shapeId="0" xr:uid="{00000000-0006-0000-0900-0000B5020000}">
      <text>
        <r>
          <rPr>
            <sz val="9"/>
            <color indexed="81"/>
            <rFont val="Tahoma"/>
            <family val="2"/>
          </rPr>
          <t xml:space="preserve">See notes on CFC11
</t>
        </r>
      </text>
    </comment>
    <comment ref="K187" authorId="0" shapeId="0" xr:uid="{00000000-0006-0000-0900-0000B6020000}">
      <text>
        <r>
          <rPr>
            <sz val="9"/>
            <color indexed="81"/>
            <rFont val="Tahoma"/>
            <family val="2"/>
          </rPr>
          <t xml:space="preserve">See notes on CFC11
</t>
        </r>
      </text>
    </comment>
    <comment ref="H188" authorId="0" shapeId="0" xr:uid="{00000000-0006-0000-0900-0000B7020000}">
      <text>
        <r>
          <rPr>
            <sz val="9"/>
            <color indexed="81"/>
            <rFont val="Tahoma"/>
            <family val="2"/>
          </rPr>
          <t xml:space="preserve">See note on CFC-11
</t>
        </r>
      </text>
    </comment>
    <comment ref="J188" authorId="0" shapeId="0" xr:uid="{00000000-0006-0000-0900-0000B8020000}">
      <text>
        <r>
          <rPr>
            <sz val="9"/>
            <color indexed="81"/>
            <rFont val="Tahoma"/>
            <family val="2"/>
          </rPr>
          <t xml:space="preserve">See notes on CFC11
</t>
        </r>
      </text>
    </comment>
    <comment ref="K188" authorId="0" shapeId="0" xr:uid="{00000000-0006-0000-0900-0000B9020000}">
      <text>
        <r>
          <rPr>
            <sz val="9"/>
            <color indexed="81"/>
            <rFont val="Tahoma"/>
            <family val="2"/>
          </rPr>
          <t xml:space="preserve">See notes on CFC11
</t>
        </r>
      </text>
    </comment>
    <comment ref="H189" authorId="0" shapeId="0" xr:uid="{00000000-0006-0000-0900-0000BA020000}">
      <text>
        <r>
          <rPr>
            <sz val="9"/>
            <color indexed="81"/>
            <rFont val="Tahoma"/>
            <family val="2"/>
          </rPr>
          <t xml:space="preserve">See note on CFC-11
</t>
        </r>
      </text>
    </comment>
    <comment ref="J189" authorId="0" shapeId="0" xr:uid="{00000000-0006-0000-0900-0000BB020000}">
      <text>
        <r>
          <rPr>
            <sz val="9"/>
            <color indexed="81"/>
            <rFont val="Tahoma"/>
            <family val="2"/>
          </rPr>
          <t xml:space="preserve">See notes on CFC11
</t>
        </r>
      </text>
    </comment>
    <comment ref="K189" authorId="0" shapeId="0" xr:uid="{00000000-0006-0000-0900-0000BC020000}">
      <text>
        <r>
          <rPr>
            <sz val="9"/>
            <color indexed="81"/>
            <rFont val="Tahoma"/>
            <family val="2"/>
          </rPr>
          <t xml:space="preserve">See notes on CFC11
</t>
        </r>
      </text>
    </comment>
    <comment ref="H190" authorId="0" shapeId="0" xr:uid="{00000000-0006-0000-0900-0000BD020000}">
      <text>
        <r>
          <rPr>
            <sz val="9"/>
            <color indexed="81"/>
            <rFont val="Tahoma"/>
            <family val="2"/>
          </rPr>
          <t xml:space="preserve">See note on CFC-11
</t>
        </r>
      </text>
    </comment>
    <comment ref="J190" authorId="0" shapeId="0" xr:uid="{00000000-0006-0000-0900-0000BE020000}">
      <text>
        <r>
          <rPr>
            <sz val="9"/>
            <color indexed="81"/>
            <rFont val="Tahoma"/>
            <family val="2"/>
          </rPr>
          <t xml:space="preserve">See notes on CFC11
</t>
        </r>
      </text>
    </comment>
    <comment ref="K190" authorId="0" shapeId="0" xr:uid="{00000000-0006-0000-0900-0000BF020000}">
      <text>
        <r>
          <rPr>
            <sz val="9"/>
            <color indexed="81"/>
            <rFont val="Tahoma"/>
            <family val="2"/>
          </rPr>
          <t xml:space="preserve">See notes on CFC11
</t>
        </r>
      </text>
    </comment>
    <comment ref="H191" authorId="0" shapeId="0" xr:uid="{00000000-0006-0000-0900-0000C0020000}">
      <text>
        <r>
          <rPr>
            <sz val="9"/>
            <color indexed="81"/>
            <rFont val="Tahoma"/>
            <family val="2"/>
          </rPr>
          <t xml:space="preserve">See note on CFC-11
</t>
        </r>
      </text>
    </comment>
    <comment ref="J191" authorId="0" shapeId="0" xr:uid="{00000000-0006-0000-0900-0000C1020000}">
      <text>
        <r>
          <rPr>
            <sz val="9"/>
            <color indexed="81"/>
            <rFont val="Tahoma"/>
            <family val="2"/>
          </rPr>
          <t xml:space="preserve">See notes on CFC11
</t>
        </r>
      </text>
    </comment>
    <comment ref="K191" authorId="0" shapeId="0" xr:uid="{00000000-0006-0000-0900-0000C2020000}">
      <text>
        <r>
          <rPr>
            <sz val="9"/>
            <color indexed="81"/>
            <rFont val="Tahoma"/>
            <family val="2"/>
          </rPr>
          <t xml:space="preserve">See notes on CFC11
</t>
        </r>
      </text>
    </comment>
    <comment ref="H192" authorId="0" shapeId="0" xr:uid="{00000000-0006-0000-0900-0000C3020000}">
      <text>
        <r>
          <rPr>
            <sz val="9"/>
            <color indexed="81"/>
            <rFont val="Tahoma"/>
            <family val="2"/>
          </rPr>
          <t xml:space="preserve">See note on CFC-11
</t>
        </r>
      </text>
    </comment>
    <comment ref="J192" authorId="0" shapeId="0" xr:uid="{00000000-0006-0000-0900-0000C4020000}">
      <text>
        <r>
          <rPr>
            <sz val="9"/>
            <color indexed="81"/>
            <rFont val="Tahoma"/>
            <family val="2"/>
          </rPr>
          <t xml:space="preserve">See notes on CFC11
</t>
        </r>
      </text>
    </comment>
    <comment ref="K192" authorId="0" shapeId="0" xr:uid="{00000000-0006-0000-0900-0000C5020000}">
      <text>
        <r>
          <rPr>
            <sz val="9"/>
            <color indexed="81"/>
            <rFont val="Tahoma"/>
            <family val="2"/>
          </rPr>
          <t xml:space="preserve">See notes on CFC11
</t>
        </r>
      </text>
    </comment>
    <comment ref="H193" authorId="0" shapeId="0" xr:uid="{00000000-0006-0000-0900-0000C6020000}">
      <text>
        <r>
          <rPr>
            <sz val="9"/>
            <color indexed="81"/>
            <rFont val="Tahoma"/>
            <family val="2"/>
          </rPr>
          <t xml:space="preserve">See note on CFC-11
</t>
        </r>
      </text>
    </comment>
    <comment ref="J193" authorId="0" shapeId="0" xr:uid="{00000000-0006-0000-0900-0000C7020000}">
      <text>
        <r>
          <rPr>
            <sz val="9"/>
            <color indexed="81"/>
            <rFont val="Tahoma"/>
            <family val="2"/>
          </rPr>
          <t xml:space="preserve">See notes on CFC11
</t>
        </r>
      </text>
    </comment>
    <comment ref="K193" authorId="0" shapeId="0" xr:uid="{00000000-0006-0000-0900-0000C8020000}">
      <text>
        <r>
          <rPr>
            <sz val="9"/>
            <color indexed="81"/>
            <rFont val="Tahoma"/>
            <family val="2"/>
          </rPr>
          <t xml:space="preserve">See notes on CFC11
</t>
        </r>
      </text>
    </comment>
    <comment ref="H194" authorId="0" shapeId="0" xr:uid="{00000000-0006-0000-0900-0000C9020000}">
      <text>
        <r>
          <rPr>
            <sz val="9"/>
            <color indexed="81"/>
            <rFont val="Tahoma"/>
            <family val="2"/>
          </rPr>
          <t xml:space="preserve">See note on CFC-11
</t>
        </r>
      </text>
    </comment>
    <comment ref="J194" authorId="0" shapeId="0" xr:uid="{00000000-0006-0000-0900-0000CA020000}">
      <text>
        <r>
          <rPr>
            <sz val="9"/>
            <color indexed="81"/>
            <rFont val="Tahoma"/>
            <family val="2"/>
          </rPr>
          <t xml:space="preserve">See notes on CFC11
</t>
        </r>
      </text>
    </comment>
    <comment ref="K194" authorId="0" shapeId="0" xr:uid="{00000000-0006-0000-0900-0000CB020000}">
      <text>
        <r>
          <rPr>
            <sz val="9"/>
            <color indexed="81"/>
            <rFont val="Tahoma"/>
            <family val="2"/>
          </rPr>
          <t xml:space="preserve">See notes on CFC11
</t>
        </r>
      </text>
    </comment>
    <comment ref="H195" authorId="0" shapeId="0" xr:uid="{00000000-0006-0000-0900-0000CC020000}">
      <text>
        <r>
          <rPr>
            <sz val="9"/>
            <color indexed="81"/>
            <rFont val="Tahoma"/>
            <family val="2"/>
          </rPr>
          <t xml:space="preserve">See note on CFC-11
</t>
        </r>
      </text>
    </comment>
    <comment ref="J195" authorId="0" shapeId="0" xr:uid="{00000000-0006-0000-0900-0000CD020000}">
      <text>
        <r>
          <rPr>
            <sz val="9"/>
            <color indexed="81"/>
            <rFont val="Tahoma"/>
            <family val="2"/>
          </rPr>
          <t xml:space="preserve">See notes on CFC11
</t>
        </r>
      </text>
    </comment>
    <comment ref="K195" authorId="0" shapeId="0" xr:uid="{00000000-0006-0000-0900-0000CE020000}">
      <text>
        <r>
          <rPr>
            <sz val="9"/>
            <color indexed="81"/>
            <rFont val="Tahoma"/>
            <family val="2"/>
          </rPr>
          <t xml:space="preserve">See notes on CFC11
</t>
        </r>
      </text>
    </comment>
    <comment ref="H196" authorId="0" shapeId="0" xr:uid="{00000000-0006-0000-0900-0000CF020000}">
      <text>
        <r>
          <rPr>
            <sz val="9"/>
            <color indexed="81"/>
            <rFont val="Tahoma"/>
            <family val="2"/>
          </rPr>
          <t xml:space="preserve">See note on CFC-11
</t>
        </r>
      </text>
    </comment>
    <comment ref="J196" authorId="0" shapeId="0" xr:uid="{00000000-0006-0000-0900-0000D0020000}">
      <text>
        <r>
          <rPr>
            <sz val="9"/>
            <color indexed="81"/>
            <rFont val="Tahoma"/>
            <family val="2"/>
          </rPr>
          <t xml:space="preserve">See notes on CFC11
</t>
        </r>
      </text>
    </comment>
    <comment ref="K196" authorId="0" shapeId="0" xr:uid="{00000000-0006-0000-0900-0000D1020000}">
      <text>
        <r>
          <rPr>
            <sz val="9"/>
            <color indexed="81"/>
            <rFont val="Tahoma"/>
            <family val="2"/>
          </rPr>
          <t xml:space="preserve">See notes on CFC11
</t>
        </r>
      </text>
    </comment>
    <comment ref="H197" authorId="0" shapeId="0" xr:uid="{00000000-0006-0000-0900-0000D2020000}">
      <text>
        <r>
          <rPr>
            <sz val="9"/>
            <color indexed="81"/>
            <rFont val="Tahoma"/>
            <family val="2"/>
          </rPr>
          <t xml:space="preserve">See note on CFC-11
</t>
        </r>
      </text>
    </comment>
    <comment ref="J197" authorId="0" shapeId="0" xr:uid="{00000000-0006-0000-0900-0000D3020000}">
      <text>
        <r>
          <rPr>
            <sz val="9"/>
            <color indexed="81"/>
            <rFont val="Tahoma"/>
            <family val="2"/>
          </rPr>
          <t xml:space="preserve">See notes on CFC11
</t>
        </r>
      </text>
    </comment>
    <comment ref="K197" authorId="0" shapeId="0" xr:uid="{00000000-0006-0000-0900-0000D4020000}">
      <text>
        <r>
          <rPr>
            <sz val="9"/>
            <color indexed="81"/>
            <rFont val="Tahoma"/>
            <family val="2"/>
          </rPr>
          <t xml:space="preserve">See notes on CFC11
</t>
        </r>
      </text>
    </comment>
    <comment ref="H198" authorId="0" shapeId="0" xr:uid="{00000000-0006-0000-0900-0000D5020000}">
      <text>
        <r>
          <rPr>
            <sz val="9"/>
            <color indexed="81"/>
            <rFont val="Tahoma"/>
            <family val="2"/>
          </rPr>
          <t xml:space="preserve">See note on CFC-11
</t>
        </r>
      </text>
    </comment>
    <comment ref="J198" authorId="0" shapeId="0" xr:uid="{00000000-0006-0000-0900-0000D6020000}">
      <text>
        <r>
          <rPr>
            <sz val="9"/>
            <color indexed="81"/>
            <rFont val="Tahoma"/>
            <family val="2"/>
          </rPr>
          <t xml:space="preserve">See notes on CFC11
</t>
        </r>
      </text>
    </comment>
    <comment ref="K198" authorId="0" shapeId="0" xr:uid="{00000000-0006-0000-0900-0000D7020000}">
      <text>
        <r>
          <rPr>
            <sz val="9"/>
            <color indexed="81"/>
            <rFont val="Tahoma"/>
            <family val="2"/>
          </rPr>
          <t xml:space="preserve">See notes on CFC11
</t>
        </r>
      </text>
    </comment>
    <comment ref="H199" authorId="0" shapeId="0" xr:uid="{00000000-0006-0000-0900-0000D8020000}">
      <text>
        <r>
          <rPr>
            <sz val="9"/>
            <color indexed="81"/>
            <rFont val="Tahoma"/>
            <family val="2"/>
          </rPr>
          <t xml:space="preserve">See note on CFC-11
</t>
        </r>
      </text>
    </comment>
    <comment ref="J199" authorId="0" shapeId="0" xr:uid="{00000000-0006-0000-0900-0000D9020000}">
      <text>
        <r>
          <rPr>
            <sz val="9"/>
            <color indexed="81"/>
            <rFont val="Tahoma"/>
            <family val="2"/>
          </rPr>
          <t xml:space="preserve">See notes on CFC11
</t>
        </r>
      </text>
    </comment>
    <comment ref="K199" authorId="0" shapeId="0" xr:uid="{00000000-0006-0000-0900-0000DA020000}">
      <text>
        <r>
          <rPr>
            <sz val="9"/>
            <color indexed="81"/>
            <rFont val="Tahoma"/>
            <family val="2"/>
          </rPr>
          <t xml:space="preserve">See notes on CFC11
</t>
        </r>
      </text>
    </comment>
    <comment ref="H200" authorId="0" shapeId="0" xr:uid="{00000000-0006-0000-0900-0000DB020000}">
      <text>
        <r>
          <rPr>
            <sz val="9"/>
            <color indexed="81"/>
            <rFont val="Tahoma"/>
            <family val="2"/>
          </rPr>
          <t xml:space="preserve">See note on CFC-11
</t>
        </r>
      </text>
    </comment>
    <comment ref="J200" authorId="0" shapeId="0" xr:uid="{00000000-0006-0000-0900-0000DC020000}">
      <text>
        <r>
          <rPr>
            <sz val="9"/>
            <color indexed="81"/>
            <rFont val="Tahoma"/>
            <family val="2"/>
          </rPr>
          <t xml:space="preserve">See notes on CFC11
</t>
        </r>
      </text>
    </comment>
    <comment ref="K200" authorId="0" shapeId="0" xr:uid="{00000000-0006-0000-0900-0000DD020000}">
      <text>
        <r>
          <rPr>
            <sz val="9"/>
            <color indexed="81"/>
            <rFont val="Tahoma"/>
            <family val="2"/>
          </rPr>
          <t xml:space="preserve">See notes on CFC11
</t>
        </r>
      </text>
    </comment>
    <comment ref="H201" authorId="0" shapeId="0" xr:uid="{00000000-0006-0000-0900-0000DE020000}">
      <text>
        <r>
          <rPr>
            <sz val="9"/>
            <color indexed="81"/>
            <rFont val="Tahoma"/>
            <family val="2"/>
          </rPr>
          <t xml:space="preserve">See note on CFC-11
</t>
        </r>
      </text>
    </comment>
    <comment ref="J201" authorId="0" shapeId="0" xr:uid="{00000000-0006-0000-0900-0000DF020000}">
      <text>
        <r>
          <rPr>
            <sz val="9"/>
            <color indexed="81"/>
            <rFont val="Tahoma"/>
            <family val="2"/>
          </rPr>
          <t xml:space="preserve">See notes on CFC11
</t>
        </r>
      </text>
    </comment>
    <comment ref="K201" authorId="0" shapeId="0" xr:uid="{00000000-0006-0000-0900-0000E0020000}">
      <text>
        <r>
          <rPr>
            <sz val="9"/>
            <color indexed="81"/>
            <rFont val="Tahoma"/>
            <family val="2"/>
          </rPr>
          <t xml:space="preserve">See notes on CFC11
</t>
        </r>
      </text>
    </comment>
    <comment ref="H202" authorId="0" shapeId="0" xr:uid="{00000000-0006-0000-0900-0000E1020000}">
      <text>
        <r>
          <rPr>
            <sz val="9"/>
            <color indexed="81"/>
            <rFont val="Tahoma"/>
            <family val="2"/>
          </rPr>
          <t xml:space="preserve">See note on CFC-11
</t>
        </r>
      </text>
    </comment>
    <comment ref="J202" authorId="0" shapeId="0" xr:uid="{00000000-0006-0000-0900-0000E2020000}">
      <text>
        <r>
          <rPr>
            <sz val="9"/>
            <color indexed="81"/>
            <rFont val="Tahoma"/>
            <family val="2"/>
          </rPr>
          <t xml:space="preserve">See notes on CFC11
</t>
        </r>
      </text>
    </comment>
    <comment ref="K202" authorId="0" shapeId="0" xr:uid="{00000000-0006-0000-0900-0000E3020000}">
      <text>
        <r>
          <rPr>
            <sz val="9"/>
            <color indexed="81"/>
            <rFont val="Tahoma"/>
            <family val="2"/>
          </rPr>
          <t xml:space="preserve">See notes on CFC11
</t>
        </r>
      </text>
    </comment>
    <comment ref="H203" authorId="0" shapeId="0" xr:uid="{00000000-0006-0000-0900-0000E4020000}">
      <text>
        <r>
          <rPr>
            <sz val="9"/>
            <color indexed="81"/>
            <rFont val="Tahoma"/>
            <family val="2"/>
          </rPr>
          <t xml:space="preserve">See note on CFC-11
</t>
        </r>
      </text>
    </comment>
    <comment ref="J203" authorId="0" shapeId="0" xr:uid="{00000000-0006-0000-0900-0000E5020000}">
      <text>
        <r>
          <rPr>
            <sz val="9"/>
            <color indexed="81"/>
            <rFont val="Tahoma"/>
            <family val="2"/>
          </rPr>
          <t xml:space="preserve">See notes on CFC11
</t>
        </r>
      </text>
    </comment>
    <comment ref="K203" authorId="0" shapeId="0" xr:uid="{00000000-0006-0000-0900-0000E6020000}">
      <text>
        <r>
          <rPr>
            <sz val="9"/>
            <color indexed="81"/>
            <rFont val="Tahoma"/>
            <family val="2"/>
          </rPr>
          <t xml:space="preserve">See notes on CFC11
</t>
        </r>
      </text>
    </comment>
    <comment ref="H204" authorId="0" shapeId="0" xr:uid="{00000000-0006-0000-0900-0000E7020000}">
      <text>
        <r>
          <rPr>
            <sz val="9"/>
            <color indexed="81"/>
            <rFont val="Tahoma"/>
            <family val="2"/>
          </rPr>
          <t xml:space="preserve">See note on CFC-11
</t>
        </r>
      </text>
    </comment>
    <comment ref="J204" authorId="0" shapeId="0" xr:uid="{00000000-0006-0000-0900-0000E8020000}">
      <text>
        <r>
          <rPr>
            <sz val="9"/>
            <color indexed="81"/>
            <rFont val="Tahoma"/>
            <family val="2"/>
          </rPr>
          <t xml:space="preserve">See notes on CFC11
</t>
        </r>
      </text>
    </comment>
    <comment ref="K204" authorId="0" shapeId="0" xr:uid="{00000000-0006-0000-0900-0000E9020000}">
      <text>
        <r>
          <rPr>
            <sz val="9"/>
            <color indexed="81"/>
            <rFont val="Tahoma"/>
            <family val="2"/>
          </rPr>
          <t xml:space="preserve">See notes on CFC11
</t>
        </r>
      </text>
    </comment>
    <comment ref="H205" authorId="0" shapeId="0" xr:uid="{00000000-0006-0000-0900-0000EA020000}">
      <text>
        <r>
          <rPr>
            <sz val="9"/>
            <color indexed="81"/>
            <rFont val="Tahoma"/>
            <family val="2"/>
          </rPr>
          <t xml:space="preserve">See note on CFC-11
</t>
        </r>
      </text>
    </comment>
    <comment ref="J205" authorId="0" shapeId="0" xr:uid="{00000000-0006-0000-0900-0000EB020000}">
      <text>
        <r>
          <rPr>
            <sz val="9"/>
            <color indexed="81"/>
            <rFont val="Tahoma"/>
            <family val="2"/>
          </rPr>
          <t xml:space="preserve">See notes on CFC11
</t>
        </r>
      </text>
    </comment>
    <comment ref="K205" authorId="0" shapeId="0" xr:uid="{00000000-0006-0000-0900-0000EC020000}">
      <text>
        <r>
          <rPr>
            <sz val="9"/>
            <color indexed="81"/>
            <rFont val="Tahoma"/>
            <family val="2"/>
          </rPr>
          <t xml:space="preserve">See notes on CFC11
</t>
        </r>
      </text>
    </comment>
    <comment ref="H206" authorId="0" shapeId="0" xr:uid="{00000000-0006-0000-0900-0000ED020000}">
      <text>
        <r>
          <rPr>
            <sz val="9"/>
            <color indexed="81"/>
            <rFont val="Tahoma"/>
            <family val="2"/>
          </rPr>
          <t xml:space="preserve">See note on CFC-11
</t>
        </r>
      </text>
    </comment>
    <comment ref="J206" authorId="0" shapeId="0" xr:uid="{00000000-0006-0000-0900-0000EE020000}">
      <text>
        <r>
          <rPr>
            <sz val="9"/>
            <color indexed="81"/>
            <rFont val="Tahoma"/>
            <family val="2"/>
          </rPr>
          <t xml:space="preserve">See notes on CFC11
</t>
        </r>
      </text>
    </comment>
    <comment ref="K206" authorId="0" shapeId="0" xr:uid="{00000000-0006-0000-0900-0000EF020000}">
      <text>
        <r>
          <rPr>
            <sz val="9"/>
            <color indexed="81"/>
            <rFont val="Tahoma"/>
            <family val="2"/>
          </rPr>
          <t xml:space="preserve">See notes on CFC11
</t>
        </r>
      </text>
    </comment>
    <comment ref="H207" authorId="0" shapeId="0" xr:uid="{00000000-0006-0000-0900-0000F0020000}">
      <text>
        <r>
          <rPr>
            <sz val="9"/>
            <color indexed="81"/>
            <rFont val="Tahoma"/>
            <family val="2"/>
          </rPr>
          <t xml:space="preserve">See note on CFC-11
</t>
        </r>
      </text>
    </comment>
    <comment ref="J207" authorId="0" shapeId="0" xr:uid="{00000000-0006-0000-0900-0000F1020000}">
      <text>
        <r>
          <rPr>
            <sz val="9"/>
            <color indexed="81"/>
            <rFont val="Tahoma"/>
            <family val="2"/>
          </rPr>
          <t xml:space="preserve">See notes on CFC11
</t>
        </r>
      </text>
    </comment>
    <comment ref="K207" authorId="0" shapeId="0" xr:uid="{00000000-0006-0000-0900-0000F2020000}">
      <text>
        <r>
          <rPr>
            <sz val="9"/>
            <color indexed="81"/>
            <rFont val="Tahoma"/>
            <family val="2"/>
          </rPr>
          <t xml:space="preserve">See notes on CFC11
</t>
        </r>
      </text>
    </comment>
    <comment ref="H208" authorId="0" shapeId="0" xr:uid="{00000000-0006-0000-0900-0000F3020000}">
      <text>
        <r>
          <rPr>
            <sz val="9"/>
            <color indexed="81"/>
            <rFont val="Tahoma"/>
            <family val="2"/>
          </rPr>
          <t xml:space="preserve">See note on CFC-11
</t>
        </r>
      </text>
    </comment>
    <comment ref="J208" authorId="0" shapeId="0" xr:uid="{00000000-0006-0000-0900-0000F4020000}">
      <text>
        <r>
          <rPr>
            <sz val="9"/>
            <color indexed="81"/>
            <rFont val="Tahoma"/>
            <family val="2"/>
          </rPr>
          <t xml:space="preserve">See notes on CFC11
</t>
        </r>
      </text>
    </comment>
    <comment ref="K208" authorId="0" shapeId="0" xr:uid="{00000000-0006-0000-0900-0000F5020000}">
      <text>
        <r>
          <rPr>
            <sz val="9"/>
            <color indexed="81"/>
            <rFont val="Tahoma"/>
            <family val="2"/>
          </rPr>
          <t xml:space="preserve">See notes on CFC11
</t>
        </r>
      </text>
    </comment>
    <comment ref="H209" authorId="0" shapeId="0" xr:uid="{00000000-0006-0000-0900-0000F6020000}">
      <text>
        <r>
          <rPr>
            <sz val="9"/>
            <color indexed="81"/>
            <rFont val="Tahoma"/>
            <family val="2"/>
          </rPr>
          <t xml:space="preserve">See note on CFC-11
</t>
        </r>
      </text>
    </comment>
    <comment ref="J209" authorId="0" shapeId="0" xr:uid="{00000000-0006-0000-0900-0000F7020000}">
      <text>
        <r>
          <rPr>
            <sz val="9"/>
            <color indexed="81"/>
            <rFont val="Tahoma"/>
            <family val="2"/>
          </rPr>
          <t xml:space="preserve">See notes on CFC11
</t>
        </r>
      </text>
    </comment>
    <comment ref="K209" authorId="0" shapeId="0" xr:uid="{00000000-0006-0000-0900-0000F8020000}">
      <text>
        <r>
          <rPr>
            <sz val="9"/>
            <color indexed="81"/>
            <rFont val="Tahoma"/>
            <family val="2"/>
          </rPr>
          <t xml:space="preserve">See notes on CFC11
</t>
        </r>
      </text>
    </comment>
    <comment ref="H210" authorId="0" shapeId="0" xr:uid="{00000000-0006-0000-0900-0000F9020000}">
      <text>
        <r>
          <rPr>
            <sz val="9"/>
            <color indexed="81"/>
            <rFont val="Tahoma"/>
            <family val="2"/>
          </rPr>
          <t xml:space="preserve">See note on CFC-11
</t>
        </r>
      </text>
    </comment>
    <comment ref="J210" authorId="0" shapeId="0" xr:uid="{00000000-0006-0000-0900-0000FA020000}">
      <text>
        <r>
          <rPr>
            <sz val="9"/>
            <color indexed="81"/>
            <rFont val="Tahoma"/>
            <family val="2"/>
          </rPr>
          <t xml:space="preserve">See notes on CFC11
</t>
        </r>
      </text>
    </comment>
    <comment ref="K210" authorId="0" shapeId="0" xr:uid="{00000000-0006-0000-0900-0000FB020000}">
      <text>
        <r>
          <rPr>
            <sz val="9"/>
            <color indexed="81"/>
            <rFont val="Tahoma"/>
            <family val="2"/>
          </rPr>
          <t xml:space="preserve">See notes on CFC11
</t>
        </r>
      </text>
    </comment>
    <comment ref="H211" authorId="0" shapeId="0" xr:uid="{00000000-0006-0000-0900-0000FC020000}">
      <text>
        <r>
          <rPr>
            <sz val="9"/>
            <color indexed="81"/>
            <rFont val="Tahoma"/>
            <family val="2"/>
          </rPr>
          <t xml:space="preserve">See note on CFC-11
</t>
        </r>
      </text>
    </comment>
    <comment ref="J211" authorId="0" shapeId="0" xr:uid="{00000000-0006-0000-0900-0000FD020000}">
      <text>
        <r>
          <rPr>
            <sz val="9"/>
            <color indexed="81"/>
            <rFont val="Tahoma"/>
            <family val="2"/>
          </rPr>
          <t xml:space="preserve">See notes on CFC11
</t>
        </r>
      </text>
    </comment>
    <comment ref="K211" authorId="0" shapeId="0" xr:uid="{00000000-0006-0000-0900-0000FE020000}">
      <text>
        <r>
          <rPr>
            <sz val="9"/>
            <color indexed="81"/>
            <rFont val="Tahoma"/>
            <family val="2"/>
          </rPr>
          <t xml:space="preserve">See notes on CFC11
</t>
        </r>
      </text>
    </comment>
    <comment ref="H212" authorId="0" shapeId="0" xr:uid="{00000000-0006-0000-0900-0000FF020000}">
      <text>
        <r>
          <rPr>
            <sz val="9"/>
            <color indexed="81"/>
            <rFont val="Tahoma"/>
            <family val="2"/>
          </rPr>
          <t xml:space="preserve">See note on CFC-11
</t>
        </r>
      </text>
    </comment>
    <comment ref="J212" authorId="0" shapeId="0" xr:uid="{00000000-0006-0000-0900-000000030000}">
      <text>
        <r>
          <rPr>
            <sz val="9"/>
            <color indexed="81"/>
            <rFont val="Tahoma"/>
            <family val="2"/>
          </rPr>
          <t xml:space="preserve">See notes on CFC11
</t>
        </r>
      </text>
    </comment>
    <comment ref="K212" authorId="0" shapeId="0" xr:uid="{00000000-0006-0000-0900-000001030000}">
      <text>
        <r>
          <rPr>
            <sz val="9"/>
            <color indexed="81"/>
            <rFont val="Tahoma"/>
            <family val="2"/>
          </rPr>
          <t xml:space="preserve">See notes on CFC11
</t>
        </r>
      </text>
    </comment>
    <comment ref="H213" authorId="0" shapeId="0" xr:uid="{00000000-0006-0000-0900-000002030000}">
      <text>
        <r>
          <rPr>
            <sz val="9"/>
            <color indexed="81"/>
            <rFont val="Tahoma"/>
            <family val="2"/>
          </rPr>
          <t xml:space="preserve">See note on CFC-11
</t>
        </r>
      </text>
    </comment>
    <comment ref="J213" authorId="0" shapeId="0" xr:uid="{00000000-0006-0000-0900-000003030000}">
      <text>
        <r>
          <rPr>
            <sz val="9"/>
            <color indexed="81"/>
            <rFont val="Tahoma"/>
            <family val="2"/>
          </rPr>
          <t xml:space="preserve">See notes on CFC11
</t>
        </r>
      </text>
    </comment>
    <comment ref="K213" authorId="0" shapeId="0" xr:uid="{00000000-0006-0000-0900-000004030000}">
      <text>
        <r>
          <rPr>
            <sz val="9"/>
            <color indexed="81"/>
            <rFont val="Tahoma"/>
            <family val="2"/>
          </rPr>
          <t xml:space="preserve">See notes on CFC11
</t>
        </r>
      </text>
    </comment>
    <comment ref="H214" authorId="0" shapeId="0" xr:uid="{00000000-0006-0000-0900-000005030000}">
      <text>
        <r>
          <rPr>
            <sz val="9"/>
            <color indexed="81"/>
            <rFont val="Tahoma"/>
            <family val="2"/>
          </rPr>
          <t xml:space="preserve">See note on CFC-11
</t>
        </r>
      </text>
    </comment>
    <comment ref="J214" authorId="0" shapeId="0" xr:uid="{00000000-0006-0000-0900-000006030000}">
      <text>
        <r>
          <rPr>
            <sz val="9"/>
            <color indexed="81"/>
            <rFont val="Tahoma"/>
            <family val="2"/>
          </rPr>
          <t xml:space="preserve">See notes on CFC11
</t>
        </r>
      </text>
    </comment>
    <comment ref="K214" authorId="0" shapeId="0" xr:uid="{00000000-0006-0000-0900-000007030000}">
      <text>
        <r>
          <rPr>
            <sz val="9"/>
            <color indexed="81"/>
            <rFont val="Tahoma"/>
            <family val="2"/>
          </rPr>
          <t xml:space="preserve">See notes on CFC11
</t>
        </r>
      </text>
    </comment>
    <comment ref="H215" authorId="0" shapeId="0" xr:uid="{00000000-0006-0000-0900-000008030000}">
      <text>
        <r>
          <rPr>
            <sz val="9"/>
            <color indexed="81"/>
            <rFont val="Tahoma"/>
            <family val="2"/>
          </rPr>
          <t xml:space="preserve">See note on CFC-11
</t>
        </r>
      </text>
    </comment>
    <comment ref="J215" authorId="0" shapeId="0" xr:uid="{00000000-0006-0000-0900-000009030000}">
      <text>
        <r>
          <rPr>
            <sz val="9"/>
            <color indexed="81"/>
            <rFont val="Tahoma"/>
            <family val="2"/>
          </rPr>
          <t xml:space="preserve">See notes on CFC11
</t>
        </r>
      </text>
    </comment>
    <comment ref="K215" authorId="0" shapeId="0" xr:uid="{00000000-0006-0000-0900-00000A030000}">
      <text>
        <r>
          <rPr>
            <sz val="9"/>
            <color indexed="81"/>
            <rFont val="Tahoma"/>
            <family val="2"/>
          </rPr>
          <t xml:space="preserve">See notes on CFC11
</t>
        </r>
      </text>
    </comment>
    <comment ref="H216" authorId="0" shapeId="0" xr:uid="{00000000-0006-0000-0900-00000B030000}">
      <text>
        <r>
          <rPr>
            <sz val="9"/>
            <color indexed="81"/>
            <rFont val="Tahoma"/>
            <family val="2"/>
          </rPr>
          <t xml:space="preserve">See note on CFC-11
</t>
        </r>
      </text>
    </comment>
    <comment ref="J216" authorId="0" shapeId="0" xr:uid="{00000000-0006-0000-0900-00000C030000}">
      <text>
        <r>
          <rPr>
            <sz val="9"/>
            <color indexed="81"/>
            <rFont val="Tahoma"/>
            <family val="2"/>
          </rPr>
          <t xml:space="preserve">See notes on CFC11
</t>
        </r>
      </text>
    </comment>
    <comment ref="K216" authorId="0" shapeId="0" xr:uid="{00000000-0006-0000-0900-00000D030000}">
      <text>
        <r>
          <rPr>
            <sz val="9"/>
            <color indexed="81"/>
            <rFont val="Tahoma"/>
            <family val="2"/>
          </rPr>
          <t xml:space="preserve">See notes on CFC11
</t>
        </r>
      </text>
    </comment>
    <comment ref="H217" authorId="0" shapeId="0" xr:uid="{00000000-0006-0000-0900-00000E030000}">
      <text>
        <r>
          <rPr>
            <sz val="9"/>
            <color indexed="81"/>
            <rFont val="Tahoma"/>
            <family val="2"/>
          </rPr>
          <t xml:space="preserve">See note on CFC-11
</t>
        </r>
      </text>
    </comment>
    <comment ref="J217" authorId="0" shapeId="0" xr:uid="{00000000-0006-0000-0900-00000F030000}">
      <text>
        <r>
          <rPr>
            <sz val="9"/>
            <color indexed="81"/>
            <rFont val="Tahoma"/>
            <family val="2"/>
          </rPr>
          <t xml:space="preserve">See notes on CFC11
</t>
        </r>
      </text>
    </comment>
    <comment ref="K217" authorId="0" shapeId="0" xr:uid="{00000000-0006-0000-0900-000010030000}">
      <text>
        <r>
          <rPr>
            <sz val="9"/>
            <color indexed="81"/>
            <rFont val="Tahoma"/>
            <family val="2"/>
          </rPr>
          <t xml:space="preserve">See notes on CFC11
</t>
        </r>
      </text>
    </comment>
    <comment ref="H218" authorId="0" shapeId="0" xr:uid="{00000000-0006-0000-0900-000011030000}">
      <text>
        <r>
          <rPr>
            <sz val="9"/>
            <color indexed="81"/>
            <rFont val="Tahoma"/>
            <family val="2"/>
          </rPr>
          <t xml:space="preserve">See note on CFC-11
</t>
        </r>
      </text>
    </comment>
    <comment ref="J218" authorId="0" shapeId="0" xr:uid="{00000000-0006-0000-0900-000012030000}">
      <text>
        <r>
          <rPr>
            <sz val="9"/>
            <color indexed="81"/>
            <rFont val="Tahoma"/>
            <family val="2"/>
          </rPr>
          <t xml:space="preserve">See notes on CFC11
</t>
        </r>
      </text>
    </comment>
    <comment ref="K218" authorId="0" shapeId="0" xr:uid="{00000000-0006-0000-0900-000013030000}">
      <text>
        <r>
          <rPr>
            <sz val="9"/>
            <color indexed="81"/>
            <rFont val="Tahoma"/>
            <family val="2"/>
          </rPr>
          <t xml:space="preserve">See notes on CFC11
</t>
        </r>
      </text>
    </comment>
    <comment ref="H219" authorId="0" shapeId="0" xr:uid="{00000000-0006-0000-0900-000014030000}">
      <text>
        <r>
          <rPr>
            <sz val="9"/>
            <color indexed="81"/>
            <rFont val="Tahoma"/>
            <family val="2"/>
          </rPr>
          <t xml:space="preserve">See note on CFC-11
</t>
        </r>
      </text>
    </comment>
    <comment ref="J219" authorId="0" shapeId="0" xr:uid="{00000000-0006-0000-0900-000015030000}">
      <text>
        <r>
          <rPr>
            <sz val="9"/>
            <color indexed="81"/>
            <rFont val="Tahoma"/>
            <family val="2"/>
          </rPr>
          <t xml:space="preserve">See notes on CFC11
</t>
        </r>
      </text>
    </comment>
    <comment ref="K219" authorId="0" shapeId="0" xr:uid="{00000000-0006-0000-0900-000016030000}">
      <text>
        <r>
          <rPr>
            <sz val="9"/>
            <color indexed="81"/>
            <rFont val="Tahoma"/>
            <family val="2"/>
          </rPr>
          <t xml:space="preserve">See notes on CFC11
</t>
        </r>
      </text>
    </comment>
    <comment ref="H220" authorId="0" shapeId="0" xr:uid="{00000000-0006-0000-0900-000017030000}">
      <text>
        <r>
          <rPr>
            <sz val="9"/>
            <color indexed="81"/>
            <rFont val="Tahoma"/>
            <family val="2"/>
          </rPr>
          <t xml:space="preserve">See note on CFC-11
</t>
        </r>
      </text>
    </comment>
    <comment ref="J220" authorId="0" shapeId="0" xr:uid="{00000000-0006-0000-0900-000018030000}">
      <text>
        <r>
          <rPr>
            <sz val="9"/>
            <color indexed="81"/>
            <rFont val="Tahoma"/>
            <family val="2"/>
          </rPr>
          <t xml:space="preserve">See notes on CFC11
</t>
        </r>
      </text>
    </comment>
    <comment ref="K220" authorId="0" shapeId="0" xr:uid="{00000000-0006-0000-0900-000019030000}">
      <text>
        <r>
          <rPr>
            <sz val="9"/>
            <color indexed="81"/>
            <rFont val="Tahoma"/>
            <family val="2"/>
          </rPr>
          <t xml:space="preserve">See notes on CFC11
</t>
        </r>
      </text>
    </comment>
    <comment ref="H221" authorId="0" shapeId="0" xr:uid="{00000000-0006-0000-0900-00001A030000}">
      <text>
        <r>
          <rPr>
            <sz val="9"/>
            <color indexed="81"/>
            <rFont val="Tahoma"/>
            <family val="2"/>
          </rPr>
          <t xml:space="preserve">See note on CFC-11
</t>
        </r>
      </text>
    </comment>
    <comment ref="J221" authorId="0" shapeId="0" xr:uid="{00000000-0006-0000-0900-00001B030000}">
      <text>
        <r>
          <rPr>
            <sz val="9"/>
            <color indexed="81"/>
            <rFont val="Tahoma"/>
            <family val="2"/>
          </rPr>
          <t xml:space="preserve">See notes on CFC11
</t>
        </r>
      </text>
    </comment>
    <comment ref="K221" authorId="0" shapeId="0" xr:uid="{00000000-0006-0000-0900-00001C030000}">
      <text>
        <r>
          <rPr>
            <sz val="9"/>
            <color indexed="81"/>
            <rFont val="Tahoma"/>
            <family val="2"/>
          </rPr>
          <t xml:space="preserve">See notes on CFC11
</t>
        </r>
      </text>
    </comment>
    <comment ref="H222" authorId="0" shapeId="0" xr:uid="{00000000-0006-0000-0900-00001D030000}">
      <text>
        <r>
          <rPr>
            <sz val="9"/>
            <color indexed="81"/>
            <rFont val="Tahoma"/>
            <family val="2"/>
          </rPr>
          <t xml:space="preserve">See note on CFC-11
</t>
        </r>
      </text>
    </comment>
    <comment ref="J222" authorId="0" shapeId="0" xr:uid="{00000000-0006-0000-0900-00001E030000}">
      <text>
        <r>
          <rPr>
            <sz val="9"/>
            <color indexed="81"/>
            <rFont val="Tahoma"/>
            <family val="2"/>
          </rPr>
          <t xml:space="preserve">See notes on CFC11
</t>
        </r>
      </text>
    </comment>
    <comment ref="K222" authorId="0" shapeId="0" xr:uid="{00000000-0006-0000-0900-00001F030000}">
      <text>
        <r>
          <rPr>
            <sz val="9"/>
            <color indexed="81"/>
            <rFont val="Tahoma"/>
            <family val="2"/>
          </rPr>
          <t xml:space="preserve">See notes on CFC11
</t>
        </r>
      </text>
    </comment>
    <comment ref="H223" authorId="0" shapeId="0" xr:uid="{00000000-0006-0000-0900-000020030000}">
      <text>
        <r>
          <rPr>
            <sz val="9"/>
            <color indexed="81"/>
            <rFont val="Tahoma"/>
            <family val="2"/>
          </rPr>
          <t xml:space="preserve">See note on CFC-11
</t>
        </r>
      </text>
    </comment>
    <comment ref="J223" authorId="0" shapeId="0" xr:uid="{00000000-0006-0000-0900-000021030000}">
      <text>
        <r>
          <rPr>
            <sz val="9"/>
            <color indexed="81"/>
            <rFont val="Tahoma"/>
            <family val="2"/>
          </rPr>
          <t xml:space="preserve">See notes on CFC11
</t>
        </r>
      </text>
    </comment>
    <comment ref="K223" authorId="0" shapeId="0" xr:uid="{00000000-0006-0000-0900-000022030000}">
      <text>
        <r>
          <rPr>
            <sz val="9"/>
            <color indexed="81"/>
            <rFont val="Tahoma"/>
            <family val="2"/>
          </rPr>
          <t xml:space="preserve">See notes on CFC11
</t>
        </r>
      </text>
    </comment>
    <comment ref="H224" authorId="0" shapeId="0" xr:uid="{00000000-0006-0000-0900-000023030000}">
      <text>
        <r>
          <rPr>
            <sz val="9"/>
            <color indexed="81"/>
            <rFont val="Tahoma"/>
            <family val="2"/>
          </rPr>
          <t xml:space="preserve">See note on CFC-11
</t>
        </r>
      </text>
    </comment>
    <comment ref="J224" authorId="0" shapeId="0" xr:uid="{00000000-0006-0000-0900-000024030000}">
      <text>
        <r>
          <rPr>
            <sz val="9"/>
            <color indexed="81"/>
            <rFont val="Tahoma"/>
            <family val="2"/>
          </rPr>
          <t xml:space="preserve">See notes on CFC11
</t>
        </r>
      </text>
    </comment>
    <comment ref="K224" authorId="0" shapeId="0" xr:uid="{00000000-0006-0000-0900-000025030000}">
      <text>
        <r>
          <rPr>
            <sz val="9"/>
            <color indexed="81"/>
            <rFont val="Tahoma"/>
            <family val="2"/>
          </rPr>
          <t xml:space="preserve">See notes on CFC11
</t>
        </r>
      </text>
    </comment>
    <comment ref="H225" authorId="0" shapeId="0" xr:uid="{00000000-0006-0000-0900-000026030000}">
      <text>
        <r>
          <rPr>
            <sz val="9"/>
            <color indexed="81"/>
            <rFont val="Tahoma"/>
            <family val="2"/>
          </rPr>
          <t xml:space="preserve">See note on CFC-11
</t>
        </r>
      </text>
    </comment>
    <comment ref="J225" authorId="0" shapeId="0" xr:uid="{00000000-0006-0000-0900-000027030000}">
      <text>
        <r>
          <rPr>
            <sz val="9"/>
            <color indexed="81"/>
            <rFont val="Tahoma"/>
            <family val="2"/>
          </rPr>
          <t xml:space="preserve">See notes on CFC11
</t>
        </r>
      </text>
    </comment>
    <comment ref="K225" authorId="0" shapeId="0" xr:uid="{00000000-0006-0000-0900-000028030000}">
      <text>
        <r>
          <rPr>
            <sz val="9"/>
            <color indexed="81"/>
            <rFont val="Tahoma"/>
            <family val="2"/>
          </rPr>
          <t xml:space="preserve">See notes on CFC11
</t>
        </r>
      </text>
    </comment>
    <comment ref="H226" authorId="0" shapeId="0" xr:uid="{00000000-0006-0000-0900-000029030000}">
      <text>
        <r>
          <rPr>
            <sz val="9"/>
            <color indexed="81"/>
            <rFont val="Tahoma"/>
            <family val="2"/>
          </rPr>
          <t xml:space="preserve">See note on CFC-11
</t>
        </r>
      </text>
    </comment>
    <comment ref="J226" authorId="0" shapeId="0" xr:uid="{00000000-0006-0000-0900-00002A030000}">
      <text>
        <r>
          <rPr>
            <sz val="9"/>
            <color indexed="81"/>
            <rFont val="Tahoma"/>
            <family val="2"/>
          </rPr>
          <t xml:space="preserve">See notes on CFC11
</t>
        </r>
      </text>
    </comment>
    <comment ref="K226" authorId="0" shapeId="0" xr:uid="{00000000-0006-0000-0900-00002B030000}">
      <text>
        <r>
          <rPr>
            <sz val="9"/>
            <color indexed="81"/>
            <rFont val="Tahoma"/>
            <family val="2"/>
          </rPr>
          <t xml:space="preserve">See notes on CFC11
</t>
        </r>
      </text>
    </comment>
    <comment ref="H227" authorId="0" shapeId="0" xr:uid="{00000000-0006-0000-0900-00002C030000}">
      <text>
        <r>
          <rPr>
            <sz val="9"/>
            <color indexed="81"/>
            <rFont val="Tahoma"/>
            <family val="2"/>
          </rPr>
          <t xml:space="preserve">See note on CFC-11
</t>
        </r>
      </text>
    </comment>
    <comment ref="J227" authorId="0" shapeId="0" xr:uid="{00000000-0006-0000-0900-00002D030000}">
      <text>
        <r>
          <rPr>
            <sz val="9"/>
            <color indexed="81"/>
            <rFont val="Tahoma"/>
            <family val="2"/>
          </rPr>
          <t xml:space="preserve">See notes on CFC11
</t>
        </r>
      </text>
    </comment>
    <comment ref="K227" authorId="0" shapeId="0" xr:uid="{00000000-0006-0000-0900-00002E030000}">
      <text>
        <r>
          <rPr>
            <sz val="9"/>
            <color indexed="81"/>
            <rFont val="Tahoma"/>
            <family val="2"/>
          </rPr>
          <t xml:space="preserve">See notes on CFC11
</t>
        </r>
      </text>
    </comment>
    <comment ref="H228" authorId="0" shapeId="0" xr:uid="{00000000-0006-0000-0900-00002F030000}">
      <text>
        <r>
          <rPr>
            <sz val="9"/>
            <color indexed="81"/>
            <rFont val="Tahoma"/>
            <family val="2"/>
          </rPr>
          <t xml:space="preserve">See note on CFC-11
</t>
        </r>
      </text>
    </comment>
    <comment ref="J228" authorId="0" shapeId="0" xr:uid="{00000000-0006-0000-0900-000030030000}">
      <text>
        <r>
          <rPr>
            <sz val="9"/>
            <color indexed="81"/>
            <rFont val="Tahoma"/>
            <family val="2"/>
          </rPr>
          <t xml:space="preserve">See notes on CFC11
</t>
        </r>
      </text>
    </comment>
    <comment ref="K228" authorId="0" shapeId="0" xr:uid="{00000000-0006-0000-0900-000031030000}">
      <text>
        <r>
          <rPr>
            <sz val="9"/>
            <color indexed="81"/>
            <rFont val="Tahoma"/>
            <family val="2"/>
          </rPr>
          <t xml:space="preserve">See notes on CFC11
</t>
        </r>
      </text>
    </comment>
    <comment ref="H229" authorId="0" shapeId="0" xr:uid="{00000000-0006-0000-0900-000032030000}">
      <text>
        <r>
          <rPr>
            <sz val="9"/>
            <color indexed="81"/>
            <rFont val="Tahoma"/>
            <family val="2"/>
          </rPr>
          <t xml:space="preserve">See note on CFC-11
</t>
        </r>
      </text>
    </comment>
    <comment ref="J229" authorId="0" shapeId="0" xr:uid="{00000000-0006-0000-0900-000033030000}">
      <text>
        <r>
          <rPr>
            <sz val="9"/>
            <color indexed="81"/>
            <rFont val="Tahoma"/>
            <family val="2"/>
          </rPr>
          <t xml:space="preserve">See notes on CFC11
</t>
        </r>
      </text>
    </comment>
    <comment ref="K229" authorId="0" shapeId="0" xr:uid="{00000000-0006-0000-0900-000034030000}">
      <text>
        <r>
          <rPr>
            <sz val="9"/>
            <color indexed="81"/>
            <rFont val="Tahoma"/>
            <family val="2"/>
          </rPr>
          <t xml:space="preserve">See notes on CFC11
</t>
        </r>
      </text>
    </comment>
    <comment ref="H230" authorId="0" shapeId="0" xr:uid="{00000000-0006-0000-0900-000035030000}">
      <text>
        <r>
          <rPr>
            <sz val="9"/>
            <color indexed="81"/>
            <rFont val="Tahoma"/>
            <family val="2"/>
          </rPr>
          <t xml:space="preserve">See note on CFC-11
</t>
        </r>
      </text>
    </comment>
    <comment ref="J230" authorId="0" shapeId="0" xr:uid="{00000000-0006-0000-0900-000036030000}">
      <text>
        <r>
          <rPr>
            <sz val="9"/>
            <color indexed="81"/>
            <rFont val="Tahoma"/>
            <family val="2"/>
          </rPr>
          <t xml:space="preserve">See notes on CFC11
</t>
        </r>
      </text>
    </comment>
    <comment ref="K230" authorId="0" shapeId="0" xr:uid="{00000000-0006-0000-0900-000037030000}">
      <text>
        <r>
          <rPr>
            <sz val="9"/>
            <color indexed="81"/>
            <rFont val="Tahoma"/>
            <family val="2"/>
          </rPr>
          <t xml:space="preserve">See notes on CFC11
</t>
        </r>
      </text>
    </comment>
    <comment ref="H231" authorId="0" shapeId="0" xr:uid="{00000000-0006-0000-0900-000038030000}">
      <text>
        <r>
          <rPr>
            <sz val="9"/>
            <color indexed="81"/>
            <rFont val="Tahoma"/>
            <family val="2"/>
          </rPr>
          <t xml:space="preserve">See note on CFC-11
</t>
        </r>
      </text>
    </comment>
    <comment ref="J231" authorId="0" shapeId="0" xr:uid="{00000000-0006-0000-0900-000039030000}">
      <text>
        <r>
          <rPr>
            <sz val="9"/>
            <color indexed="81"/>
            <rFont val="Tahoma"/>
            <family val="2"/>
          </rPr>
          <t xml:space="preserve">See notes on CFC11
</t>
        </r>
      </text>
    </comment>
    <comment ref="K231" authorId="0" shapeId="0" xr:uid="{00000000-0006-0000-0900-00003A030000}">
      <text>
        <r>
          <rPr>
            <sz val="9"/>
            <color indexed="81"/>
            <rFont val="Tahoma"/>
            <family val="2"/>
          </rPr>
          <t xml:space="preserve">See notes on CFC11
</t>
        </r>
      </text>
    </comment>
    <comment ref="H232" authorId="0" shapeId="0" xr:uid="{00000000-0006-0000-0900-00003B030000}">
      <text>
        <r>
          <rPr>
            <sz val="9"/>
            <color indexed="81"/>
            <rFont val="Tahoma"/>
            <family val="2"/>
          </rPr>
          <t xml:space="preserve">See note on CFC-11
</t>
        </r>
      </text>
    </comment>
    <comment ref="J232" authorId="0" shapeId="0" xr:uid="{00000000-0006-0000-0900-00003C030000}">
      <text>
        <r>
          <rPr>
            <sz val="9"/>
            <color indexed="81"/>
            <rFont val="Tahoma"/>
            <family val="2"/>
          </rPr>
          <t xml:space="preserve">See notes on CFC11
</t>
        </r>
      </text>
    </comment>
    <comment ref="K232" authorId="0" shapeId="0" xr:uid="{00000000-0006-0000-0900-00003D030000}">
      <text>
        <r>
          <rPr>
            <sz val="9"/>
            <color indexed="81"/>
            <rFont val="Tahoma"/>
            <family val="2"/>
          </rPr>
          <t xml:space="preserve">See notes on CFC11
</t>
        </r>
      </text>
    </comment>
    <comment ref="H233" authorId="0" shapeId="0" xr:uid="{00000000-0006-0000-0900-00003E030000}">
      <text>
        <r>
          <rPr>
            <sz val="9"/>
            <color indexed="81"/>
            <rFont val="Tahoma"/>
            <family val="2"/>
          </rPr>
          <t xml:space="preserve">See note on CFC-11
</t>
        </r>
      </text>
    </comment>
    <comment ref="J233" authorId="0" shapeId="0" xr:uid="{00000000-0006-0000-0900-00003F030000}">
      <text>
        <r>
          <rPr>
            <sz val="9"/>
            <color indexed="81"/>
            <rFont val="Tahoma"/>
            <family val="2"/>
          </rPr>
          <t xml:space="preserve">See notes on CFC11
</t>
        </r>
      </text>
    </comment>
    <comment ref="K233" authorId="0" shapeId="0" xr:uid="{00000000-0006-0000-0900-000040030000}">
      <text>
        <r>
          <rPr>
            <sz val="9"/>
            <color indexed="81"/>
            <rFont val="Tahoma"/>
            <family val="2"/>
          </rPr>
          <t xml:space="preserve">See notes on CFC11
</t>
        </r>
      </text>
    </comment>
    <comment ref="H234" authorId="0" shapeId="0" xr:uid="{00000000-0006-0000-0900-000041030000}">
      <text>
        <r>
          <rPr>
            <sz val="9"/>
            <color indexed="81"/>
            <rFont val="Tahoma"/>
            <family val="2"/>
          </rPr>
          <t xml:space="preserve">See note on CFC-11
</t>
        </r>
      </text>
    </comment>
    <comment ref="J234" authorId="0" shapeId="0" xr:uid="{00000000-0006-0000-0900-000042030000}">
      <text>
        <r>
          <rPr>
            <sz val="9"/>
            <color indexed="81"/>
            <rFont val="Tahoma"/>
            <family val="2"/>
          </rPr>
          <t xml:space="preserve">See notes on CFC11
</t>
        </r>
      </text>
    </comment>
    <comment ref="K234" authorId="0" shapeId="0" xr:uid="{00000000-0006-0000-0900-000043030000}">
      <text>
        <r>
          <rPr>
            <sz val="9"/>
            <color indexed="81"/>
            <rFont val="Tahoma"/>
            <family val="2"/>
          </rPr>
          <t xml:space="preserve">See notes on CFC11
</t>
        </r>
      </text>
    </comment>
    <comment ref="H235" authorId="0" shapeId="0" xr:uid="{00000000-0006-0000-0900-000044030000}">
      <text>
        <r>
          <rPr>
            <sz val="9"/>
            <color indexed="81"/>
            <rFont val="Tahoma"/>
            <family val="2"/>
          </rPr>
          <t xml:space="preserve">See note on CFC-11
</t>
        </r>
      </text>
    </comment>
    <comment ref="J235" authorId="0" shapeId="0" xr:uid="{00000000-0006-0000-0900-000045030000}">
      <text>
        <r>
          <rPr>
            <sz val="9"/>
            <color indexed="81"/>
            <rFont val="Tahoma"/>
            <family val="2"/>
          </rPr>
          <t xml:space="preserve">See notes on CFC11
</t>
        </r>
      </text>
    </comment>
    <comment ref="K235" authorId="0" shapeId="0" xr:uid="{00000000-0006-0000-0900-000046030000}">
      <text>
        <r>
          <rPr>
            <sz val="9"/>
            <color indexed="81"/>
            <rFont val="Tahoma"/>
            <family val="2"/>
          </rPr>
          <t xml:space="preserve">See notes on CFC11
</t>
        </r>
      </text>
    </comment>
    <comment ref="H236" authorId="0" shapeId="0" xr:uid="{00000000-0006-0000-0900-000047030000}">
      <text>
        <r>
          <rPr>
            <sz val="9"/>
            <color indexed="81"/>
            <rFont val="Tahoma"/>
            <family val="2"/>
          </rPr>
          <t xml:space="preserve">See note on CFC-11
</t>
        </r>
      </text>
    </comment>
    <comment ref="J236" authorId="0" shapeId="0" xr:uid="{00000000-0006-0000-0900-000048030000}">
      <text>
        <r>
          <rPr>
            <sz val="9"/>
            <color indexed="81"/>
            <rFont val="Tahoma"/>
            <family val="2"/>
          </rPr>
          <t xml:space="preserve">See notes on CFC11
</t>
        </r>
      </text>
    </comment>
    <comment ref="K236" authorId="0" shapeId="0" xr:uid="{00000000-0006-0000-0900-000049030000}">
      <text>
        <r>
          <rPr>
            <sz val="9"/>
            <color indexed="81"/>
            <rFont val="Tahoma"/>
            <family val="2"/>
          </rPr>
          <t xml:space="preserve">See notes on CFC11
</t>
        </r>
      </text>
    </comment>
    <comment ref="H237" authorId="0" shapeId="0" xr:uid="{00000000-0006-0000-0900-00004A030000}">
      <text>
        <r>
          <rPr>
            <sz val="9"/>
            <color indexed="81"/>
            <rFont val="Tahoma"/>
            <family val="2"/>
          </rPr>
          <t xml:space="preserve">See note on CFC-11
</t>
        </r>
      </text>
    </comment>
    <comment ref="J237" authorId="0" shapeId="0" xr:uid="{00000000-0006-0000-0900-00004B030000}">
      <text>
        <r>
          <rPr>
            <sz val="9"/>
            <color indexed="81"/>
            <rFont val="Tahoma"/>
            <family val="2"/>
          </rPr>
          <t xml:space="preserve">See notes on CFC11
</t>
        </r>
      </text>
    </comment>
    <comment ref="K237" authorId="0" shapeId="0" xr:uid="{00000000-0006-0000-0900-00004C030000}">
      <text>
        <r>
          <rPr>
            <sz val="9"/>
            <color indexed="81"/>
            <rFont val="Tahoma"/>
            <family val="2"/>
          </rPr>
          <t xml:space="preserve">See notes on CFC11
</t>
        </r>
      </text>
    </comment>
    <comment ref="H238" authorId="0" shapeId="0" xr:uid="{00000000-0006-0000-0900-00004D030000}">
      <text>
        <r>
          <rPr>
            <sz val="9"/>
            <color indexed="81"/>
            <rFont val="Tahoma"/>
            <family val="2"/>
          </rPr>
          <t xml:space="preserve">See note on CFC-11
</t>
        </r>
      </text>
    </comment>
    <comment ref="J238" authorId="0" shapeId="0" xr:uid="{00000000-0006-0000-0900-00004E030000}">
      <text>
        <r>
          <rPr>
            <sz val="9"/>
            <color indexed="81"/>
            <rFont val="Tahoma"/>
            <family val="2"/>
          </rPr>
          <t xml:space="preserve">See notes on CFC11
</t>
        </r>
      </text>
    </comment>
    <comment ref="K238" authorId="0" shapeId="0" xr:uid="{00000000-0006-0000-0900-00004F030000}">
      <text>
        <r>
          <rPr>
            <sz val="9"/>
            <color indexed="81"/>
            <rFont val="Tahoma"/>
            <family val="2"/>
          </rPr>
          <t xml:space="preserve">See notes on CFC11
</t>
        </r>
      </text>
    </comment>
    <comment ref="H239" authorId="0" shapeId="0" xr:uid="{00000000-0006-0000-0900-000050030000}">
      <text>
        <r>
          <rPr>
            <sz val="9"/>
            <color indexed="81"/>
            <rFont val="Tahoma"/>
            <family val="2"/>
          </rPr>
          <t xml:space="preserve">See note on CFC-11
</t>
        </r>
      </text>
    </comment>
    <comment ref="J239" authorId="0" shapeId="0" xr:uid="{00000000-0006-0000-0900-000051030000}">
      <text>
        <r>
          <rPr>
            <sz val="9"/>
            <color indexed="81"/>
            <rFont val="Tahoma"/>
            <family val="2"/>
          </rPr>
          <t xml:space="preserve">See notes on CFC11
</t>
        </r>
      </text>
    </comment>
    <comment ref="K239" authorId="0" shapeId="0" xr:uid="{00000000-0006-0000-0900-000052030000}">
      <text>
        <r>
          <rPr>
            <sz val="9"/>
            <color indexed="81"/>
            <rFont val="Tahoma"/>
            <family val="2"/>
          </rPr>
          <t xml:space="preserve">See notes on CFC11
</t>
        </r>
      </text>
    </comment>
    <comment ref="H240" authorId="0" shapeId="0" xr:uid="{00000000-0006-0000-0900-000053030000}">
      <text>
        <r>
          <rPr>
            <sz val="9"/>
            <color indexed="81"/>
            <rFont val="Tahoma"/>
            <family val="2"/>
          </rPr>
          <t xml:space="preserve">See note on CFC-11
</t>
        </r>
      </text>
    </comment>
    <comment ref="J240" authorId="0" shapeId="0" xr:uid="{00000000-0006-0000-0900-000054030000}">
      <text>
        <r>
          <rPr>
            <sz val="9"/>
            <color indexed="81"/>
            <rFont val="Tahoma"/>
            <family val="2"/>
          </rPr>
          <t xml:space="preserve">See notes on CFC11
</t>
        </r>
      </text>
    </comment>
    <comment ref="K240" authorId="0" shapeId="0" xr:uid="{00000000-0006-0000-0900-000055030000}">
      <text>
        <r>
          <rPr>
            <sz val="9"/>
            <color indexed="81"/>
            <rFont val="Tahoma"/>
            <family val="2"/>
          </rPr>
          <t xml:space="preserve">See notes on CFC11
</t>
        </r>
      </text>
    </comment>
    <comment ref="H241" authorId="0" shapeId="0" xr:uid="{00000000-0006-0000-0900-000056030000}">
      <text>
        <r>
          <rPr>
            <sz val="9"/>
            <color indexed="81"/>
            <rFont val="Tahoma"/>
            <family val="2"/>
          </rPr>
          <t xml:space="preserve">See note on CFC-11
</t>
        </r>
      </text>
    </comment>
    <comment ref="J241" authorId="0" shapeId="0" xr:uid="{00000000-0006-0000-0900-000057030000}">
      <text>
        <r>
          <rPr>
            <sz val="9"/>
            <color indexed="81"/>
            <rFont val="Tahoma"/>
            <family val="2"/>
          </rPr>
          <t xml:space="preserve">See notes on CFC11
</t>
        </r>
      </text>
    </comment>
    <comment ref="K241" authorId="0" shapeId="0" xr:uid="{00000000-0006-0000-0900-000058030000}">
      <text>
        <r>
          <rPr>
            <sz val="9"/>
            <color indexed="81"/>
            <rFont val="Tahoma"/>
            <family val="2"/>
          </rPr>
          <t xml:space="preserve">See notes on CFC11
</t>
        </r>
      </text>
    </comment>
    <comment ref="H242" authorId="0" shapeId="0" xr:uid="{00000000-0006-0000-0900-000059030000}">
      <text>
        <r>
          <rPr>
            <sz val="9"/>
            <color indexed="81"/>
            <rFont val="Tahoma"/>
            <family val="2"/>
          </rPr>
          <t xml:space="preserve">See note on CFC-11
</t>
        </r>
      </text>
    </comment>
    <comment ref="J242" authorId="0" shapeId="0" xr:uid="{00000000-0006-0000-0900-00005A030000}">
      <text>
        <r>
          <rPr>
            <sz val="9"/>
            <color indexed="81"/>
            <rFont val="Tahoma"/>
            <family val="2"/>
          </rPr>
          <t xml:space="preserve">See notes on CFC11
</t>
        </r>
      </text>
    </comment>
    <comment ref="K242" authorId="0" shapeId="0" xr:uid="{00000000-0006-0000-0900-00005B030000}">
      <text>
        <r>
          <rPr>
            <sz val="9"/>
            <color indexed="81"/>
            <rFont val="Tahoma"/>
            <family val="2"/>
          </rPr>
          <t xml:space="preserve">See notes on CFC11
</t>
        </r>
      </text>
    </comment>
    <comment ref="H243" authorId="0" shapeId="0" xr:uid="{00000000-0006-0000-0900-00005C030000}">
      <text>
        <r>
          <rPr>
            <sz val="9"/>
            <color indexed="81"/>
            <rFont val="Tahoma"/>
            <family val="2"/>
          </rPr>
          <t xml:space="preserve">See note on CFC-11
</t>
        </r>
      </text>
    </comment>
    <comment ref="J243" authorId="0" shapeId="0" xr:uid="{00000000-0006-0000-0900-00005D030000}">
      <text>
        <r>
          <rPr>
            <sz val="9"/>
            <color indexed="81"/>
            <rFont val="Tahoma"/>
            <family val="2"/>
          </rPr>
          <t xml:space="preserve">See notes on CFC11
</t>
        </r>
      </text>
    </comment>
    <comment ref="K243" authorId="0" shapeId="0" xr:uid="{00000000-0006-0000-0900-00005E030000}">
      <text>
        <r>
          <rPr>
            <sz val="9"/>
            <color indexed="81"/>
            <rFont val="Tahoma"/>
            <family val="2"/>
          </rPr>
          <t xml:space="preserve">See notes on CFC11
</t>
        </r>
      </text>
    </comment>
    <comment ref="H244" authorId="0" shapeId="0" xr:uid="{00000000-0006-0000-0900-00005F030000}">
      <text>
        <r>
          <rPr>
            <sz val="9"/>
            <color indexed="81"/>
            <rFont val="Tahoma"/>
            <family val="2"/>
          </rPr>
          <t xml:space="preserve">See note on CFC-11
</t>
        </r>
      </text>
    </comment>
    <comment ref="J244" authorId="0" shapeId="0" xr:uid="{00000000-0006-0000-0900-000060030000}">
      <text>
        <r>
          <rPr>
            <sz val="9"/>
            <color indexed="81"/>
            <rFont val="Tahoma"/>
            <family val="2"/>
          </rPr>
          <t xml:space="preserve">See notes on CFC11
</t>
        </r>
      </text>
    </comment>
    <comment ref="K244" authorId="0" shapeId="0" xr:uid="{00000000-0006-0000-0900-000061030000}">
      <text>
        <r>
          <rPr>
            <sz val="9"/>
            <color indexed="81"/>
            <rFont val="Tahoma"/>
            <family val="2"/>
          </rPr>
          <t xml:space="preserve">See notes on CFC11
</t>
        </r>
      </text>
    </comment>
    <comment ref="H245" authorId="0" shapeId="0" xr:uid="{00000000-0006-0000-0900-000062030000}">
      <text>
        <r>
          <rPr>
            <sz val="9"/>
            <color indexed="81"/>
            <rFont val="Tahoma"/>
            <family val="2"/>
          </rPr>
          <t xml:space="preserve">See note on CFC-11
</t>
        </r>
      </text>
    </comment>
    <comment ref="J245" authorId="0" shapeId="0" xr:uid="{00000000-0006-0000-0900-000063030000}">
      <text>
        <r>
          <rPr>
            <sz val="9"/>
            <color indexed="81"/>
            <rFont val="Tahoma"/>
            <family val="2"/>
          </rPr>
          <t xml:space="preserve">See notes on CFC11
</t>
        </r>
      </text>
    </comment>
    <comment ref="K245" authorId="0" shapeId="0" xr:uid="{00000000-0006-0000-0900-000064030000}">
      <text>
        <r>
          <rPr>
            <sz val="9"/>
            <color indexed="81"/>
            <rFont val="Tahoma"/>
            <family val="2"/>
          </rPr>
          <t xml:space="preserve">See notes on CFC11
</t>
        </r>
      </text>
    </comment>
    <comment ref="H246" authorId="0" shapeId="0" xr:uid="{00000000-0006-0000-0900-000065030000}">
      <text>
        <r>
          <rPr>
            <sz val="9"/>
            <color indexed="81"/>
            <rFont val="Tahoma"/>
            <family val="2"/>
          </rPr>
          <t xml:space="preserve">See note on CFC-11
</t>
        </r>
      </text>
    </comment>
    <comment ref="J246" authorId="0" shapeId="0" xr:uid="{00000000-0006-0000-0900-000066030000}">
      <text>
        <r>
          <rPr>
            <sz val="9"/>
            <color indexed="81"/>
            <rFont val="Tahoma"/>
            <family val="2"/>
          </rPr>
          <t xml:space="preserve">See notes on CFC11
</t>
        </r>
      </text>
    </comment>
    <comment ref="K246" authorId="0" shapeId="0" xr:uid="{00000000-0006-0000-0900-000067030000}">
      <text>
        <r>
          <rPr>
            <sz val="9"/>
            <color indexed="81"/>
            <rFont val="Tahoma"/>
            <family val="2"/>
          </rPr>
          <t xml:space="preserve">See notes on CFC11
</t>
        </r>
      </text>
    </comment>
    <comment ref="H247" authorId="0" shapeId="0" xr:uid="{00000000-0006-0000-0900-000068030000}">
      <text>
        <r>
          <rPr>
            <sz val="9"/>
            <color indexed="81"/>
            <rFont val="Tahoma"/>
            <family val="2"/>
          </rPr>
          <t xml:space="preserve">See note on CFC-11
</t>
        </r>
      </text>
    </comment>
    <comment ref="J247" authorId="0" shapeId="0" xr:uid="{00000000-0006-0000-0900-000069030000}">
      <text>
        <r>
          <rPr>
            <sz val="9"/>
            <color indexed="81"/>
            <rFont val="Tahoma"/>
            <family val="2"/>
          </rPr>
          <t xml:space="preserve">See notes on CFC11
</t>
        </r>
      </text>
    </comment>
    <comment ref="K247" authorId="0" shapeId="0" xr:uid="{00000000-0006-0000-0900-00006A030000}">
      <text>
        <r>
          <rPr>
            <sz val="9"/>
            <color indexed="81"/>
            <rFont val="Tahoma"/>
            <family val="2"/>
          </rPr>
          <t xml:space="preserve">See notes on CFC11
</t>
        </r>
      </text>
    </comment>
    <comment ref="H248" authorId="0" shapeId="0" xr:uid="{00000000-0006-0000-0900-00006B030000}">
      <text>
        <r>
          <rPr>
            <sz val="9"/>
            <color indexed="81"/>
            <rFont val="Tahoma"/>
            <family val="2"/>
          </rPr>
          <t xml:space="preserve">See note on CFC-11
</t>
        </r>
      </text>
    </comment>
    <comment ref="J248" authorId="0" shapeId="0" xr:uid="{00000000-0006-0000-0900-00006C030000}">
      <text>
        <r>
          <rPr>
            <sz val="9"/>
            <color indexed="81"/>
            <rFont val="Tahoma"/>
            <family val="2"/>
          </rPr>
          <t xml:space="preserve">See notes on CFC11
</t>
        </r>
      </text>
    </comment>
    <comment ref="K248" authorId="0" shapeId="0" xr:uid="{00000000-0006-0000-0900-00006D030000}">
      <text>
        <r>
          <rPr>
            <sz val="9"/>
            <color indexed="81"/>
            <rFont val="Tahoma"/>
            <family val="2"/>
          </rPr>
          <t xml:space="preserve">See notes on CFC11
</t>
        </r>
      </text>
    </comment>
    <comment ref="H249" authorId="0" shapeId="0" xr:uid="{00000000-0006-0000-0900-00006E030000}">
      <text>
        <r>
          <rPr>
            <sz val="9"/>
            <color indexed="81"/>
            <rFont val="Tahoma"/>
            <family val="2"/>
          </rPr>
          <t xml:space="preserve">See note on CFC-11
</t>
        </r>
      </text>
    </comment>
    <comment ref="J249" authorId="0" shapeId="0" xr:uid="{00000000-0006-0000-0900-00006F030000}">
      <text>
        <r>
          <rPr>
            <sz val="9"/>
            <color indexed="81"/>
            <rFont val="Tahoma"/>
            <family val="2"/>
          </rPr>
          <t xml:space="preserve">See notes on CFC11
</t>
        </r>
      </text>
    </comment>
    <comment ref="K249" authorId="0" shapeId="0" xr:uid="{00000000-0006-0000-0900-000070030000}">
      <text>
        <r>
          <rPr>
            <sz val="9"/>
            <color indexed="81"/>
            <rFont val="Tahoma"/>
            <family val="2"/>
          </rPr>
          <t xml:space="preserve">See notes on CFC11
</t>
        </r>
      </text>
    </comment>
    <comment ref="H250" authorId="0" shapeId="0" xr:uid="{00000000-0006-0000-0900-000071030000}">
      <text>
        <r>
          <rPr>
            <sz val="9"/>
            <color indexed="81"/>
            <rFont val="Tahoma"/>
            <family val="2"/>
          </rPr>
          <t xml:space="preserve">See note on CFC-11
</t>
        </r>
      </text>
    </comment>
    <comment ref="J250" authorId="0" shapeId="0" xr:uid="{00000000-0006-0000-0900-000072030000}">
      <text>
        <r>
          <rPr>
            <sz val="9"/>
            <color indexed="81"/>
            <rFont val="Tahoma"/>
            <family val="2"/>
          </rPr>
          <t xml:space="preserve">See notes on CFC11
</t>
        </r>
      </text>
    </comment>
    <comment ref="K250" authorId="0" shapeId="0" xr:uid="{00000000-0006-0000-0900-000073030000}">
      <text>
        <r>
          <rPr>
            <sz val="9"/>
            <color indexed="81"/>
            <rFont val="Tahoma"/>
            <family val="2"/>
          </rPr>
          <t xml:space="preserve">See notes on CFC11
</t>
        </r>
      </text>
    </comment>
    <comment ref="D251" authorId="0" shapeId="0" xr:uid="{00000000-0006-0000-0900-000074030000}">
      <text>
        <r>
          <rPr>
            <sz val="9"/>
            <color indexed="81"/>
            <rFont val="Tahoma"/>
            <family val="2"/>
          </rPr>
          <t xml:space="preserve">IPCC 1994
</t>
        </r>
      </text>
    </comment>
    <comment ref="H251" authorId="0" shapeId="0" xr:uid="{00000000-0006-0000-0900-000075030000}">
      <text>
        <r>
          <rPr>
            <sz val="9"/>
            <color indexed="81"/>
            <rFont val="Tahoma"/>
            <family val="2"/>
          </rPr>
          <t xml:space="preserve">See note on CFC-11
</t>
        </r>
      </text>
    </comment>
    <comment ref="J251" authorId="0" shapeId="0" xr:uid="{00000000-0006-0000-0900-000076030000}">
      <text>
        <r>
          <rPr>
            <sz val="9"/>
            <color indexed="81"/>
            <rFont val="Tahoma"/>
            <family val="2"/>
          </rPr>
          <t xml:space="preserve">See notes on CFC11
</t>
        </r>
      </text>
    </comment>
    <comment ref="K251" authorId="0" shapeId="0" xr:uid="{00000000-0006-0000-0900-000077030000}">
      <text>
        <r>
          <rPr>
            <sz val="9"/>
            <color indexed="81"/>
            <rFont val="Tahoma"/>
            <family val="2"/>
          </rPr>
          <t xml:space="preserve">See notes on CFC11
</t>
        </r>
      </text>
    </comment>
    <comment ref="D252" authorId="0" shapeId="0" xr:uid="{00000000-0006-0000-0900-000078030000}">
      <text>
        <r>
          <rPr>
            <sz val="9"/>
            <color indexed="81"/>
            <rFont val="Tahoma"/>
            <family val="2"/>
          </rPr>
          <t xml:space="preserve">IPCC 1994
</t>
        </r>
      </text>
    </comment>
    <comment ref="H252" authorId="0" shapeId="0" xr:uid="{00000000-0006-0000-0900-000079030000}">
      <text>
        <r>
          <rPr>
            <sz val="9"/>
            <color indexed="81"/>
            <rFont val="Tahoma"/>
            <family val="2"/>
          </rPr>
          <t xml:space="preserve">See note on CFC-11
</t>
        </r>
      </text>
    </comment>
    <comment ref="J252" authorId="0" shapeId="0" xr:uid="{00000000-0006-0000-0900-00007A030000}">
      <text>
        <r>
          <rPr>
            <sz val="9"/>
            <color indexed="81"/>
            <rFont val="Tahoma"/>
            <family val="2"/>
          </rPr>
          <t xml:space="preserve">See notes on CFC11
</t>
        </r>
      </text>
    </comment>
    <comment ref="K252" authorId="0" shapeId="0" xr:uid="{00000000-0006-0000-0900-00007B030000}">
      <text>
        <r>
          <rPr>
            <sz val="9"/>
            <color indexed="81"/>
            <rFont val="Tahoma"/>
            <family val="2"/>
          </rPr>
          <t xml:space="preserve">See notes on CFC11
</t>
        </r>
      </text>
    </comment>
    <comment ref="D253" authorId="0" shapeId="0" xr:uid="{00000000-0006-0000-0900-00007C030000}">
      <text>
        <r>
          <rPr>
            <sz val="9"/>
            <color indexed="81"/>
            <rFont val="Tahoma"/>
            <family val="2"/>
          </rPr>
          <t xml:space="preserve">IPCC 1994
</t>
        </r>
      </text>
    </comment>
    <comment ref="H253" authorId="0" shapeId="0" xr:uid="{00000000-0006-0000-0900-00007D030000}">
      <text>
        <r>
          <rPr>
            <sz val="9"/>
            <color indexed="81"/>
            <rFont val="Tahoma"/>
            <family val="2"/>
          </rPr>
          <t xml:space="preserve">See note on CFC-11
</t>
        </r>
      </text>
    </comment>
    <comment ref="J253" authorId="0" shapeId="0" xr:uid="{00000000-0006-0000-0900-00007E030000}">
      <text>
        <r>
          <rPr>
            <sz val="9"/>
            <color indexed="81"/>
            <rFont val="Tahoma"/>
            <family val="2"/>
          </rPr>
          <t xml:space="preserve">See notes on CFC11
</t>
        </r>
      </text>
    </comment>
    <comment ref="K253" authorId="0" shapeId="0" xr:uid="{00000000-0006-0000-0900-00007F030000}">
      <text>
        <r>
          <rPr>
            <sz val="9"/>
            <color indexed="81"/>
            <rFont val="Tahoma"/>
            <family val="2"/>
          </rPr>
          <t xml:space="preserve">See notes on CFC11
</t>
        </r>
      </text>
    </comment>
    <comment ref="D254" authorId="0" shapeId="0" xr:uid="{00000000-0006-0000-0900-000080030000}">
      <text>
        <r>
          <rPr>
            <sz val="9"/>
            <color indexed="81"/>
            <rFont val="Tahoma"/>
            <family val="2"/>
          </rPr>
          <t xml:space="preserve">IPCC 1994
</t>
        </r>
      </text>
    </comment>
    <comment ref="H254" authorId="0" shapeId="0" xr:uid="{00000000-0006-0000-0900-000081030000}">
      <text>
        <r>
          <rPr>
            <sz val="9"/>
            <color indexed="81"/>
            <rFont val="Tahoma"/>
            <family val="2"/>
          </rPr>
          <t xml:space="preserve">See note on CFC-11
</t>
        </r>
      </text>
    </comment>
    <comment ref="J254" authorId="0" shapeId="0" xr:uid="{00000000-0006-0000-0900-000082030000}">
      <text>
        <r>
          <rPr>
            <sz val="9"/>
            <color indexed="81"/>
            <rFont val="Tahoma"/>
            <family val="2"/>
          </rPr>
          <t xml:space="preserve">See notes on CFC11
</t>
        </r>
      </text>
    </comment>
    <comment ref="K254" authorId="0" shapeId="0" xr:uid="{00000000-0006-0000-0900-000083030000}">
      <text>
        <r>
          <rPr>
            <sz val="9"/>
            <color indexed="81"/>
            <rFont val="Tahoma"/>
            <family val="2"/>
          </rPr>
          <t xml:space="preserve">See notes on CFC11
</t>
        </r>
      </text>
    </comment>
    <comment ref="D255" authorId="0" shapeId="0" xr:uid="{00000000-0006-0000-0900-000084030000}">
      <text>
        <r>
          <rPr>
            <sz val="9"/>
            <color indexed="81"/>
            <rFont val="Tahoma"/>
            <family val="2"/>
          </rPr>
          <t xml:space="preserve">No GWP estimation found in literature, the value is an estimated magnutude assuming similarity with H,F and Br containing haloorganic compounds.
</t>
        </r>
      </text>
    </comment>
    <comment ref="H255" authorId="0" shapeId="0" xr:uid="{00000000-0006-0000-0900-000085030000}">
      <text>
        <r>
          <rPr>
            <sz val="9"/>
            <color indexed="81"/>
            <rFont val="Tahoma"/>
            <family val="2"/>
          </rPr>
          <t xml:space="preserve">See note on CFC-11
</t>
        </r>
      </text>
    </comment>
    <comment ref="J255" authorId="0" shapeId="0" xr:uid="{00000000-0006-0000-0900-000086030000}">
      <text>
        <r>
          <rPr>
            <sz val="9"/>
            <color indexed="81"/>
            <rFont val="Tahoma"/>
            <family val="2"/>
          </rPr>
          <t xml:space="preserve">See notes on CFC11
</t>
        </r>
      </text>
    </comment>
    <comment ref="K255" authorId="0" shapeId="0" xr:uid="{00000000-0006-0000-0900-000087030000}">
      <text>
        <r>
          <rPr>
            <sz val="9"/>
            <color indexed="81"/>
            <rFont val="Tahoma"/>
            <family val="2"/>
          </rPr>
          <t xml:space="preserve">See notes on CFC11
</t>
        </r>
      </text>
    </comment>
    <comment ref="D256" authorId="0" shapeId="0" xr:uid="{00000000-0006-0000-0900-000088030000}">
      <text>
        <r>
          <rPr>
            <sz val="9"/>
            <color indexed="81"/>
            <rFont val="Tahoma"/>
            <family val="2"/>
          </rPr>
          <t xml:space="preserve">No GWP estimation found in literature, the value is an estimated magnutude assuming similarity with H,F and Br containing haloorganic compounds.
</t>
        </r>
      </text>
    </comment>
    <comment ref="G256" authorId="0" shapeId="0" xr:uid="{00000000-0006-0000-0900-000089030000}">
      <text>
        <r>
          <rPr>
            <sz val="9"/>
            <color indexed="81"/>
            <rFont val="Tahoma"/>
            <family val="2"/>
          </rPr>
          <t>Uncertainty factor estimated from value interval given by USEPA list on
Class I Ozone-depleting Substances 2014</t>
        </r>
      </text>
    </comment>
    <comment ref="H256" authorId="0" shapeId="0" xr:uid="{00000000-0006-0000-0900-00008A030000}">
      <text>
        <r>
          <rPr>
            <sz val="9"/>
            <color indexed="81"/>
            <rFont val="Tahoma"/>
            <family val="2"/>
          </rPr>
          <t xml:space="preserve">See note on CFC-11
</t>
        </r>
      </text>
    </comment>
    <comment ref="J256" authorId="0" shapeId="0" xr:uid="{00000000-0006-0000-0900-00008B030000}">
      <text>
        <r>
          <rPr>
            <sz val="9"/>
            <color indexed="81"/>
            <rFont val="Tahoma"/>
            <family val="2"/>
          </rPr>
          <t xml:space="preserve">See notes on CFC11
</t>
        </r>
      </text>
    </comment>
    <comment ref="K256" authorId="0" shapeId="0" xr:uid="{00000000-0006-0000-0900-00008C030000}">
      <text>
        <r>
          <rPr>
            <sz val="9"/>
            <color indexed="81"/>
            <rFont val="Tahoma"/>
            <family val="2"/>
          </rPr>
          <t xml:space="preserve">See notes on CFC11
</t>
        </r>
      </text>
    </comment>
    <comment ref="D257" authorId="0" shapeId="0" xr:uid="{00000000-0006-0000-0900-00008D030000}">
      <text>
        <r>
          <rPr>
            <sz val="9"/>
            <color indexed="81"/>
            <rFont val="Tahoma"/>
            <family val="2"/>
          </rPr>
          <t xml:space="preserve">No GWP estimation found in literature, the value is an estimated magnutude assuming similarity with H,F and Br containing haloorganic compounds.
</t>
        </r>
      </text>
    </comment>
    <comment ref="H257" authorId="0" shapeId="0" xr:uid="{00000000-0006-0000-0900-00008E030000}">
      <text>
        <r>
          <rPr>
            <sz val="9"/>
            <color indexed="81"/>
            <rFont val="Tahoma"/>
            <family val="2"/>
          </rPr>
          <t xml:space="preserve">See note on CFC-11
</t>
        </r>
      </text>
    </comment>
    <comment ref="J257" authorId="0" shapeId="0" xr:uid="{00000000-0006-0000-0900-00008F030000}">
      <text>
        <r>
          <rPr>
            <sz val="9"/>
            <color indexed="81"/>
            <rFont val="Tahoma"/>
            <family val="2"/>
          </rPr>
          <t xml:space="preserve">See notes on CFC11
</t>
        </r>
      </text>
    </comment>
    <comment ref="K257" authorId="0" shapeId="0" xr:uid="{00000000-0006-0000-0900-000090030000}">
      <text>
        <r>
          <rPr>
            <sz val="9"/>
            <color indexed="81"/>
            <rFont val="Tahoma"/>
            <family val="2"/>
          </rPr>
          <t xml:space="preserve">See notes on CFC11
</t>
        </r>
      </text>
    </comment>
    <comment ref="D258" authorId="0" shapeId="0" xr:uid="{00000000-0006-0000-0900-000091030000}">
      <text>
        <r>
          <rPr>
            <sz val="9"/>
            <color indexed="81"/>
            <rFont val="Tahoma"/>
            <family val="2"/>
          </rPr>
          <t xml:space="preserve">No GWP estimation found in literature, the value is an estimated magnutude assuming similarity with H,F and Br containing haloorganic compounds.
</t>
        </r>
      </text>
    </comment>
    <comment ref="H258" authorId="0" shapeId="0" xr:uid="{00000000-0006-0000-0900-000092030000}">
      <text>
        <r>
          <rPr>
            <sz val="9"/>
            <color indexed="81"/>
            <rFont val="Tahoma"/>
            <family val="2"/>
          </rPr>
          <t xml:space="preserve">See note on CFC-11
</t>
        </r>
      </text>
    </comment>
    <comment ref="J258" authorId="0" shapeId="0" xr:uid="{00000000-0006-0000-0900-000093030000}">
      <text>
        <r>
          <rPr>
            <sz val="9"/>
            <color indexed="81"/>
            <rFont val="Tahoma"/>
            <family val="2"/>
          </rPr>
          <t xml:space="preserve">See notes on CFC11
</t>
        </r>
      </text>
    </comment>
    <comment ref="K258" authorId="0" shapeId="0" xr:uid="{00000000-0006-0000-0900-000094030000}">
      <text>
        <r>
          <rPr>
            <sz val="9"/>
            <color indexed="81"/>
            <rFont val="Tahoma"/>
            <family val="2"/>
          </rPr>
          <t xml:space="preserve">See notes on CFC11
</t>
        </r>
      </text>
    </comment>
    <comment ref="D259" authorId="0" shapeId="0" xr:uid="{00000000-0006-0000-0900-000095030000}">
      <text>
        <r>
          <rPr>
            <sz val="9"/>
            <color indexed="81"/>
            <rFont val="Tahoma"/>
            <family val="2"/>
          </rPr>
          <t xml:space="preserve">No GWP estimation found in literature, the value is an estimated magnutude assuming similarity with H,F and Br containing haloorganic compounds.
</t>
        </r>
      </text>
    </comment>
    <comment ref="H259" authorId="0" shapeId="0" xr:uid="{00000000-0006-0000-0900-000096030000}">
      <text>
        <r>
          <rPr>
            <sz val="9"/>
            <color indexed="81"/>
            <rFont val="Tahoma"/>
            <family val="2"/>
          </rPr>
          <t xml:space="preserve">See note on CFC-11
</t>
        </r>
      </text>
    </comment>
    <comment ref="J259" authorId="0" shapeId="0" xr:uid="{00000000-0006-0000-0900-000097030000}">
      <text>
        <r>
          <rPr>
            <sz val="9"/>
            <color indexed="81"/>
            <rFont val="Tahoma"/>
            <family val="2"/>
          </rPr>
          <t xml:space="preserve">See notes on CFC11
</t>
        </r>
      </text>
    </comment>
    <comment ref="K259" authorId="0" shapeId="0" xr:uid="{00000000-0006-0000-0900-000098030000}">
      <text>
        <r>
          <rPr>
            <sz val="9"/>
            <color indexed="81"/>
            <rFont val="Tahoma"/>
            <family val="2"/>
          </rPr>
          <t xml:space="preserve">See notes on CFC11
</t>
        </r>
      </text>
    </comment>
    <comment ref="D260" authorId="0" shapeId="0" xr:uid="{00000000-0006-0000-0900-000099030000}">
      <text>
        <r>
          <rPr>
            <sz val="9"/>
            <color indexed="81"/>
            <rFont val="Tahoma"/>
            <family val="2"/>
          </rPr>
          <t xml:space="preserve">No GWP estimation found in literature, the value is an estimated magnutude assuming similarity with H,F and Br containing haloorganic compounds.
</t>
        </r>
      </text>
    </comment>
    <comment ref="H260" authorId="0" shapeId="0" xr:uid="{00000000-0006-0000-0900-00009A030000}">
      <text>
        <r>
          <rPr>
            <sz val="9"/>
            <color indexed="81"/>
            <rFont val="Tahoma"/>
            <family val="2"/>
          </rPr>
          <t xml:space="preserve">See note on CFC-11
</t>
        </r>
      </text>
    </comment>
    <comment ref="J260" authorId="0" shapeId="0" xr:uid="{00000000-0006-0000-0900-00009B030000}">
      <text>
        <r>
          <rPr>
            <sz val="9"/>
            <color indexed="81"/>
            <rFont val="Tahoma"/>
            <family val="2"/>
          </rPr>
          <t xml:space="preserve">See notes on CFC11
</t>
        </r>
      </text>
    </comment>
    <comment ref="K260" authorId="0" shapeId="0" xr:uid="{00000000-0006-0000-0900-00009C030000}">
      <text>
        <r>
          <rPr>
            <sz val="9"/>
            <color indexed="81"/>
            <rFont val="Tahoma"/>
            <family val="2"/>
          </rPr>
          <t xml:space="preserve">See notes on CFC11
</t>
        </r>
      </text>
    </comment>
    <comment ref="D261" authorId="0" shapeId="0" xr:uid="{00000000-0006-0000-0900-00009D030000}">
      <text>
        <r>
          <rPr>
            <sz val="9"/>
            <color indexed="81"/>
            <rFont val="Tahoma"/>
            <family val="2"/>
          </rPr>
          <t xml:space="preserve">No GWP estimation found in literature, the value is an estimated magnutude assuming similarity with H,F and Br containing haloorganic compounds.
</t>
        </r>
      </text>
    </comment>
    <comment ref="H261" authorId="0" shapeId="0" xr:uid="{00000000-0006-0000-0900-00009E030000}">
      <text>
        <r>
          <rPr>
            <sz val="9"/>
            <color indexed="81"/>
            <rFont val="Tahoma"/>
            <family val="2"/>
          </rPr>
          <t xml:space="preserve">See note on CFC-11
</t>
        </r>
      </text>
    </comment>
    <comment ref="J261" authorId="0" shapeId="0" xr:uid="{00000000-0006-0000-0900-00009F030000}">
      <text>
        <r>
          <rPr>
            <sz val="9"/>
            <color indexed="81"/>
            <rFont val="Tahoma"/>
            <family val="2"/>
          </rPr>
          <t xml:space="preserve">See notes on CFC11
</t>
        </r>
      </text>
    </comment>
    <comment ref="K261" authorId="0" shapeId="0" xr:uid="{00000000-0006-0000-0900-0000A0030000}">
      <text>
        <r>
          <rPr>
            <sz val="9"/>
            <color indexed="81"/>
            <rFont val="Tahoma"/>
            <family val="2"/>
          </rPr>
          <t xml:space="preserve">See notes on CFC11
</t>
        </r>
      </text>
    </comment>
    <comment ref="D262" authorId="0" shapeId="0" xr:uid="{00000000-0006-0000-0900-0000A1030000}">
      <text>
        <r>
          <rPr>
            <sz val="9"/>
            <color indexed="81"/>
            <rFont val="Tahoma"/>
            <family val="2"/>
          </rPr>
          <t xml:space="preserve">No GWP estimation found in literature, the value is an estimated magnutude assuming similarity with H,F and Br containing haloorganic compounds.
</t>
        </r>
      </text>
    </comment>
    <comment ref="H262" authorId="0" shapeId="0" xr:uid="{00000000-0006-0000-0900-0000A2030000}">
      <text>
        <r>
          <rPr>
            <sz val="9"/>
            <color indexed="81"/>
            <rFont val="Tahoma"/>
            <family val="2"/>
          </rPr>
          <t xml:space="preserve">See note on CFC-11
</t>
        </r>
      </text>
    </comment>
    <comment ref="J262" authorId="0" shapeId="0" xr:uid="{00000000-0006-0000-0900-0000A3030000}">
      <text>
        <r>
          <rPr>
            <sz val="9"/>
            <color indexed="81"/>
            <rFont val="Tahoma"/>
            <family val="2"/>
          </rPr>
          <t xml:space="preserve">See notes on CFC11
</t>
        </r>
      </text>
    </comment>
    <comment ref="K262" authorId="0" shapeId="0" xr:uid="{00000000-0006-0000-0900-0000A4030000}">
      <text>
        <r>
          <rPr>
            <sz val="9"/>
            <color indexed="81"/>
            <rFont val="Tahoma"/>
            <family val="2"/>
          </rPr>
          <t xml:space="preserve">See notes on CFC11
</t>
        </r>
      </text>
    </comment>
    <comment ref="D263" authorId="0" shapeId="0" xr:uid="{00000000-0006-0000-0900-0000A5030000}">
      <text>
        <r>
          <rPr>
            <sz val="9"/>
            <color indexed="81"/>
            <rFont val="Tahoma"/>
            <family val="2"/>
          </rPr>
          <t xml:space="preserve">No GWP estimation found in literature, the value is an estimated magnutude assuming similarity with H,F and Br containing haloorganic compounds.
</t>
        </r>
      </text>
    </comment>
    <comment ref="H263" authorId="0" shapeId="0" xr:uid="{00000000-0006-0000-0900-0000A6030000}">
      <text>
        <r>
          <rPr>
            <sz val="9"/>
            <color indexed="81"/>
            <rFont val="Tahoma"/>
            <family val="2"/>
          </rPr>
          <t xml:space="preserve">See note on CFC-11
</t>
        </r>
      </text>
    </comment>
    <comment ref="J263" authorId="0" shapeId="0" xr:uid="{00000000-0006-0000-0900-0000A7030000}">
      <text>
        <r>
          <rPr>
            <sz val="9"/>
            <color indexed="81"/>
            <rFont val="Tahoma"/>
            <family val="2"/>
          </rPr>
          <t xml:space="preserve">See notes on CFC11
</t>
        </r>
      </text>
    </comment>
    <comment ref="K263" authorId="0" shapeId="0" xr:uid="{00000000-0006-0000-0900-0000A8030000}">
      <text>
        <r>
          <rPr>
            <sz val="9"/>
            <color indexed="81"/>
            <rFont val="Tahoma"/>
            <family val="2"/>
          </rPr>
          <t xml:space="preserve">See notes on CFC11
</t>
        </r>
      </text>
    </comment>
    <comment ref="D264" authorId="0" shapeId="0" xr:uid="{00000000-0006-0000-0900-0000A9030000}">
      <text>
        <r>
          <rPr>
            <sz val="9"/>
            <color indexed="81"/>
            <rFont val="Tahoma"/>
            <family val="2"/>
          </rPr>
          <t xml:space="preserve">No GWP estimation found in literature, the value is an estimated magnutude assuming similarity with H,F and Br containing haloorganic compounds.
</t>
        </r>
      </text>
    </comment>
    <comment ref="H264" authorId="0" shapeId="0" xr:uid="{00000000-0006-0000-0900-0000AA030000}">
      <text>
        <r>
          <rPr>
            <sz val="9"/>
            <color indexed="81"/>
            <rFont val="Tahoma"/>
            <family val="2"/>
          </rPr>
          <t xml:space="preserve">See note on CFC-11
</t>
        </r>
      </text>
    </comment>
    <comment ref="J264" authorId="0" shapeId="0" xr:uid="{00000000-0006-0000-0900-0000AB030000}">
      <text>
        <r>
          <rPr>
            <sz val="9"/>
            <color indexed="81"/>
            <rFont val="Tahoma"/>
            <family val="2"/>
          </rPr>
          <t xml:space="preserve">See notes on CFC11
</t>
        </r>
      </text>
    </comment>
    <comment ref="K264" authorId="0" shapeId="0" xr:uid="{00000000-0006-0000-0900-0000AC030000}">
      <text>
        <r>
          <rPr>
            <sz val="9"/>
            <color indexed="81"/>
            <rFont val="Tahoma"/>
            <family val="2"/>
          </rPr>
          <t xml:space="preserve">See notes on CFC11
</t>
        </r>
      </text>
    </comment>
    <comment ref="D265" authorId="0" shapeId="0" xr:uid="{00000000-0006-0000-0900-0000AD030000}">
      <text>
        <r>
          <rPr>
            <sz val="9"/>
            <color indexed="81"/>
            <rFont val="Tahoma"/>
            <family val="2"/>
          </rPr>
          <t xml:space="preserve">No GWP estimation found in literature, the value is an estimated magnutude assuming similarity with H,F and Br containing haloorganic compounds.
</t>
        </r>
      </text>
    </comment>
    <comment ref="H265" authorId="0" shapeId="0" xr:uid="{00000000-0006-0000-0900-0000AE030000}">
      <text>
        <r>
          <rPr>
            <sz val="9"/>
            <color indexed="81"/>
            <rFont val="Tahoma"/>
            <family val="2"/>
          </rPr>
          <t xml:space="preserve">See note on CFC-11
</t>
        </r>
      </text>
    </comment>
    <comment ref="J265" authorId="0" shapeId="0" xr:uid="{00000000-0006-0000-0900-0000AF030000}">
      <text>
        <r>
          <rPr>
            <sz val="9"/>
            <color indexed="81"/>
            <rFont val="Tahoma"/>
            <family val="2"/>
          </rPr>
          <t xml:space="preserve">See notes on CFC11
</t>
        </r>
      </text>
    </comment>
    <comment ref="K265" authorId="0" shapeId="0" xr:uid="{00000000-0006-0000-0900-0000B0030000}">
      <text>
        <r>
          <rPr>
            <sz val="9"/>
            <color indexed="81"/>
            <rFont val="Tahoma"/>
            <family val="2"/>
          </rPr>
          <t xml:space="preserve">See notes on CFC11
</t>
        </r>
      </text>
    </comment>
    <comment ref="D266" authorId="0" shapeId="0" xr:uid="{00000000-0006-0000-0900-0000B1030000}">
      <text>
        <r>
          <rPr>
            <sz val="9"/>
            <color indexed="81"/>
            <rFont val="Tahoma"/>
            <family val="2"/>
          </rPr>
          <t xml:space="preserve">No GWP estimation found in literature, the value is an estimated magnutude assuming similarity with H,F and Br containing haloorganic compounds.
</t>
        </r>
      </text>
    </comment>
    <comment ref="H266" authorId="0" shapeId="0" xr:uid="{00000000-0006-0000-0900-0000B2030000}">
      <text>
        <r>
          <rPr>
            <sz val="9"/>
            <color indexed="81"/>
            <rFont val="Tahoma"/>
            <family val="2"/>
          </rPr>
          <t xml:space="preserve">See note on CFC-11
</t>
        </r>
      </text>
    </comment>
    <comment ref="J266" authorId="0" shapeId="0" xr:uid="{00000000-0006-0000-0900-0000B3030000}">
      <text>
        <r>
          <rPr>
            <sz val="9"/>
            <color indexed="81"/>
            <rFont val="Tahoma"/>
            <family val="2"/>
          </rPr>
          <t xml:space="preserve">See notes on CFC11
</t>
        </r>
      </text>
    </comment>
    <comment ref="K266" authorId="0" shapeId="0" xr:uid="{00000000-0006-0000-0900-0000B4030000}">
      <text>
        <r>
          <rPr>
            <sz val="9"/>
            <color indexed="81"/>
            <rFont val="Tahoma"/>
            <family val="2"/>
          </rPr>
          <t xml:space="preserve">See notes on CFC11
</t>
        </r>
      </text>
    </comment>
    <comment ref="D267" authorId="0" shapeId="0" xr:uid="{00000000-0006-0000-0900-0000B5030000}">
      <text>
        <r>
          <rPr>
            <sz val="9"/>
            <color indexed="81"/>
            <rFont val="Tahoma"/>
            <family val="2"/>
          </rPr>
          <t xml:space="preserve">No GWP estimation found in literature, the value is an estimated magnutude assuming similarity with H,F and Br containing haloorganic compounds.
</t>
        </r>
      </text>
    </comment>
    <comment ref="H267" authorId="0" shapeId="0" xr:uid="{00000000-0006-0000-0900-0000B6030000}">
      <text>
        <r>
          <rPr>
            <sz val="9"/>
            <color indexed="81"/>
            <rFont val="Tahoma"/>
            <family val="2"/>
          </rPr>
          <t xml:space="preserve">See note on CFC-11
</t>
        </r>
      </text>
    </comment>
    <comment ref="J267" authorId="0" shapeId="0" xr:uid="{00000000-0006-0000-0900-0000B7030000}">
      <text>
        <r>
          <rPr>
            <sz val="9"/>
            <color indexed="81"/>
            <rFont val="Tahoma"/>
            <family val="2"/>
          </rPr>
          <t xml:space="preserve">See notes on CFC11
</t>
        </r>
      </text>
    </comment>
    <comment ref="K267" authorId="0" shapeId="0" xr:uid="{00000000-0006-0000-0900-0000B8030000}">
      <text>
        <r>
          <rPr>
            <sz val="9"/>
            <color indexed="81"/>
            <rFont val="Tahoma"/>
            <family val="2"/>
          </rPr>
          <t xml:space="preserve">See notes on CFC11
</t>
        </r>
      </text>
    </comment>
    <comment ref="D268" authorId="0" shapeId="0" xr:uid="{00000000-0006-0000-0900-0000B9030000}">
      <text>
        <r>
          <rPr>
            <sz val="9"/>
            <color indexed="81"/>
            <rFont val="Tahoma"/>
            <family val="2"/>
          </rPr>
          <t xml:space="preserve">No GWP estimation found in literature, the value is an estimated magnutude assuming similarity with H,F and Br containing haloorganic compounds.
</t>
        </r>
      </text>
    </comment>
    <comment ref="H268" authorId="0" shapeId="0" xr:uid="{00000000-0006-0000-0900-0000BA030000}">
      <text>
        <r>
          <rPr>
            <sz val="9"/>
            <color indexed="81"/>
            <rFont val="Tahoma"/>
            <family val="2"/>
          </rPr>
          <t xml:space="preserve">See note on CFC-11
</t>
        </r>
      </text>
    </comment>
    <comment ref="J268" authorId="0" shapeId="0" xr:uid="{00000000-0006-0000-0900-0000BB030000}">
      <text>
        <r>
          <rPr>
            <sz val="9"/>
            <color indexed="81"/>
            <rFont val="Tahoma"/>
            <family val="2"/>
          </rPr>
          <t xml:space="preserve">See notes on CFC11
</t>
        </r>
      </text>
    </comment>
    <comment ref="K268" authorId="0" shapeId="0" xr:uid="{00000000-0006-0000-0900-0000BC030000}">
      <text>
        <r>
          <rPr>
            <sz val="9"/>
            <color indexed="81"/>
            <rFont val="Tahoma"/>
            <family val="2"/>
          </rPr>
          <t xml:space="preserve">See notes on CFC11
</t>
        </r>
      </text>
    </comment>
    <comment ref="D269" authorId="0" shapeId="0" xr:uid="{00000000-0006-0000-0900-0000BD030000}">
      <text>
        <r>
          <rPr>
            <sz val="9"/>
            <color indexed="81"/>
            <rFont val="Tahoma"/>
            <family val="2"/>
          </rPr>
          <t xml:space="preserve">No GWP estimation found in literature, the value is an estimated magnutude assuming similarity with H,F and Br containing haloorganic compounds.
</t>
        </r>
      </text>
    </comment>
    <comment ref="H269" authorId="0" shapeId="0" xr:uid="{00000000-0006-0000-0900-0000BE030000}">
      <text>
        <r>
          <rPr>
            <sz val="9"/>
            <color indexed="81"/>
            <rFont val="Tahoma"/>
            <family val="2"/>
          </rPr>
          <t xml:space="preserve">See note on CFC-11
</t>
        </r>
      </text>
    </comment>
    <comment ref="J269" authorId="0" shapeId="0" xr:uid="{00000000-0006-0000-0900-0000BF030000}">
      <text>
        <r>
          <rPr>
            <sz val="9"/>
            <color indexed="81"/>
            <rFont val="Tahoma"/>
            <family val="2"/>
          </rPr>
          <t xml:space="preserve">See notes on CFC11
</t>
        </r>
      </text>
    </comment>
    <comment ref="K269" authorId="0" shapeId="0" xr:uid="{00000000-0006-0000-0900-0000C0030000}">
      <text>
        <r>
          <rPr>
            <sz val="9"/>
            <color indexed="81"/>
            <rFont val="Tahoma"/>
            <family val="2"/>
          </rPr>
          <t xml:space="preserve">See notes on CFC11
</t>
        </r>
      </text>
    </comment>
    <comment ref="D270" authorId="0" shapeId="0" xr:uid="{00000000-0006-0000-0900-0000C1030000}">
      <text>
        <r>
          <rPr>
            <sz val="9"/>
            <color indexed="81"/>
            <rFont val="Tahoma"/>
            <family val="2"/>
          </rPr>
          <t xml:space="preserve">No GWP estimation found in literature, the value is an estimated magnutude assuming similarity with H,F and Br containing haloorganic compounds.
</t>
        </r>
      </text>
    </comment>
    <comment ref="H270" authorId="0" shapeId="0" xr:uid="{00000000-0006-0000-0900-0000C2030000}">
      <text>
        <r>
          <rPr>
            <sz val="9"/>
            <color indexed="81"/>
            <rFont val="Tahoma"/>
            <family val="2"/>
          </rPr>
          <t xml:space="preserve">See note on CFC-11
</t>
        </r>
      </text>
    </comment>
    <comment ref="J270" authorId="0" shapeId="0" xr:uid="{00000000-0006-0000-0900-0000C3030000}">
      <text>
        <r>
          <rPr>
            <sz val="9"/>
            <color indexed="81"/>
            <rFont val="Tahoma"/>
            <family val="2"/>
          </rPr>
          <t xml:space="preserve">See notes on CFC11
</t>
        </r>
      </text>
    </comment>
    <comment ref="K270" authorId="0" shapeId="0" xr:uid="{00000000-0006-0000-0900-0000C4030000}">
      <text>
        <r>
          <rPr>
            <sz val="9"/>
            <color indexed="81"/>
            <rFont val="Tahoma"/>
            <family val="2"/>
          </rPr>
          <t xml:space="preserve">See notes on CFC11
</t>
        </r>
      </text>
    </comment>
    <comment ref="D271" authorId="0" shapeId="0" xr:uid="{00000000-0006-0000-0900-0000C5030000}">
      <text>
        <r>
          <rPr>
            <sz val="9"/>
            <color indexed="81"/>
            <rFont val="Tahoma"/>
            <family val="2"/>
          </rPr>
          <t xml:space="preserve">No GWP estimation found in literature, the value is an estimated magnutude assuming similarity with H,F and Br containing haloorganic compounds.
</t>
        </r>
      </text>
    </comment>
    <comment ref="H271" authorId="0" shapeId="0" xr:uid="{00000000-0006-0000-0900-0000C6030000}">
      <text>
        <r>
          <rPr>
            <sz val="9"/>
            <color indexed="81"/>
            <rFont val="Tahoma"/>
            <family val="2"/>
          </rPr>
          <t xml:space="preserve">See note on CFC-11
</t>
        </r>
      </text>
    </comment>
    <comment ref="J271" authorId="0" shapeId="0" xr:uid="{00000000-0006-0000-0900-0000C7030000}">
      <text>
        <r>
          <rPr>
            <sz val="9"/>
            <color indexed="81"/>
            <rFont val="Tahoma"/>
            <family val="2"/>
          </rPr>
          <t xml:space="preserve">See notes on CFC11
</t>
        </r>
      </text>
    </comment>
    <comment ref="K271" authorId="0" shapeId="0" xr:uid="{00000000-0006-0000-0900-0000C8030000}">
      <text>
        <r>
          <rPr>
            <sz val="9"/>
            <color indexed="81"/>
            <rFont val="Tahoma"/>
            <family val="2"/>
          </rPr>
          <t xml:space="preserve">See notes on CFC11
</t>
        </r>
      </text>
    </comment>
    <comment ref="D272" authorId="0" shapeId="0" xr:uid="{00000000-0006-0000-0900-0000C9030000}">
      <text>
        <r>
          <rPr>
            <sz val="9"/>
            <color indexed="81"/>
            <rFont val="Tahoma"/>
            <family val="2"/>
          </rPr>
          <t xml:space="preserve">No GWP estimation found in literature, the value is an estimated magnutude assuming similarity with H,F and Br containing haloorganic compounds.
</t>
        </r>
      </text>
    </comment>
    <comment ref="H272" authorId="0" shapeId="0" xr:uid="{00000000-0006-0000-0900-0000CA030000}">
      <text>
        <r>
          <rPr>
            <sz val="9"/>
            <color indexed="81"/>
            <rFont val="Tahoma"/>
            <family val="2"/>
          </rPr>
          <t xml:space="preserve">See note on CFC-11
</t>
        </r>
      </text>
    </comment>
    <comment ref="J272" authorId="0" shapeId="0" xr:uid="{00000000-0006-0000-0900-0000CB030000}">
      <text>
        <r>
          <rPr>
            <sz val="9"/>
            <color indexed="81"/>
            <rFont val="Tahoma"/>
            <family val="2"/>
          </rPr>
          <t xml:space="preserve">See notes on CFC11
</t>
        </r>
      </text>
    </comment>
    <comment ref="K272" authorId="0" shapeId="0" xr:uid="{00000000-0006-0000-0900-0000CC030000}">
      <text>
        <r>
          <rPr>
            <sz val="9"/>
            <color indexed="81"/>
            <rFont val="Tahoma"/>
            <family val="2"/>
          </rPr>
          <t xml:space="preserve">See notes on CFC11
</t>
        </r>
      </text>
    </comment>
    <comment ref="D273" authorId="0" shapeId="0" xr:uid="{00000000-0006-0000-0900-0000CD030000}">
      <text>
        <r>
          <rPr>
            <sz val="9"/>
            <color indexed="81"/>
            <rFont val="Tahoma"/>
            <family val="2"/>
          </rPr>
          <t xml:space="preserve">No GWP estimation found in literature, the value is an estimated magnutude assuming similarity with H,F and Br containing haloorganic compounds.
</t>
        </r>
      </text>
    </comment>
    <comment ref="H273" authorId="0" shapeId="0" xr:uid="{00000000-0006-0000-0900-0000CE030000}">
      <text>
        <r>
          <rPr>
            <sz val="9"/>
            <color indexed="81"/>
            <rFont val="Tahoma"/>
            <family val="2"/>
          </rPr>
          <t xml:space="preserve">See note on CFC-11
</t>
        </r>
      </text>
    </comment>
    <comment ref="J273" authorId="0" shapeId="0" xr:uid="{00000000-0006-0000-0900-0000CF030000}">
      <text>
        <r>
          <rPr>
            <sz val="9"/>
            <color indexed="81"/>
            <rFont val="Tahoma"/>
            <family val="2"/>
          </rPr>
          <t xml:space="preserve">See notes on CFC11
</t>
        </r>
      </text>
    </comment>
    <comment ref="K273" authorId="0" shapeId="0" xr:uid="{00000000-0006-0000-0900-0000D0030000}">
      <text>
        <r>
          <rPr>
            <sz val="9"/>
            <color indexed="81"/>
            <rFont val="Tahoma"/>
            <family val="2"/>
          </rPr>
          <t xml:space="preserve">See notes on CFC11
</t>
        </r>
      </text>
    </comment>
    <comment ref="D274" authorId="0" shapeId="0" xr:uid="{00000000-0006-0000-0900-0000D1030000}">
      <text>
        <r>
          <rPr>
            <sz val="9"/>
            <color indexed="81"/>
            <rFont val="Tahoma"/>
            <family val="2"/>
          </rPr>
          <t xml:space="preserve">No GWP estimation found in literature, the value is an estimated magnutude assuming similarity with H,F and Br containing haloorganic compounds.
</t>
        </r>
      </text>
    </comment>
    <comment ref="H274" authorId="0" shapeId="0" xr:uid="{00000000-0006-0000-0900-0000D2030000}">
      <text>
        <r>
          <rPr>
            <sz val="9"/>
            <color indexed="81"/>
            <rFont val="Tahoma"/>
            <family val="2"/>
          </rPr>
          <t xml:space="preserve">See note on CFC-11
</t>
        </r>
      </text>
    </comment>
    <comment ref="J274" authorId="0" shapeId="0" xr:uid="{00000000-0006-0000-0900-0000D3030000}">
      <text>
        <r>
          <rPr>
            <sz val="9"/>
            <color indexed="81"/>
            <rFont val="Tahoma"/>
            <family val="2"/>
          </rPr>
          <t xml:space="preserve">See notes on CFC11
</t>
        </r>
      </text>
    </comment>
    <comment ref="K274" authorId="0" shapeId="0" xr:uid="{00000000-0006-0000-0900-0000D4030000}">
      <text>
        <r>
          <rPr>
            <sz val="9"/>
            <color indexed="81"/>
            <rFont val="Tahoma"/>
            <family val="2"/>
          </rPr>
          <t xml:space="preserve">See notes on CFC11
</t>
        </r>
      </text>
    </comment>
    <comment ref="D275" authorId="0" shapeId="0" xr:uid="{00000000-0006-0000-0900-0000D5030000}">
      <text>
        <r>
          <rPr>
            <sz val="9"/>
            <color indexed="81"/>
            <rFont val="Tahoma"/>
            <family val="2"/>
          </rPr>
          <t xml:space="preserve">No GWP estimation found in literature, the value is an estimated magnutude assuming similarity with H,F and Br containing haloorganic compounds.
</t>
        </r>
      </text>
    </comment>
    <comment ref="H275" authorId="0" shapeId="0" xr:uid="{00000000-0006-0000-0900-0000D6030000}">
      <text>
        <r>
          <rPr>
            <sz val="9"/>
            <color indexed="81"/>
            <rFont val="Tahoma"/>
            <family val="2"/>
          </rPr>
          <t xml:space="preserve">See note on CFC-11
</t>
        </r>
      </text>
    </comment>
    <comment ref="J275" authorId="0" shapeId="0" xr:uid="{00000000-0006-0000-0900-0000D7030000}">
      <text>
        <r>
          <rPr>
            <sz val="9"/>
            <color indexed="81"/>
            <rFont val="Tahoma"/>
            <family val="2"/>
          </rPr>
          <t xml:space="preserve">See notes on CFC11
</t>
        </r>
      </text>
    </comment>
    <comment ref="K275" authorId="0" shapeId="0" xr:uid="{00000000-0006-0000-0900-0000D8030000}">
      <text>
        <r>
          <rPr>
            <sz val="9"/>
            <color indexed="81"/>
            <rFont val="Tahoma"/>
            <family val="2"/>
          </rPr>
          <t xml:space="preserve">See notes on CFC11
</t>
        </r>
      </text>
    </comment>
    <comment ref="D276" authorId="0" shapeId="0" xr:uid="{00000000-0006-0000-0900-0000D9030000}">
      <text>
        <r>
          <rPr>
            <sz val="9"/>
            <color indexed="81"/>
            <rFont val="Tahoma"/>
            <family val="2"/>
          </rPr>
          <t xml:space="preserve">No GWP estimation found in literature, the value is an estimated magnutude assuming similarity with H,F and Br containing haloorganic compounds.
</t>
        </r>
      </text>
    </comment>
    <comment ref="H276" authorId="0" shapeId="0" xr:uid="{00000000-0006-0000-0900-0000DA030000}">
      <text>
        <r>
          <rPr>
            <sz val="9"/>
            <color indexed="81"/>
            <rFont val="Tahoma"/>
            <family val="2"/>
          </rPr>
          <t xml:space="preserve">See note on CFC-11
</t>
        </r>
      </text>
    </comment>
    <comment ref="J276" authorId="0" shapeId="0" xr:uid="{00000000-0006-0000-0900-0000DB030000}">
      <text>
        <r>
          <rPr>
            <sz val="9"/>
            <color indexed="81"/>
            <rFont val="Tahoma"/>
            <family val="2"/>
          </rPr>
          <t xml:space="preserve">See notes on CFC11
</t>
        </r>
      </text>
    </comment>
    <comment ref="K276" authorId="0" shapeId="0" xr:uid="{00000000-0006-0000-0900-0000DC030000}">
      <text>
        <r>
          <rPr>
            <sz val="9"/>
            <color indexed="81"/>
            <rFont val="Tahoma"/>
            <family val="2"/>
          </rPr>
          <t xml:space="preserve">See notes on CFC11
</t>
        </r>
      </text>
    </comment>
    <comment ref="D277" authorId="0" shapeId="0" xr:uid="{00000000-0006-0000-0900-0000DD030000}">
      <text>
        <r>
          <rPr>
            <sz val="9"/>
            <color indexed="81"/>
            <rFont val="Tahoma"/>
            <family val="2"/>
          </rPr>
          <t xml:space="preserve">No GWP estimation found in literature, the value is an estimated magnutude assuming similarity with H,F and Br containing haloorganic compounds.
</t>
        </r>
      </text>
    </comment>
    <comment ref="H277" authorId="0" shapeId="0" xr:uid="{00000000-0006-0000-0900-0000DE030000}">
      <text>
        <r>
          <rPr>
            <sz val="9"/>
            <color indexed="81"/>
            <rFont val="Tahoma"/>
            <family val="2"/>
          </rPr>
          <t xml:space="preserve">See note on CFC-11
</t>
        </r>
      </text>
    </comment>
    <comment ref="J277" authorId="0" shapeId="0" xr:uid="{00000000-0006-0000-0900-0000DF030000}">
      <text>
        <r>
          <rPr>
            <sz val="9"/>
            <color indexed="81"/>
            <rFont val="Tahoma"/>
            <family val="2"/>
          </rPr>
          <t xml:space="preserve">See notes on CFC11
</t>
        </r>
      </text>
    </comment>
    <comment ref="K277" authorId="0" shapeId="0" xr:uid="{00000000-0006-0000-0900-0000E0030000}">
      <text>
        <r>
          <rPr>
            <sz val="9"/>
            <color indexed="81"/>
            <rFont val="Tahoma"/>
            <family val="2"/>
          </rPr>
          <t xml:space="preserve">See notes on CFC11
</t>
        </r>
      </text>
    </comment>
    <comment ref="D278" authorId="0" shapeId="0" xr:uid="{00000000-0006-0000-0900-0000E1030000}">
      <text>
        <r>
          <rPr>
            <sz val="9"/>
            <color indexed="81"/>
            <rFont val="Tahoma"/>
            <family val="2"/>
          </rPr>
          <t xml:space="preserve">No GWP estimation found in literature, the value is an estimated magnutude assuming similarity with H,F and Br containing haloorganic compounds.
</t>
        </r>
      </text>
    </comment>
    <comment ref="H278" authorId="0" shapeId="0" xr:uid="{00000000-0006-0000-0900-0000E2030000}">
      <text>
        <r>
          <rPr>
            <sz val="9"/>
            <color indexed="81"/>
            <rFont val="Tahoma"/>
            <family val="2"/>
          </rPr>
          <t xml:space="preserve">See note on CFC-11
</t>
        </r>
      </text>
    </comment>
    <comment ref="J278" authorId="0" shapeId="0" xr:uid="{00000000-0006-0000-0900-0000E3030000}">
      <text>
        <r>
          <rPr>
            <sz val="9"/>
            <color indexed="81"/>
            <rFont val="Tahoma"/>
            <family val="2"/>
          </rPr>
          <t xml:space="preserve">See notes on CFC11
</t>
        </r>
      </text>
    </comment>
    <comment ref="K278" authorId="0" shapeId="0" xr:uid="{00000000-0006-0000-0900-0000E4030000}">
      <text>
        <r>
          <rPr>
            <sz val="9"/>
            <color indexed="81"/>
            <rFont val="Tahoma"/>
            <family val="2"/>
          </rPr>
          <t xml:space="preserve">See notes on CFC11
</t>
        </r>
      </text>
    </comment>
    <comment ref="D279" authorId="0" shapeId="0" xr:uid="{00000000-0006-0000-0900-0000E5030000}">
      <text>
        <r>
          <rPr>
            <sz val="9"/>
            <color indexed="81"/>
            <rFont val="Tahoma"/>
            <family val="2"/>
          </rPr>
          <t xml:space="preserve">No GWP estimation found in literature, the value is an estimated magnutude assuming similarity with H,F and Br containing haloorganic compounds.
</t>
        </r>
      </text>
    </comment>
    <comment ref="H279" authorId="0" shapeId="0" xr:uid="{00000000-0006-0000-0900-0000E6030000}">
      <text>
        <r>
          <rPr>
            <sz val="9"/>
            <color indexed="81"/>
            <rFont val="Tahoma"/>
            <family val="2"/>
          </rPr>
          <t xml:space="preserve">See note on CFC-11
</t>
        </r>
      </text>
    </comment>
    <comment ref="J279" authorId="0" shapeId="0" xr:uid="{00000000-0006-0000-0900-0000E7030000}">
      <text>
        <r>
          <rPr>
            <sz val="9"/>
            <color indexed="81"/>
            <rFont val="Tahoma"/>
            <family val="2"/>
          </rPr>
          <t xml:space="preserve">See notes on CFC11
</t>
        </r>
      </text>
    </comment>
    <comment ref="K279" authorId="0" shapeId="0" xr:uid="{00000000-0006-0000-0900-0000E8030000}">
      <text>
        <r>
          <rPr>
            <sz val="9"/>
            <color indexed="81"/>
            <rFont val="Tahoma"/>
            <family val="2"/>
          </rPr>
          <t xml:space="preserve">See notes on CFC11
</t>
        </r>
      </text>
    </comment>
    <comment ref="D280" authorId="0" shapeId="0" xr:uid="{00000000-0006-0000-0900-0000E9030000}">
      <text>
        <r>
          <rPr>
            <sz val="9"/>
            <color indexed="81"/>
            <rFont val="Tahoma"/>
            <family val="2"/>
          </rPr>
          <t xml:space="preserve">No GWP estimation found in literature, the value is an estimated magnutude assuming similarity with H,F and Br containing haloorganic compounds.
</t>
        </r>
      </text>
    </comment>
    <comment ref="H280" authorId="0" shapeId="0" xr:uid="{00000000-0006-0000-0900-0000EA030000}">
      <text>
        <r>
          <rPr>
            <sz val="9"/>
            <color indexed="81"/>
            <rFont val="Tahoma"/>
            <family val="2"/>
          </rPr>
          <t xml:space="preserve">See note on CFC-11
</t>
        </r>
      </text>
    </comment>
    <comment ref="J280" authorId="0" shapeId="0" xr:uid="{00000000-0006-0000-0900-0000EB030000}">
      <text>
        <r>
          <rPr>
            <sz val="9"/>
            <color indexed="81"/>
            <rFont val="Tahoma"/>
            <family val="2"/>
          </rPr>
          <t xml:space="preserve">See notes on CFC11
</t>
        </r>
      </text>
    </comment>
    <comment ref="K280" authorId="0" shapeId="0" xr:uid="{00000000-0006-0000-0900-0000EC030000}">
      <text>
        <r>
          <rPr>
            <sz val="9"/>
            <color indexed="81"/>
            <rFont val="Tahoma"/>
            <family val="2"/>
          </rPr>
          <t xml:space="preserve">See notes on CFC11
</t>
        </r>
      </text>
    </comment>
    <comment ref="D281" authorId="0" shapeId="0" xr:uid="{00000000-0006-0000-0900-0000ED030000}">
      <text>
        <r>
          <rPr>
            <sz val="9"/>
            <color indexed="81"/>
            <rFont val="Tahoma"/>
            <family val="2"/>
          </rPr>
          <t xml:space="preserve">No GWP estimation found in literature, the value is an estimated magnutude assuming similarity with H,F and Br containing haloorganic compounds.
</t>
        </r>
      </text>
    </comment>
    <comment ref="H281" authorId="0" shapeId="0" xr:uid="{00000000-0006-0000-0900-0000EE030000}">
      <text>
        <r>
          <rPr>
            <sz val="9"/>
            <color indexed="81"/>
            <rFont val="Tahoma"/>
            <family val="2"/>
          </rPr>
          <t xml:space="preserve">See note on CFC-11
</t>
        </r>
      </text>
    </comment>
    <comment ref="J281" authorId="0" shapeId="0" xr:uid="{00000000-0006-0000-0900-0000EF030000}">
      <text>
        <r>
          <rPr>
            <sz val="9"/>
            <color indexed="81"/>
            <rFont val="Tahoma"/>
            <family val="2"/>
          </rPr>
          <t xml:space="preserve">See notes on CFC11
</t>
        </r>
      </text>
    </comment>
    <comment ref="K281" authorId="0" shapeId="0" xr:uid="{00000000-0006-0000-0900-0000F0030000}">
      <text>
        <r>
          <rPr>
            <sz val="9"/>
            <color indexed="81"/>
            <rFont val="Tahoma"/>
            <family val="2"/>
          </rPr>
          <t xml:space="preserve">See notes on CFC11
</t>
        </r>
      </text>
    </comment>
    <comment ref="D282" authorId="0" shapeId="0" xr:uid="{00000000-0006-0000-0900-0000F1030000}">
      <text>
        <r>
          <rPr>
            <sz val="9"/>
            <color indexed="81"/>
            <rFont val="Tahoma"/>
            <family val="2"/>
          </rPr>
          <t xml:space="preserve">No GWP estimation found in literature, the value is an estimated magnutude assuming similarity with H,F and Br containing haloorganic compounds.
</t>
        </r>
      </text>
    </comment>
    <comment ref="H282" authorId="0" shapeId="0" xr:uid="{00000000-0006-0000-0900-0000F2030000}">
      <text>
        <r>
          <rPr>
            <sz val="9"/>
            <color indexed="81"/>
            <rFont val="Tahoma"/>
            <family val="2"/>
          </rPr>
          <t xml:space="preserve">See note on CFC-11
</t>
        </r>
      </text>
    </comment>
    <comment ref="J282" authorId="0" shapeId="0" xr:uid="{00000000-0006-0000-0900-0000F3030000}">
      <text>
        <r>
          <rPr>
            <sz val="9"/>
            <color indexed="81"/>
            <rFont val="Tahoma"/>
            <family val="2"/>
          </rPr>
          <t xml:space="preserve">See notes on CFC11
</t>
        </r>
      </text>
    </comment>
    <comment ref="K282" authorId="0" shapeId="0" xr:uid="{00000000-0006-0000-0900-0000F4030000}">
      <text>
        <r>
          <rPr>
            <sz val="9"/>
            <color indexed="81"/>
            <rFont val="Tahoma"/>
            <family val="2"/>
          </rPr>
          <t xml:space="preserve">See notes on CFC11
</t>
        </r>
      </text>
    </comment>
    <comment ref="D283" authorId="0" shapeId="0" xr:uid="{00000000-0006-0000-0900-0000F5030000}">
      <text>
        <r>
          <rPr>
            <sz val="9"/>
            <color indexed="81"/>
            <rFont val="Tahoma"/>
            <family val="2"/>
          </rPr>
          <t xml:space="preserve">No GWP estimation found in literature, the value is an estimated magnutude assuming similarity with H,F and Br containing haloorganic compounds.
</t>
        </r>
      </text>
    </comment>
    <comment ref="H283" authorId="0" shapeId="0" xr:uid="{00000000-0006-0000-0900-0000F6030000}">
      <text>
        <r>
          <rPr>
            <sz val="9"/>
            <color indexed="81"/>
            <rFont val="Tahoma"/>
            <family val="2"/>
          </rPr>
          <t xml:space="preserve">See note on CFC-11
</t>
        </r>
      </text>
    </comment>
    <comment ref="J283" authorId="0" shapeId="0" xr:uid="{00000000-0006-0000-0900-0000F7030000}">
      <text>
        <r>
          <rPr>
            <sz val="9"/>
            <color indexed="81"/>
            <rFont val="Tahoma"/>
            <family val="2"/>
          </rPr>
          <t xml:space="preserve">See notes on CFC11
</t>
        </r>
      </text>
    </comment>
    <comment ref="K283" authorId="0" shapeId="0" xr:uid="{00000000-0006-0000-0900-0000F8030000}">
      <text>
        <r>
          <rPr>
            <sz val="9"/>
            <color indexed="81"/>
            <rFont val="Tahoma"/>
            <family val="2"/>
          </rPr>
          <t xml:space="preserve">See notes on CFC11
</t>
        </r>
      </text>
    </comment>
    <comment ref="D284" authorId="0" shapeId="0" xr:uid="{00000000-0006-0000-0900-0000F9030000}">
      <text>
        <r>
          <rPr>
            <sz val="9"/>
            <color indexed="81"/>
            <rFont val="Tahoma"/>
            <family val="2"/>
          </rPr>
          <t xml:space="preserve">No GWP estimation found in literature, the value is an estimated magnutude assuming similarity with H,F and Br containing haloorganic compounds.
</t>
        </r>
      </text>
    </comment>
    <comment ref="H284" authorId="0" shapeId="0" xr:uid="{00000000-0006-0000-0900-0000FA030000}">
      <text>
        <r>
          <rPr>
            <sz val="9"/>
            <color indexed="81"/>
            <rFont val="Tahoma"/>
            <family val="2"/>
          </rPr>
          <t xml:space="preserve">See note on CFC-11
</t>
        </r>
      </text>
    </comment>
    <comment ref="J284" authorId="0" shapeId="0" xr:uid="{00000000-0006-0000-0900-0000FB030000}">
      <text>
        <r>
          <rPr>
            <sz val="9"/>
            <color indexed="81"/>
            <rFont val="Tahoma"/>
            <family val="2"/>
          </rPr>
          <t xml:space="preserve">See notes on CFC11
</t>
        </r>
      </text>
    </comment>
    <comment ref="K284" authorId="0" shapeId="0" xr:uid="{00000000-0006-0000-0900-0000FC030000}">
      <text>
        <r>
          <rPr>
            <sz val="9"/>
            <color indexed="81"/>
            <rFont val="Tahoma"/>
            <family val="2"/>
          </rPr>
          <t xml:space="preserve">See notes on CFC11
</t>
        </r>
      </text>
    </comment>
    <comment ref="D285" authorId="0" shapeId="0" xr:uid="{00000000-0006-0000-0900-0000FD030000}">
      <text>
        <r>
          <rPr>
            <sz val="9"/>
            <color indexed="81"/>
            <rFont val="Tahoma"/>
            <family val="2"/>
          </rPr>
          <t xml:space="preserve">No GWP estimation found in literature, the value is an estimated magnutude assuming similarity with H,F and Br containing haloorganic compounds.
</t>
        </r>
      </text>
    </comment>
    <comment ref="H285" authorId="0" shapeId="0" xr:uid="{00000000-0006-0000-0900-0000FE030000}">
      <text>
        <r>
          <rPr>
            <sz val="9"/>
            <color indexed="81"/>
            <rFont val="Tahoma"/>
            <family val="2"/>
          </rPr>
          <t xml:space="preserve">See note on CFC-11
</t>
        </r>
      </text>
    </comment>
    <comment ref="J285" authorId="0" shapeId="0" xr:uid="{00000000-0006-0000-0900-0000FF030000}">
      <text>
        <r>
          <rPr>
            <sz val="9"/>
            <color indexed="81"/>
            <rFont val="Tahoma"/>
            <family val="2"/>
          </rPr>
          <t xml:space="preserve">See notes on CFC11
</t>
        </r>
      </text>
    </comment>
    <comment ref="K285" authorId="0" shapeId="0" xr:uid="{00000000-0006-0000-0900-000000040000}">
      <text>
        <r>
          <rPr>
            <sz val="9"/>
            <color indexed="81"/>
            <rFont val="Tahoma"/>
            <family val="2"/>
          </rPr>
          <t xml:space="preserve">See notes on CFC11
</t>
        </r>
      </text>
    </comment>
    <comment ref="D286" authorId="0" shapeId="0" xr:uid="{00000000-0006-0000-0900-000001040000}">
      <text>
        <r>
          <rPr>
            <sz val="9"/>
            <color indexed="81"/>
            <rFont val="Tahoma"/>
            <family val="2"/>
          </rPr>
          <t xml:space="preserve">No GWP estimation found in literature, the value is an estimated magnutude assuming similarity with H,F and Br containing haloorganic compounds.
</t>
        </r>
      </text>
    </comment>
    <comment ref="H286" authorId="0" shapeId="0" xr:uid="{00000000-0006-0000-0900-000002040000}">
      <text>
        <r>
          <rPr>
            <sz val="9"/>
            <color indexed="81"/>
            <rFont val="Tahoma"/>
            <family val="2"/>
          </rPr>
          <t xml:space="preserve">See note on CFC-11
</t>
        </r>
      </text>
    </comment>
    <comment ref="J286" authorId="0" shapeId="0" xr:uid="{00000000-0006-0000-0900-000003040000}">
      <text>
        <r>
          <rPr>
            <sz val="9"/>
            <color indexed="81"/>
            <rFont val="Tahoma"/>
            <family val="2"/>
          </rPr>
          <t xml:space="preserve">See notes on CFC11
</t>
        </r>
      </text>
    </comment>
    <comment ref="K286" authorId="0" shapeId="0" xr:uid="{00000000-0006-0000-0900-000004040000}">
      <text>
        <r>
          <rPr>
            <sz val="9"/>
            <color indexed="81"/>
            <rFont val="Tahoma"/>
            <family val="2"/>
          </rPr>
          <t xml:space="preserve">See notes on CFC11
</t>
        </r>
      </text>
    </comment>
    <comment ref="H287" authorId="0" shapeId="0" xr:uid="{00000000-0006-0000-0900-000005040000}">
      <text>
        <r>
          <rPr>
            <sz val="9"/>
            <color indexed="81"/>
            <rFont val="Tahoma"/>
            <family val="2"/>
          </rPr>
          <t xml:space="preserve">See note on CFC-11
</t>
        </r>
      </text>
    </comment>
    <comment ref="J287" authorId="0" shapeId="0" xr:uid="{00000000-0006-0000-0900-000006040000}">
      <text>
        <r>
          <rPr>
            <sz val="9"/>
            <color indexed="81"/>
            <rFont val="Tahoma"/>
            <family val="2"/>
          </rPr>
          <t xml:space="preserve">See notes on CFC11
</t>
        </r>
      </text>
    </comment>
    <comment ref="K287" authorId="0" shapeId="0" xr:uid="{00000000-0006-0000-0900-000007040000}">
      <text>
        <r>
          <rPr>
            <sz val="9"/>
            <color indexed="81"/>
            <rFont val="Tahoma"/>
            <family val="2"/>
          </rPr>
          <t xml:space="preserve">See notes on CFC11
</t>
        </r>
      </text>
    </comment>
  </commentList>
</comments>
</file>

<file path=xl/sharedStrings.xml><?xml version="1.0" encoding="utf-8"?>
<sst xmlns="http://schemas.openxmlformats.org/spreadsheetml/2006/main" count="3551" uniqueCount="1866">
  <si>
    <t>Indicator</t>
  </si>
  <si>
    <t>Pathway</t>
  </si>
  <si>
    <t>Safe guard subject</t>
  </si>
  <si>
    <t>Human health</t>
  </si>
  <si>
    <t>YOLL</t>
  </si>
  <si>
    <t>personyears</t>
  </si>
  <si>
    <t>Indicator unit</t>
  </si>
  <si>
    <t>kg</t>
  </si>
  <si>
    <t>Crop growth capacity</t>
  </si>
  <si>
    <t>Wood growth capacity</t>
  </si>
  <si>
    <t>Wood</t>
  </si>
  <si>
    <t>kg of element</t>
  </si>
  <si>
    <t>Fossil oil</t>
  </si>
  <si>
    <t>Fossil coal</t>
  </si>
  <si>
    <t>Natural gas</t>
  </si>
  <si>
    <t>Aluminium-ore</t>
  </si>
  <si>
    <t>Iron-ore</t>
  </si>
  <si>
    <t>Borates</t>
  </si>
  <si>
    <t>Bromide salt</t>
  </si>
  <si>
    <t>Water</t>
  </si>
  <si>
    <t>Sodium salt</t>
  </si>
  <si>
    <t>Potassium salt</t>
  </si>
  <si>
    <t>Magnesium salt</t>
  </si>
  <si>
    <t>Elementary S</t>
  </si>
  <si>
    <t>Iodide salt</t>
  </si>
  <si>
    <t>Chloride salt</t>
  </si>
  <si>
    <t>Depletion of oil reserves</t>
  </si>
  <si>
    <t>Depletion of coal reserves</t>
  </si>
  <si>
    <t>Depletion of natural gas reserves</t>
  </si>
  <si>
    <t>Depletion of Al reserves</t>
  </si>
  <si>
    <t>Depletion of Fe reserves</t>
  </si>
  <si>
    <t>Depletion of Cu reserves</t>
  </si>
  <si>
    <t>Depletion of Au reserves</t>
  </si>
  <si>
    <t>Depletion of Ba reserves</t>
  </si>
  <si>
    <t>Depletion of Be reserves</t>
  </si>
  <si>
    <t>Depletion of Ce reserves</t>
  </si>
  <si>
    <t>Depletion of Co reserves</t>
  </si>
  <si>
    <t>Depletion of Cr reserves</t>
  </si>
  <si>
    <t>Depletion of Cs reserves</t>
  </si>
  <si>
    <t>Depletion of Dy reserves</t>
  </si>
  <si>
    <t>Depletion of Er reserves</t>
  </si>
  <si>
    <t>Depletion of Eu reserves</t>
  </si>
  <si>
    <t>Depletion of F reserves</t>
  </si>
  <si>
    <t>Depletion of Ga reserves</t>
  </si>
  <si>
    <t>Depletion of Gd reserves</t>
  </si>
  <si>
    <t>Depletion of Ge reserves</t>
  </si>
  <si>
    <t>Depletion of Hf reserves</t>
  </si>
  <si>
    <t>Depletion of Ho reserves</t>
  </si>
  <si>
    <t>Depletion of I reserves</t>
  </si>
  <si>
    <t>Depletion of In reserves</t>
  </si>
  <si>
    <t>Depletion of Ir reserves</t>
  </si>
  <si>
    <t>Depletion of La reserves</t>
  </si>
  <si>
    <t>Depletion of Li reserves</t>
  </si>
  <si>
    <t>Depletion of Lu reserves</t>
  </si>
  <si>
    <t>Depletion of Mn reserves</t>
  </si>
  <si>
    <t>Depletion of Nb reserves</t>
  </si>
  <si>
    <t>Depletion of Nd reserves</t>
  </si>
  <si>
    <t>Depletion of Os reserves</t>
  </si>
  <si>
    <t>Depletion of P reserves</t>
  </si>
  <si>
    <t>Depletion of Pd reserves</t>
  </si>
  <si>
    <t>Depletion of Pr reserves</t>
  </si>
  <si>
    <t>Depletion of Pt reserves</t>
  </si>
  <si>
    <t>Depletion of Rb reserves</t>
  </si>
  <si>
    <t>Depletion of Rh reserves</t>
  </si>
  <si>
    <t>Depletion of Re reserves</t>
  </si>
  <si>
    <t>Depletion of Ru reserves</t>
  </si>
  <si>
    <t>Depletion of Sb reserves</t>
  </si>
  <si>
    <t>Depletion of Sc reserves</t>
  </si>
  <si>
    <t>Depletion of Se reserves</t>
  </si>
  <si>
    <t>Depletion of Sm reserves</t>
  </si>
  <si>
    <t>Depletion of Sr reserves</t>
  </si>
  <si>
    <t>Depletion of Ta reserves</t>
  </si>
  <si>
    <t>Depletion of Tb reserves</t>
  </si>
  <si>
    <t>Depletion of Te reserves</t>
  </si>
  <si>
    <t>Depletion of Ti reserves</t>
  </si>
  <si>
    <t>Depletion of Tl reserves</t>
  </si>
  <si>
    <t>Depletion of U reserves</t>
  </si>
  <si>
    <t>Depletion of V reserves</t>
  </si>
  <si>
    <t>Depletion of Y reserves</t>
  </si>
  <si>
    <t>Depletion of Yb reserves</t>
  </si>
  <si>
    <t>Depletion of Zr reserves</t>
  </si>
  <si>
    <t>Depletion of B reserves</t>
  </si>
  <si>
    <t>Depletion of Br reserves</t>
  </si>
  <si>
    <t>Depletion of H reserves</t>
  </si>
  <si>
    <t>Depletion of Na reserves</t>
  </si>
  <si>
    <t>Depletion of K reserves</t>
  </si>
  <si>
    <t>Depletion of Mg reserves</t>
  </si>
  <si>
    <t>Depletion of S reserves</t>
  </si>
  <si>
    <t>Depletion of Cl reserves</t>
  </si>
  <si>
    <t>Depletion of Ag reserves</t>
  </si>
  <si>
    <t>Depletion of As reserves</t>
  </si>
  <si>
    <t>Depletion of Bi reserves</t>
  </si>
  <si>
    <t>Depletion of Cd reserves</t>
  </si>
  <si>
    <t>Depletion of Hg reserves</t>
  </si>
  <si>
    <t>Depletion of Pb reserves</t>
  </si>
  <si>
    <t>Depletion of Sn reserves</t>
  </si>
  <si>
    <t>Depletion of Zn reserves</t>
  </si>
  <si>
    <t>Copper ore</t>
  </si>
  <si>
    <t>Gold ore</t>
  </si>
  <si>
    <t>Barium ore</t>
  </si>
  <si>
    <t>Beryllium ore</t>
  </si>
  <si>
    <t>Cerium ore</t>
  </si>
  <si>
    <t>Cobolt ore</t>
  </si>
  <si>
    <t>Chromium ore</t>
  </si>
  <si>
    <t>Cesium ore</t>
  </si>
  <si>
    <t>Dysprosium ore</t>
  </si>
  <si>
    <t>Erbium ore</t>
  </si>
  <si>
    <t>Europium ore</t>
  </si>
  <si>
    <t>Fluorine minerals</t>
  </si>
  <si>
    <t>Gallium ore</t>
  </si>
  <si>
    <t>Gadolinium ore</t>
  </si>
  <si>
    <t>Germanium ore</t>
  </si>
  <si>
    <t>Hafnium ore</t>
  </si>
  <si>
    <t>Holmium ore</t>
  </si>
  <si>
    <t>Indium ore</t>
  </si>
  <si>
    <t>Iridium ore</t>
  </si>
  <si>
    <t>Lanthanum ore</t>
  </si>
  <si>
    <t>Lithium minerals</t>
  </si>
  <si>
    <t>Iodine minerals</t>
  </si>
  <si>
    <t>Luthenium ore</t>
  </si>
  <si>
    <t>Manganese ore</t>
  </si>
  <si>
    <t>Niob ore</t>
  </si>
  <si>
    <t>Neodymium ore</t>
  </si>
  <si>
    <t>Osmium ore</t>
  </si>
  <si>
    <t>Phosphorus minerals</t>
  </si>
  <si>
    <t>Palladium ore</t>
  </si>
  <si>
    <t>Praseodymium ore</t>
  </si>
  <si>
    <t>Platinum ore</t>
  </si>
  <si>
    <t>Rubidium ore</t>
  </si>
  <si>
    <t>Rhenium ore</t>
  </si>
  <si>
    <t>Rhodium ore</t>
  </si>
  <si>
    <t>Ruthenium ore</t>
  </si>
  <si>
    <t>Antimony ore</t>
  </si>
  <si>
    <t>Scandium ore</t>
  </si>
  <si>
    <t>Selenium minerals</t>
  </si>
  <si>
    <t>Samarium ore</t>
  </si>
  <si>
    <t>Strontium minerals</t>
  </si>
  <si>
    <t>Tantalum ore</t>
  </si>
  <si>
    <t>Terbium ore</t>
  </si>
  <si>
    <t>Tellurium minerals</t>
  </si>
  <si>
    <t>Titanium ore</t>
  </si>
  <si>
    <t>Thallium ore</t>
  </si>
  <si>
    <t>Thulium ore</t>
  </si>
  <si>
    <t>Uranium ore</t>
  </si>
  <si>
    <t>Vanadium ore</t>
  </si>
  <si>
    <t>Yttrium ore</t>
  </si>
  <si>
    <t>Ytterbium ore</t>
  </si>
  <si>
    <t>Zirconium ore</t>
  </si>
  <si>
    <t>Silver ore</t>
  </si>
  <si>
    <t>Arsenic ore</t>
  </si>
  <si>
    <t>Wismuth ore</t>
  </si>
  <si>
    <t>Cadmium ore</t>
  </si>
  <si>
    <t>Mercury ore</t>
  </si>
  <si>
    <t>Lead ore</t>
  </si>
  <si>
    <t>Tin ore</t>
  </si>
  <si>
    <t>Zinc ore</t>
  </si>
  <si>
    <t>heat stress</t>
  </si>
  <si>
    <t>CO2</t>
  </si>
  <si>
    <t>flooding</t>
  </si>
  <si>
    <t>all</t>
  </si>
  <si>
    <t>crop</t>
  </si>
  <si>
    <t>wood</t>
  </si>
  <si>
    <t>global warming</t>
  </si>
  <si>
    <t>CO</t>
  </si>
  <si>
    <t>direct exposure</t>
  </si>
  <si>
    <t>Biodiversity</t>
  </si>
  <si>
    <t>Species extinction</t>
  </si>
  <si>
    <t>dimensionless</t>
  </si>
  <si>
    <t>NOx</t>
  </si>
  <si>
    <t>secondary particles</t>
  </si>
  <si>
    <t>oxidant formation</t>
  </si>
  <si>
    <t>fish&amp;meat</t>
  </si>
  <si>
    <t>eutrofication</t>
  </si>
  <si>
    <t>acidification</t>
  </si>
  <si>
    <t>NEX</t>
  </si>
  <si>
    <t>SO2</t>
  </si>
  <si>
    <t>corrosion</t>
  </si>
  <si>
    <t>Substance</t>
  </si>
  <si>
    <t>SUM</t>
  </si>
  <si>
    <t>HNO2</t>
  </si>
  <si>
    <t>HNO3</t>
  </si>
  <si>
    <t>added to NOX. 1 kg HNO2 = 0.941 kg NOx</t>
  </si>
  <si>
    <t>added to NOX. 1 kg HNO3 = 0.730 kg NOx</t>
  </si>
  <si>
    <t>N2O</t>
  </si>
  <si>
    <t>H2S</t>
  </si>
  <si>
    <t>secondary SO2</t>
  </si>
  <si>
    <t>HF</t>
  </si>
  <si>
    <t>secondary aerosol</t>
  </si>
  <si>
    <t>HCl</t>
  </si>
  <si>
    <t>NH3</t>
  </si>
  <si>
    <t>nutrification</t>
  </si>
  <si>
    <t>Benzene</t>
  </si>
  <si>
    <t>GWP 100</t>
  </si>
  <si>
    <t>Ethan</t>
  </si>
  <si>
    <t>Propane</t>
  </si>
  <si>
    <t>N-butane</t>
  </si>
  <si>
    <t>I-butane</t>
  </si>
  <si>
    <t>N-pentane</t>
  </si>
  <si>
    <t>I-pentane</t>
  </si>
  <si>
    <t>Hexane</t>
  </si>
  <si>
    <t>2-metylpentane</t>
  </si>
  <si>
    <t>3-metylpentane</t>
  </si>
  <si>
    <t>N-heptane</t>
  </si>
  <si>
    <t>N-oktane</t>
  </si>
  <si>
    <t>2-metylheptane</t>
  </si>
  <si>
    <t>N-nonane</t>
  </si>
  <si>
    <t>2-metyloktane</t>
  </si>
  <si>
    <t>N-decane</t>
  </si>
  <si>
    <t>2-methylnonane</t>
  </si>
  <si>
    <t>N-undecane</t>
  </si>
  <si>
    <t>N-dodecane</t>
  </si>
  <si>
    <t>Metyl-cyclohexane</t>
  </si>
  <si>
    <t>1-butene</t>
  </si>
  <si>
    <t>2-butene</t>
  </si>
  <si>
    <t>1-pentene</t>
  </si>
  <si>
    <t>2-pentene</t>
  </si>
  <si>
    <t>Acetylene</t>
  </si>
  <si>
    <t>Toluene</t>
  </si>
  <si>
    <t>O-xylene</t>
  </si>
  <si>
    <t>M-xylene</t>
  </si>
  <si>
    <t>P-xylene</t>
  </si>
  <si>
    <t>Etylbenzene</t>
  </si>
  <si>
    <t>1,2,3-Trimetylbenzene</t>
  </si>
  <si>
    <t>1,2,4-Trimetylbenzene</t>
  </si>
  <si>
    <t>1,3,5-Trimetylbenzene</t>
  </si>
  <si>
    <t>O-ethyltoluene</t>
  </si>
  <si>
    <t>M-ethyltoluene</t>
  </si>
  <si>
    <t>P-ethyltoluene</t>
  </si>
  <si>
    <t>N-propylbenzene</t>
  </si>
  <si>
    <t>I-propylbenzene</t>
  </si>
  <si>
    <t>Methanol</t>
  </si>
  <si>
    <t>Ethanol</t>
  </si>
  <si>
    <t>I-propanol</t>
  </si>
  <si>
    <t>Butanol</t>
  </si>
  <si>
    <t>I-butanol</t>
  </si>
  <si>
    <t>Acetone</t>
  </si>
  <si>
    <t>Methyl ethyl ketone</t>
  </si>
  <si>
    <t>Methyl i-butyl ketone</t>
  </si>
  <si>
    <t>Acetaldehyde</t>
  </si>
  <si>
    <t>Propionaldehyde</t>
  </si>
  <si>
    <t>Butyraldehyde</t>
  </si>
  <si>
    <t>I-butyraldehyde</t>
  </si>
  <si>
    <t>Valeraldehyde</t>
  </si>
  <si>
    <t>Acrolein</t>
  </si>
  <si>
    <t>Dimethylether</t>
  </si>
  <si>
    <t>ethylacetate</t>
  </si>
  <si>
    <t>n-butylacetate</t>
  </si>
  <si>
    <t>Substance name</t>
  </si>
  <si>
    <t>CASRN</t>
  </si>
  <si>
    <t>Potency factor</t>
  </si>
  <si>
    <t>average</t>
  </si>
  <si>
    <t>acute health effects</t>
  </si>
  <si>
    <t>chronic health effects</t>
  </si>
  <si>
    <t>Cancer</t>
  </si>
  <si>
    <t>As</t>
  </si>
  <si>
    <t>Cd</t>
  </si>
  <si>
    <t>Cr</t>
  </si>
  <si>
    <t>Hg</t>
  </si>
  <si>
    <t>brain damage</t>
  </si>
  <si>
    <t>Cu</t>
  </si>
  <si>
    <t>Ni</t>
  </si>
  <si>
    <t>Pb</t>
  </si>
  <si>
    <t>Zn</t>
  </si>
  <si>
    <t>CFC-11</t>
  </si>
  <si>
    <t>GWP-100</t>
  </si>
  <si>
    <t>ODP</t>
  </si>
  <si>
    <t>CFC:s</t>
  </si>
  <si>
    <t>CFC-12</t>
  </si>
  <si>
    <t>CFC-13</t>
  </si>
  <si>
    <t>CFC-113</t>
  </si>
  <si>
    <t>CFC-114</t>
  </si>
  <si>
    <t>CFC-115</t>
  </si>
  <si>
    <t>HCFC:s</t>
  </si>
  <si>
    <t>HCFC-22</t>
  </si>
  <si>
    <t>Bromocarbons</t>
  </si>
  <si>
    <t>Others</t>
  </si>
  <si>
    <t>HFC-23</t>
  </si>
  <si>
    <t>HFC-32</t>
  </si>
  <si>
    <t>HFC-43-10mee</t>
  </si>
  <si>
    <t>HFC-125</t>
  </si>
  <si>
    <t>HFC-134</t>
  </si>
  <si>
    <t>HFC-134a</t>
  </si>
  <si>
    <t>HFC-152a</t>
  </si>
  <si>
    <t>HFC-143</t>
  </si>
  <si>
    <t>HFC-143a</t>
  </si>
  <si>
    <t>HFC-227ea</t>
  </si>
  <si>
    <t>HFC-236fa</t>
  </si>
  <si>
    <t>HFC-245ca</t>
  </si>
  <si>
    <t>CF4</t>
  </si>
  <si>
    <t>C2F6</t>
  </si>
  <si>
    <t>c-C4F8</t>
  </si>
  <si>
    <t>C6F14</t>
  </si>
  <si>
    <t>Eutrofication</t>
  </si>
  <si>
    <t>Unit</t>
  </si>
  <si>
    <t>m2year</t>
  </si>
  <si>
    <t>Soil mineralisation</t>
  </si>
  <si>
    <t>Molybden</t>
  </si>
  <si>
    <t>Element formula</t>
  </si>
  <si>
    <t>Element name</t>
  </si>
  <si>
    <t>Weighting factor (ELU/kg)</t>
  </si>
  <si>
    <t>Au</t>
  </si>
  <si>
    <t>Gold</t>
  </si>
  <si>
    <t>Ba</t>
  </si>
  <si>
    <t>Barium</t>
  </si>
  <si>
    <t>Be</t>
  </si>
  <si>
    <t>Beryllium</t>
  </si>
  <si>
    <t>Ce</t>
  </si>
  <si>
    <t>Cerium</t>
  </si>
  <si>
    <t>Co</t>
  </si>
  <si>
    <t>Cobolt</t>
  </si>
  <si>
    <t>Chromium</t>
  </si>
  <si>
    <t>Cs</t>
  </si>
  <si>
    <t>Cesium</t>
  </si>
  <si>
    <t>Dy</t>
  </si>
  <si>
    <t>Dysprosium</t>
  </si>
  <si>
    <t>Er</t>
  </si>
  <si>
    <t>Erbium</t>
  </si>
  <si>
    <t>Eu</t>
  </si>
  <si>
    <t>Europium</t>
  </si>
  <si>
    <t>F</t>
  </si>
  <si>
    <t>Fluorine</t>
  </si>
  <si>
    <t>Ga</t>
  </si>
  <si>
    <t>Gallium</t>
  </si>
  <si>
    <t>Gd</t>
  </si>
  <si>
    <t>Gadolinium</t>
  </si>
  <si>
    <t>Ge</t>
  </si>
  <si>
    <t>Germanium</t>
  </si>
  <si>
    <t>Hf</t>
  </si>
  <si>
    <t>Hafnium</t>
  </si>
  <si>
    <t>Ho</t>
  </si>
  <si>
    <t>Holmium</t>
  </si>
  <si>
    <t>I</t>
  </si>
  <si>
    <t>In</t>
  </si>
  <si>
    <t>Indium</t>
  </si>
  <si>
    <t>Ir</t>
  </si>
  <si>
    <t>Iridium</t>
  </si>
  <si>
    <t>La</t>
  </si>
  <si>
    <t>Lanthanum</t>
  </si>
  <si>
    <t>Li</t>
  </si>
  <si>
    <t>Lithium</t>
  </si>
  <si>
    <t>Lu</t>
  </si>
  <si>
    <t>Mn</t>
  </si>
  <si>
    <t>Manganese</t>
  </si>
  <si>
    <t>Nb</t>
  </si>
  <si>
    <t>Niob</t>
  </si>
  <si>
    <t>Nd</t>
  </si>
  <si>
    <t>Neodymium</t>
  </si>
  <si>
    <t>Os</t>
  </si>
  <si>
    <t>Osmium</t>
  </si>
  <si>
    <t>P</t>
  </si>
  <si>
    <t>Phosphorus</t>
  </si>
  <si>
    <t>Pd</t>
  </si>
  <si>
    <t>Palladium</t>
  </si>
  <si>
    <t>Pr</t>
  </si>
  <si>
    <t>Praseodymium</t>
  </si>
  <si>
    <t>Pt</t>
  </si>
  <si>
    <t>Platinum</t>
  </si>
  <si>
    <t>Rb</t>
  </si>
  <si>
    <t>Rubidium</t>
  </si>
  <si>
    <t>Re</t>
  </si>
  <si>
    <t>Rhenium</t>
  </si>
  <si>
    <t>Rh</t>
  </si>
  <si>
    <t>Rhodium</t>
  </si>
  <si>
    <t>Ru</t>
  </si>
  <si>
    <t>Ruthenium</t>
  </si>
  <si>
    <t>Sb</t>
  </si>
  <si>
    <t>Antimony</t>
  </si>
  <si>
    <t>Sc</t>
  </si>
  <si>
    <t>Scandium</t>
  </si>
  <si>
    <t>Se</t>
  </si>
  <si>
    <t>Selenium</t>
  </si>
  <si>
    <t>Sm</t>
  </si>
  <si>
    <t>Samarium</t>
  </si>
  <si>
    <t>Sr</t>
  </si>
  <si>
    <t>Strontium</t>
  </si>
  <si>
    <t>Ta</t>
  </si>
  <si>
    <t>Tantalum</t>
  </si>
  <si>
    <t>Tb</t>
  </si>
  <si>
    <t>Terbium</t>
  </si>
  <si>
    <t>Te</t>
  </si>
  <si>
    <t>Tellurium</t>
  </si>
  <si>
    <t>Ti</t>
  </si>
  <si>
    <t>Titanium</t>
  </si>
  <si>
    <t>Tl</t>
  </si>
  <si>
    <t>Thallium</t>
  </si>
  <si>
    <t>Tm</t>
  </si>
  <si>
    <t>Thulium</t>
  </si>
  <si>
    <t xml:space="preserve">U </t>
  </si>
  <si>
    <t>Uranium</t>
  </si>
  <si>
    <t xml:space="preserve">V </t>
  </si>
  <si>
    <t>Vanadium</t>
  </si>
  <si>
    <t>Y</t>
  </si>
  <si>
    <t>Yttrium</t>
  </si>
  <si>
    <t>Yb</t>
  </si>
  <si>
    <t>Ytterbium</t>
  </si>
  <si>
    <t>Zr</t>
  </si>
  <si>
    <t>Zirconium</t>
  </si>
  <si>
    <t>Ag</t>
  </si>
  <si>
    <t>Bi</t>
  </si>
  <si>
    <t>Mo</t>
  </si>
  <si>
    <t>Sn</t>
  </si>
  <si>
    <t>Silver</t>
  </si>
  <si>
    <t>Arsenic</t>
  </si>
  <si>
    <t>Bismuth</t>
  </si>
  <si>
    <t>Cadmium</t>
  </si>
  <si>
    <t>Copper</t>
  </si>
  <si>
    <t>Mercury</t>
  </si>
  <si>
    <t>Molybdenum</t>
  </si>
  <si>
    <t>Lead</t>
  </si>
  <si>
    <t>Tin</t>
  </si>
  <si>
    <t>Zinc</t>
  </si>
  <si>
    <t>Nickel</t>
  </si>
  <si>
    <t>W</t>
  </si>
  <si>
    <t>Tungsten</t>
  </si>
  <si>
    <t>Th</t>
  </si>
  <si>
    <t>Thorium</t>
  </si>
  <si>
    <t>B</t>
  </si>
  <si>
    <t>Br</t>
  </si>
  <si>
    <t>H</t>
  </si>
  <si>
    <t>Na</t>
  </si>
  <si>
    <t>K</t>
  </si>
  <si>
    <t>Mg</t>
  </si>
  <si>
    <t>S</t>
  </si>
  <si>
    <t>Cl</t>
  </si>
  <si>
    <t>Ar</t>
  </si>
  <si>
    <t>He</t>
  </si>
  <si>
    <t>Ne</t>
  </si>
  <si>
    <t>N</t>
  </si>
  <si>
    <t>O</t>
  </si>
  <si>
    <t xml:space="preserve">Nat. gas, m3n </t>
  </si>
  <si>
    <t>Lignite, kg</t>
  </si>
  <si>
    <t>Coal, kg</t>
  </si>
  <si>
    <t>Crude oil, kg</t>
  </si>
  <si>
    <t>CH4 to air, kg</t>
  </si>
  <si>
    <t>CO2 to air, kg</t>
  </si>
  <si>
    <t>NMVOC to air,kg</t>
  </si>
  <si>
    <t>NOx  to air, kg</t>
  </si>
  <si>
    <t>SOx to air, kg</t>
  </si>
  <si>
    <t>per MJ</t>
  </si>
  <si>
    <t>per kg Al</t>
  </si>
  <si>
    <t>/MJ</t>
  </si>
  <si>
    <t>/kg Al</t>
  </si>
  <si>
    <t>/kg NaOH</t>
  </si>
  <si>
    <t>Emission or resource</t>
  </si>
  <si>
    <t>Diesel power</t>
  </si>
  <si>
    <t>Electricity</t>
  </si>
  <si>
    <t>NaOH production</t>
  </si>
  <si>
    <t>sum</t>
  </si>
  <si>
    <t>Energy MJ</t>
  </si>
  <si>
    <t>ELU/kg Al with current technology</t>
  </si>
  <si>
    <t>ELU/kg Al with sustainable technology.</t>
  </si>
  <si>
    <t>Wood energy, MJ</t>
  </si>
  <si>
    <t>NMVOC to air, kg</t>
  </si>
  <si>
    <t>NOx to air, kg</t>
  </si>
  <si>
    <t>Item</t>
  </si>
  <si>
    <t>Production cost (EUR)</t>
  </si>
  <si>
    <t>Veg.oil</t>
  </si>
  <si>
    <t>Wood based process energy</t>
  </si>
  <si>
    <t>NaOH for leaching</t>
  </si>
  <si>
    <t>Acid</t>
  </si>
  <si>
    <t>Processing</t>
  </si>
  <si>
    <t>Production cost</t>
  </si>
  <si>
    <t>Pb-reserves</t>
  </si>
  <si>
    <t>Cr- reserves</t>
  </si>
  <si>
    <t>Fe- reserves</t>
  </si>
  <si>
    <t>Cu- reserves</t>
  </si>
  <si>
    <t>Ni- reserves</t>
  </si>
  <si>
    <t>Ag- reserves</t>
  </si>
  <si>
    <t>Zn- reserves</t>
  </si>
  <si>
    <t>Sn- reserves</t>
  </si>
  <si>
    <t>Natural gas reserves</t>
  </si>
  <si>
    <t>m3n</t>
  </si>
  <si>
    <t>Wood (forestry)</t>
  </si>
  <si>
    <t>Lignite</t>
  </si>
  <si>
    <t>Coal- reserves</t>
  </si>
  <si>
    <t>CH4 Methane</t>
  </si>
  <si>
    <t>CO2 m</t>
  </si>
  <si>
    <t>NMVOC p</t>
  </si>
  <si>
    <t>PAH s</t>
  </si>
  <si>
    <t>amount/kg charcoal</t>
  </si>
  <si>
    <t>EUR/kg charcoal</t>
  </si>
  <si>
    <t>unit</t>
  </si>
  <si>
    <t>WTP/unit</t>
  </si>
  <si>
    <t>Present technology</t>
  </si>
  <si>
    <t>land occupation,m2yr</t>
  </si>
  <si>
    <t>NaOH for precipitation</t>
  </si>
  <si>
    <t>NMVOC</t>
  </si>
  <si>
    <t>MJ</t>
  </si>
  <si>
    <t>Processing ground rock</t>
  </si>
  <si>
    <t>Price/unit</t>
  </si>
  <si>
    <t>Amount</t>
  </si>
  <si>
    <t>HCFC-23</t>
  </si>
  <si>
    <t>HCFC-24</t>
  </si>
  <si>
    <t>HCFC-25</t>
  </si>
  <si>
    <t>HCFC-26</t>
  </si>
  <si>
    <t>HCFC-27</t>
  </si>
  <si>
    <t>HCFC-28</t>
  </si>
  <si>
    <t xml:space="preserve">This excel workbook contains </t>
  </si>
  <si>
    <t>Luthetium</t>
  </si>
  <si>
    <t>Substance
 flow group</t>
  </si>
  <si>
    <t>Extension 
mean</t>
  </si>
  <si>
    <t>Contribution
 uncertainty</t>
  </si>
  <si>
    <t>Pathway specific 
charcterisation factor</t>
  </si>
  <si>
    <t>Damage cost,
 EUR</t>
  </si>
  <si>
    <t>EPS 
default index, ELU/kg</t>
  </si>
  <si>
    <t>share, dimensionless</t>
  </si>
  <si>
    <t>Malaria episodes</t>
  </si>
  <si>
    <t>habitat change</t>
  </si>
  <si>
    <t>drinking water</t>
  </si>
  <si>
    <t>draught</t>
  </si>
  <si>
    <t>irrigation water</t>
  </si>
  <si>
    <t>energy access</t>
  </si>
  <si>
    <t>warming, extremes</t>
  </si>
  <si>
    <t>housing</t>
  </si>
  <si>
    <t>extremes</t>
  </si>
  <si>
    <t>separations</t>
  </si>
  <si>
    <t>migration</t>
  </si>
  <si>
    <t>work capacity</t>
  </si>
  <si>
    <t>food supply</t>
  </si>
  <si>
    <t>malnutrition</t>
  </si>
  <si>
    <t>Malnutrition</t>
  </si>
  <si>
    <t>diarrhea</t>
  </si>
  <si>
    <t>Diarrhea</t>
  </si>
  <si>
    <t>persons</t>
  </si>
  <si>
    <t>cold moderation</t>
  </si>
  <si>
    <t>undernutrition</t>
  </si>
  <si>
    <t>Diarrhoeal diseases</t>
  </si>
  <si>
    <t>Working capacity</t>
  </si>
  <si>
    <t>Characterisation
 factor for state indicator</t>
  </si>
  <si>
    <t>fruit&amp;veg</t>
  </si>
  <si>
    <t>climate change</t>
  </si>
  <si>
    <t>Drinking water</t>
  </si>
  <si>
    <t>Irrigation water</t>
  </si>
  <si>
    <t>rise of sea level</t>
  </si>
  <si>
    <t>Migration</t>
  </si>
  <si>
    <t>gravation of angina pectoris</t>
  </si>
  <si>
    <t>Gravation of angina pectoris</t>
  </si>
  <si>
    <t>all (sum)</t>
  </si>
  <si>
    <t>meat&amp;fish</t>
  </si>
  <si>
    <t>State indicator</t>
  </si>
  <si>
    <t>Ecosystem services</t>
  </si>
  <si>
    <t>Abiotic resources</t>
  </si>
  <si>
    <t>Access to water</t>
  </si>
  <si>
    <t>Provisioning</t>
  </si>
  <si>
    <t>Production capacity for fruit &amp; vegetables</t>
  </si>
  <si>
    <t>Water production capacity</t>
  </si>
  <si>
    <t>Cardiovascular disease</t>
  </si>
  <si>
    <t>Life expectancy</t>
  </si>
  <si>
    <t>Disability</t>
  </si>
  <si>
    <t>Depletion of Mo reserves</t>
  </si>
  <si>
    <t>Delivery capacity</t>
  </si>
  <si>
    <t>Goods delivery capacity</t>
  </si>
  <si>
    <t>Transport capacity for persons</t>
  </si>
  <si>
    <t>Housing availability</t>
  </si>
  <si>
    <t>kW</t>
  </si>
  <si>
    <r>
      <t>Contribution
 mean,  ( kg</t>
    </r>
    <r>
      <rPr>
        <vertAlign val="superscript"/>
        <sz val="10"/>
        <rFont val="Arial"/>
        <family val="2"/>
      </rPr>
      <t>-1</t>
    </r>
    <r>
      <rPr>
        <sz val="10"/>
        <rFont val="Arial"/>
        <family val="2"/>
      </rPr>
      <t>)</t>
    </r>
  </si>
  <si>
    <t>Extension uncertainty</t>
  </si>
  <si>
    <t>Asthma cases</t>
  </si>
  <si>
    <t>asthma cases</t>
  </si>
  <si>
    <t>Bromine</t>
  </si>
  <si>
    <t>Hydrogen</t>
  </si>
  <si>
    <t>Sodium</t>
  </si>
  <si>
    <t>Potassium</t>
  </si>
  <si>
    <t>Magnesium</t>
  </si>
  <si>
    <t>Sulphur</t>
  </si>
  <si>
    <t>Iodine</t>
  </si>
  <si>
    <t>Chlorine</t>
  </si>
  <si>
    <t>Boron</t>
  </si>
  <si>
    <t>Argon</t>
  </si>
  <si>
    <t>Helium</t>
  </si>
  <si>
    <t>Neon</t>
  </si>
  <si>
    <t>Nitrogen</t>
  </si>
  <si>
    <t>Oxygen</t>
  </si>
  <si>
    <t>$/GJ</t>
  </si>
  <si>
    <t>Biomass cost</t>
  </si>
  <si>
    <t>$/kg CH4</t>
  </si>
  <si>
    <t>$/kg C</t>
  </si>
  <si>
    <t>€/kg CH4</t>
  </si>
  <si>
    <t>Weighting factor
 (ELU/indicator unit)</t>
  </si>
  <si>
    <r>
      <t>Nat. gas, m</t>
    </r>
    <r>
      <rPr>
        <vertAlign val="superscript"/>
        <sz val="10"/>
        <rFont val="Times New Roman"/>
        <family val="1"/>
      </rPr>
      <t>3</t>
    </r>
    <r>
      <rPr>
        <vertAlign val="subscript"/>
        <sz val="10"/>
        <rFont val="Times New Roman"/>
        <family val="1"/>
      </rPr>
      <t>n</t>
    </r>
    <r>
      <rPr>
        <sz val="10"/>
        <rFont val="Times New Roman"/>
        <family val="1"/>
      </rPr>
      <t xml:space="preserve"> </t>
    </r>
  </si>
  <si>
    <r>
      <t>CH</t>
    </r>
    <r>
      <rPr>
        <vertAlign val="subscript"/>
        <sz val="10"/>
        <rFont val="Times New Roman"/>
        <family val="1"/>
      </rPr>
      <t>4</t>
    </r>
    <r>
      <rPr>
        <sz val="10"/>
        <rFont val="Times New Roman"/>
        <family val="1"/>
      </rPr>
      <t xml:space="preserve"> to air, kg</t>
    </r>
  </si>
  <si>
    <r>
      <t>CO</t>
    </r>
    <r>
      <rPr>
        <vertAlign val="subscript"/>
        <sz val="10"/>
        <rFont val="Times New Roman"/>
        <family val="1"/>
      </rPr>
      <t>2</t>
    </r>
    <r>
      <rPr>
        <sz val="10"/>
        <rFont val="Times New Roman"/>
        <family val="1"/>
      </rPr>
      <t xml:space="preserve"> to air, kg</t>
    </r>
  </si>
  <si>
    <r>
      <t>NO</t>
    </r>
    <r>
      <rPr>
        <vertAlign val="subscript"/>
        <sz val="10"/>
        <rFont val="Times New Roman"/>
        <family val="1"/>
      </rPr>
      <t>x</t>
    </r>
    <r>
      <rPr>
        <sz val="10"/>
        <rFont val="Times New Roman"/>
        <family val="1"/>
      </rPr>
      <t xml:space="preserve"> to air, kg</t>
    </r>
  </si>
  <si>
    <r>
      <t>SO</t>
    </r>
    <r>
      <rPr>
        <vertAlign val="subscript"/>
        <sz val="10"/>
        <rFont val="Times New Roman"/>
        <family val="1"/>
      </rPr>
      <t>x</t>
    </r>
    <r>
      <rPr>
        <sz val="10"/>
        <rFont val="Times New Roman"/>
        <family val="1"/>
      </rPr>
      <t xml:space="preserve"> to air, kg</t>
    </r>
  </si>
  <si>
    <t>Total environmental impact from present production processes in the reference system for Al-ore and for a optimised process in terms of sustainability</t>
  </si>
  <si>
    <r>
      <t>Impact value, v2014, ELU/kg o ELU/m</t>
    </r>
    <r>
      <rPr>
        <vertAlign val="superscript"/>
        <sz val="10"/>
        <rFont val="Times New Roman"/>
        <family val="1"/>
      </rPr>
      <t>3</t>
    </r>
    <r>
      <rPr>
        <sz val="10"/>
        <rFont val="Times New Roman"/>
        <family val="1"/>
      </rPr>
      <t xml:space="preserve"> or ELU/MJ</t>
    </r>
  </si>
  <si>
    <t>Emissions and use of resources from today's technology and energy sources when producing Al-ore from average earth crust composition</t>
  </si>
  <si>
    <r>
      <t>H</t>
    </r>
    <r>
      <rPr>
        <vertAlign val="subscript"/>
        <sz val="10"/>
        <rFont val="Times New Roman"/>
        <family val="1"/>
      </rPr>
      <t>2</t>
    </r>
    <r>
      <rPr>
        <sz val="10"/>
        <rFont val="Times New Roman"/>
        <family val="1"/>
      </rPr>
      <t>SO</t>
    </r>
    <r>
      <rPr>
        <vertAlign val="subscript"/>
        <sz val="10"/>
        <rFont val="Times New Roman"/>
        <family val="1"/>
      </rPr>
      <t>4</t>
    </r>
    <r>
      <rPr>
        <sz val="10"/>
        <rFont val="Times New Roman"/>
        <family val="1"/>
      </rPr>
      <t xml:space="preserve"> production</t>
    </r>
  </si>
  <si>
    <r>
      <t>/kg H</t>
    </r>
    <r>
      <rPr>
        <vertAlign val="subscript"/>
        <sz val="10"/>
        <rFont val="Times New Roman"/>
        <family val="1"/>
      </rPr>
      <t>2</t>
    </r>
    <r>
      <rPr>
        <sz val="10"/>
        <rFont val="Times New Roman"/>
        <family val="1"/>
      </rPr>
      <t>SO</t>
    </r>
    <r>
      <rPr>
        <vertAlign val="subscript"/>
        <sz val="10"/>
        <rFont val="Times New Roman"/>
        <family val="1"/>
      </rPr>
      <t>4</t>
    </r>
  </si>
  <si>
    <t>Reference system for sustainable production of Bauxite</t>
  </si>
  <si>
    <t>Amount in kg or MJ per kg Al</t>
  </si>
  <si>
    <t>Estimation of production cost for Al-ore containing 1 kg of Al.</t>
  </si>
  <si>
    <t>Default scenario for sustainable production of  "iron ore" from average rock</t>
  </si>
  <si>
    <t>Inventory results (kg or MJ per kg Fe)</t>
  </si>
  <si>
    <t xml:space="preserve">Energy content </t>
  </si>
  <si>
    <t>(MJ/kg Fe)</t>
  </si>
  <si>
    <t>Impact value with current technology (ELU/kg Fe)</t>
  </si>
  <si>
    <t>Impact value with optimised technology.</t>
  </si>
  <si>
    <t>(ELU/kg Fe)</t>
  </si>
  <si>
    <t>Calculation of impact values from near sustainable production of iron ore.</t>
  </si>
  <si>
    <t>Estimation of production cost for Fe-ore per kg/Fe</t>
  </si>
  <si>
    <t>Production cost (EUR/kgFe)</t>
  </si>
  <si>
    <r>
      <t>H</t>
    </r>
    <r>
      <rPr>
        <vertAlign val="subscript"/>
        <sz val="10"/>
        <rFont val="Times New Roman"/>
        <family val="1"/>
      </rPr>
      <t>2</t>
    </r>
    <r>
      <rPr>
        <sz val="10"/>
        <rFont val="Times New Roman"/>
        <family val="1"/>
      </rPr>
      <t>SO4 for leaching</t>
    </r>
  </si>
  <si>
    <t>ELU/kg</t>
  </si>
  <si>
    <t>Total cost (internal + external)</t>
  </si>
  <si>
    <t>Calcium</t>
  </si>
  <si>
    <t>Ca</t>
  </si>
  <si>
    <t>Sulphur hexafluoride</t>
  </si>
  <si>
    <t>Methane</t>
  </si>
  <si>
    <t>Cyclohexanol</t>
  </si>
  <si>
    <t>Cyclohexanone</t>
  </si>
  <si>
    <t>Propylene glycol</t>
  </si>
  <si>
    <t>Styrene</t>
  </si>
  <si>
    <t>1-Methoxy-2-propanol</t>
  </si>
  <si>
    <t>2,2-Dimethylbutane</t>
  </si>
  <si>
    <t>2,3-Dimethylbutane</t>
  </si>
  <si>
    <t>2-Methylbutan-1-ol</t>
  </si>
  <si>
    <t>2-Methylbutan-2-ol</t>
  </si>
  <si>
    <t>2-Methylhexane</t>
  </si>
  <si>
    <t>3,5-Diethyltoluene</t>
  </si>
  <si>
    <t>3,5-Dimethylethylbenzene</t>
  </si>
  <si>
    <t>3-Methylbutan-2-ol</t>
  </si>
  <si>
    <t>3-Methylhexane</t>
  </si>
  <si>
    <t>4-Ethylheptane</t>
  </si>
  <si>
    <t>Benzaldehyde</t>
  </si>
  <si>
    <t>Diacetone alcohol</t>
  </si>
  <si>
    <t>Diethylketone</t>
  </si>
  <si>
    <t>Diisopropylether</t>
  </si>
  <si>
    <t>Ethylene glycol</t>
  </si>
  <si>
    <t>Glyoxal</t>
  </si>
  <si>
    <t>Hexan-2-one</t>
  </si>
  <si>
    <t>Hexan-3-one</t>
  </si>
  <si>
    <t>Methacrolein</t>
  </si>
  <si>
    <t>Methanethiol</t>
  </si>
  <si>
    <t>Methyl formate</t>
  </si>
  <si>
    <t>Neopentane</t>
  </si>
  <si>
    <t>2-Ethylhexyl acetate</t>
  </si>
  <si>
    <t>2,2,2-Trifluoroethanol</t>
  </si>
  <si>
    <t>Methyl bromide</t>
  </si>
  <si>
    <t>1,2-Dichloroethylene</t>
  </si>
  <si>
    <t>Bifenthrin</t>
  </si>
  <si>
    <t>Lambda-cyhalothrin</t>
  </si>
  <si>
    <t>Fipronil</t>
  </si>
  <si>
    <t>Phosphamidon</t>
  </si>
  <si>
    <t>Formic acid</t>
  </si>
  <si>
    <t>n.a.</t>
  </si>
  <si>
    <t>Propene</t>
  </si>
  <si>
    <t>Cost item</t>
  </si>
  <si>
    <t>Production process for charcoal</t>
  </si>
  <si>
    <t>Cultural</t>
  </si>
  <si>
    <t>Quality time</t>
  </si>
  <si>
    <t>Fe-ore</t>
  </si>
  <si>
    <t>Cr.ore</t>
  </si>
  <si>
    <t>Ni-ore</t>
  </si>
  <si>
    <t>External costs</t>
  </si>
  <si>
    <t>Internal cost</t>
  </si>
  <si>
    <t>Internal costs</t>
  </si>
  <si>
    <t>€/kg</t>
  </si>
  <si>
    <t>COPD severe</t>
  </si>
  <si>
    <t>personyear</t>
  </si>
  <si>
    <t>soiling</t>
  </si>
  <si>
    <t>working capacity</t>
  </si>
  <si>
    <t>eutrophication, dead zones</t>
  </si>
  <si>
    <t>N-nutrification</t>
  </si>
  <si>
    <t>N-nutrification of ocean</t>
  </si>
  <si>
    <t>Indicators</t>
  </si>
  <si>
    <t>CO2 emission</t>
  </si>
  <si>
    <t>€</t>
  </si>
  <si>
    <t>seconday aerosols</t>
  </si>
  <si>
    <t>YOLL/ 
oxidants</t>
  </si>
  <si>
    <t>Malnutrition/
climate change</t>
  </si>
  <si>
    <t>Working capacity/
climate change</t>
  </si>
  <si>
    <t>Diarrhea/ 
climate change</t>
  </si>
  <si>
    <t>Crop loss/
climate change</t>
  </si>
  <si>
    <t>Crop loss/
oxidants</t>
  </si>
  <si>
    <t>Meat&amp;fish/
climate change</t>
  </si>
  <si>
    <t>NEX from 
climate change</t>
  </si>
  <si>
    <t>Fruit&amp;vegetables
/climate change</t>
  </si>
  <si>
    <t>Wood  from 
climate change</t>
  </si>
  <si>
    <t>Drinking water / climate change</t>
  </si>
  <si>
    <t>Irrigation water/ climate change</t>
  </si>
  <si>
    <t>Housing /climate change</t>
  </si>
  <si>
    <t>Separations / climate change</t>
  </si>
  <si>
    <t>YOLL / secondary particles</t>
  </si>
  <si>
    <t>YOLL / 
Cancer</t>
  </si>
  <si>
    <t>Asthma cases / secondary particles</t>
  </si>
  <si>
    <t>COPD severe/secondary particles</t>
  </si>
  <si>
    <t>Wood  from oxidant formation</t>
  </si>
  <si>
    <t>POCP</t>
  </si>
  <si>
    <t>Ethene</t>
  </si>
  <si>
    <t>2-methyl-2-butene</t>
  </si>
  <si>
    <t>POCP
 un certainty</t>
  </si>
  <si>
    <t>GWP 
un certainty</t>
  </si>
  <si>
    <t>s-butanol</t>
  </si>
  <si>
    <t>t-butanol</t>
  </si>
  <si>
    <t>3-pentanol</t>
  </si>
  <si>
    <t>Cyclohexane</t>
  </si>
  <si>
    <t>Methylpropene</t>
  </si>
  <si>
    <t>3-Methylbut-1-ene</t>
  </si>
  <si>
    <t>Hex-1-ene</t>
  </si>
  <si>
    <t>Hex-2-ene</t>
  </si>
  <si>
    <t>1,3-Butadiene</t>
  </si>
  <si>
    <t>Propanol</t>
  </si>
  <si>
    <t>Methylpropylketone</t>
  </si>
  <si>
    <t>Methyl-i-propylketone</t>
  </si>
  <si>
    <t>Methyl-t-butylketone</t>
  </si>
  <si>
    <t>Formaldehyde</t>
  </si>
  <si>
    <t>Methyl-Glyoxal</t>
  </si>
  <si>
    <t>Methyl-Acetate</t>
  </si>
  <si>
    <t>Diethyl-Ether</t>
  </si>
  <si>
    <t>Methyl-t-Butyl-Ether</t>
  </si>
  <si>
    <t>Acetic Acid</t>
  </si>
  <si>
    <t>Ethyl-t-butylether</t>
  </si>
  <si>
    <t>Alkanes</t>
  </si>
  <si>
    <t>Cycloalkanes</t>
  </si>
  <si>
    <t>Alkenes</t>
  </si>
  <si>
    <t>Dialkenes</t>
  </si>
  <si>
    <t>Alkynes</t>
  </si>
  <si>
    <t>Aromatics</t>
  </si>
  <si>
    <t>Alcohols</t>
  </si>
  <si>
    <t>Glycols</t>
  </si>
  <si>
    <t>Ketons</t>
  </si>
  <si>
    <t>Aldehydes</t>
  </si>
  <si>
    <t>Esters</t>
  </si>
  <si>
    <t>Ethers</t>
  </si>
  <si>
    <t>Alcohol and glycol ethers</t>
  </si>
  <si>
    <t>2-Methoxyethanol</t>
  </si>
  <si>
    <t>2-Ethoxyethanol</t>
  </si>
  <si>
    <t>2-Butoxyethanol</t>
  </si>
  <si>
    <t>Carboxylic acids</t>
  </si>
  <si>
    <t>Propanoic acid</t>
  </si>
  <si>
    <t>n-Propyl acetate</t>
  </si>
  <si>
    <t>i-Propyl acetate</t>
  </si>
  <si>
    <t>Halocarbons</t>
  </si>
  <si>
    <t>Methyl chloride</t>
  </si>
  <si>
    <t>Methylene chloride</t>
  </si>
  <si>
    <t>Chloroform</t>
  </si>
  <si>
    <t>Tetrachloroethylene</t>
  </si>
  <si>
    <t>Trichloroethylene</t>
  </si>
  <si>
    <t>Methyl chloroform</t>
  </si>
  <si>
    <t>Methyl Mercaptan</t>
  </si>
  <si>
    <t>Diethyl Sulfide</t>
  </si>
  <si>
    <t>Diethyl Disulfide</t>
  </si>
  <si>
    <t>1,1-dichloroethane</t>
  </si>
  <si>
    <t>1,1-dichloroethylene</t>
  </si>
  <si>
    <t>Particle formation potential</t>
  </si>
  <si>
    <t>PFP un certainty</t>
  </si>
  <si>
    <t>Substance, flow group</t>
  </si>
  <si>
    <t>Substance,
 flow group</t>
  </si>
  <si>
    <t>YOLL /
 climate change</t>
  </si>
  <si>
    <t>HCFC-21</t>
  </si>
  <si>
    <t>HCFC-122</t>
  </si>
  <si>
    <t>HCFC-123</t>
  </si>
  <si>
    <t>HCFC-122a</t>
  </si>
  <si>
    <t>HCFC-124</t>
  </si>
  <si>
    <t>HCFC-123a</t>
  </si>
  <si>
    <t>HCFC-132c</t>
  </si>
  <si>
    <t>HCFC-141b</t>
  </si>
  <si>
    <t>HCFC-142b</t>
  </si>
  <si>
    <t>HCFC-225ca</t>
  </si>
  <si>
    <t>HCFC-225cb</t>
  </si>
  <si>
    <t>(E)-1-Chloro-3,3,3-trifluoroprop-1-ene</t>
  </si>
  <si>
    <t>HFC-41</t>
  </si>
  <si>
    <t>Uncertainty</t>
  </si>
  <si>
    <t>HFC-152</t>
  </si>
  <si>
    <t>HFC-161</t>
  </si>
  <si>
    <t>HFC-227ca</t>
  </si>
  <si>
    <t>HFC-236cb</t>
  </si>
  <si>
    <t>HFC-236ea</t>
  </si>
  <si>
    <t>HFC-245cb</t>
  </si>
  <si>
    <t>HFC-245ea</t>
  </si>
  <si>
    <t>HFC-245eb</t>
  </si>
  <si>
    <t>HFC-245fa</t>
  </si>
  <si>
    <t>HFC-263fb</t>
  </si>
  <si>
    <t>HFC-272ca</t>
  </si>
  <si>
    <t>HFC-329p</t>
  </si>
  <si>
    <t>HFC-365mfc</t>
  </si>
  <si>
    <t>HFC-1132a</t>
  </si>
  <si>
    <t>HFC-1141</t>
  </si>
  <si>
    <t>(Z)-HFC-1225ye</t>
  </si>
  <si>
    <t>(E)-HFC-1225ye</t>
  </si>
  <si>
    <t>(Z)-HFC-1234ze</t>
  </si>
  <si>
    <t>HFC-1234yf</t>
  </si>
  <si>
    <t>(E)-HFC-1234ze</t>
  </si>
  <si>
    <t>(Z)-HFC-1336</t>
  </si>
  <si>
    <t>HFC-1243zf</t>
  </si>
  <si>
    <t>HFC-1345zfc</t>
  </si>
  <si>
    <t>3,3,4,4,5,5,6,6,6-Nonafluorohex-1-ene</t>
  </si>
  <si>
    <t>3,3,4,4,5,5,6,6,7,7,8,8,8-Tridecafluorooct-1-ene</t>
  </si>
  <si>
    <t>3,3,4,4,5,5,6,6,7,7,8,8,9,9,10,10,10-Heptadecafluorodec-1-ene</t>
  </si>
  <si>
    <t>Methylene bromide</t>
  </si>
  <si>
    <t>Halon-1202</t>
  </si>
  <si>
    <t>Halon-1201</t>
  </si>
  <si>
    <t>Halon-1211</t>
  </si>
  <si>
    <t>Halon-1301</t>
  </si>
  <si>
    <t>Halon-2301</t>
  </si>
  <si>
    <t>Halon-2311/Halothane</t>
  </si>
  <si>
    <t>Halon-2401</t>
  </si>
  <si>
    <t>Halon-2402</t>
  </si>
  <si>
    <t>Nitrogen trifluoride</t>
  </si>
  <si>
    <t>(Trifluoromethyl)sulphur pentafluoride</t>
  </si>
  <si>
    <t>Sulphuryl fluoride</t>
  </si>
  <si>
    <t>PFC-14</t>
  </si>
  <si>
    <t>PFC-116</t>
  </si>
  <si>
    <t>PFC-c216</t>
  </si>
  <si>
    <t>PFC-218</t>
  </si>
  <si>
    <t>PFC-318</t>
  </si>
  <si>
    <t>PFC-31-10</t>
  </si>
  <si>
    <t>Perfluorocyclopentene</t>
  </si>
  <si>
    <t>PFC-41-12</t>
  </si>
  <si>
    <t>PFC-51-14</t>
  </si>
  <si>
    <t>PFC-61-16</t>
  </si>
  <si>
    <t>PFC-71-18</t>
  </si>
  <si>
    <t>PFC-91-18</t>
  </si>
  <si>
    <t>Perfluorodecalin(cis)</t>
  </si>
  <si>
    <t>Perfluorodecalin(trans)</t>
  </si>
  <si>
    <t>PFC-1114</t>
  </si>
  <si>
    <t>PFC-1216</t>
  </si>
  <si>
    <t>Perfluorobuta-1,3-diene</t>
  </si>
  <si>
    <t>Perfluorobut-1-ene</t>
  </si>
  <si>
    <t>Perfluorobut-2-ene</t>
  </si>
  <si>
    <t>HFE-125</t>
  </si>
  <si>
    <t>HFE-134 (HG-00)</t>
  </si>
  <si>
    <t>HFE-143a</t>
  </si>
  <si>
    <t>HFE-227ea</t>
  </si>
  <si>
    <t>HCFE-235ca2 (enflurane)</t>
  </si>
  <si>
    <t>HCFE-235da2 (isoflurane)</t>
  </si>
  <si>
    <t>HFE-236ca</t>
  </si>
  <si>
    <t>HFE-236ea2 (desflurane)</t>
  </si>
  <si>
    <t>HFE-236fa</t>
  </si>
  <si>
    <t>HFE-245cb2</t>
  </si>
  <si>
    <t>HFE-245fa1</t>
  </si>
  <si>
    <t>HFE-245fa2</t>
  </si>
  <si>
    <t>2,2,3,3,3-Pentafluoropropan-1-ol</t>
  </si>
  <si>
    <t>HFE-254cb1</t>
  </si>
  <si>
    <t>HFE-263fb2</t>
  </si>
  <si>
    <t>HFE-263m1</t>
  </si>
  <si>
    <t>3,3,3-Trifluoropropan-1-ol</t>
  </si>
  <si>
    <t>HFE-329mcc2</t>
  </si>
  <si>
    <t>HFE-338mmz1</t>
  </si>
  <si>
    <t>HFE-338mcf2</t>
  </si>
  <si>
    <t>Sevoflurane (HFE-347mmz1)</t>
  </si>
  <si>
    <t>HFE-347mcc3 (HFE-7000)</t>
  </si>
  <si>
    <t>HFE-347mcf2</t>
  </si>
  <si>
    <t>HFE-347pcf2</t>
  </si>
  <si>
    <t>HFE-347mmy1</t>
  </si>
  <si>
    <t>HFE-356mec3</t>
  </si>
  <si>
    <t>HFE-356mff2</t>
  </si>
  <si>
    <t>HFE-356pcf2</t>
  </si>
  <si>
    <t>HFE-356pcf3</t>
  </si>
  <si>
    <t>HFE-356pcc3</t>
  </si>
  <si>
    <t>HFE-356mmz1</t>
  </si>
  <si>
    <t>HFE-365mcf3</t>
  </si>
  <si>
    <t>HFE-365mcf2</t>
  </si>
  <si>
    <t>HFE-374pc2</t>
  </si>
  <si>
    <t>4,4,4-Trifluorobutan-1-ol</t>
  </si>
  <si>
    <t>2,2,3,3,4,4,5,5-Octafluorocyclopentanol</t>
  </si>
  <si>
    <t>HFE-43-10pccc124 (H-Galden 1040x, HG-11)</t>
  </si>
  <si>
    <t>HFE-449s1 (HFE-7100)</t>
  </si>
  <si>
    <t>n-HFE-7100</t>
  </si>
  <si>
    <t>i-HFE-7100</t>
  </si>
  <si>
    <t>HFE-569sf2 (HFE-7200)</t>
  </si>
  <si>
    <t>n-HFE-7200</t>
  </si>
  <si>
    <t>i-HFE-7200</t>
  </si>
  <si>
    <t>HFE-236ca12 (HG-10)</t>
  </si>
  <si>
    <t>HFE-338pcc13 (HG-01)</t>
  </si>
  <si>
    <t>1,1,1,3,3,3-Hexafluoropropan-2-ol</t>
  </si>
  <si>
    <t>HG-02</t>
  </si>
  <si>
    <t>HG-03</t>
  </si>
  <si>
    <t>HG-20</t>
  </si>
  <si>
    <t>HG-21</t>
  </si>
  <si>
    <t>HG-30</t>
  </si>
  <si>
    <t>1-Ethoxy-1,1,2,2,3,3,3-heptafluoropropane</t>
  </si>
  <si>
    <t>Fluoroxene</t>
  </si>
  <si>
    <t>1,1,2,2-Tetrafluoro-1-(fluoromethoxy)ethane</t>
  </si>
  <si>
    <t>2-Ethoxy-3,3,4,4,5-pentafluorotetrahydro-2,5-bis[1,2,2,2-tetrafluoro-1-(trifluoromethyl)ethyl]-furan</t>
  </si>
  <si>
    <t>Fluoro(methoxy)methane</t>
  </si>
  <si>
    <t>Difluoro(methoxy)methane</t>
  </si>
  <si>
    <t>Fluoro(fluoromethoxy)methane</t>
  </si>
  <si>
    <t>Difluoro(fluoromethoxy)methane</t>
  </si>
  <si>
    <t>Trifluoro(fluoromethoxy)methane</t>
  </si>
  <si>
    <t>HFE-329me3</t>
  </si>
  <si>
    <t>3,3,4,4, 5,5,6,6,7,7,7-Undecafluoroheptan-1-ol</t>
  </si>
  <si>
    <t>3,3,4,4,5,5,6,6,7,7,8,8,9,9, 9-Pentadecafluorononan-1-ol</t>
  </si>
  <si>
    <t>3,3,4,4,5,5,6,6,7,7,8,8,9,9,10,10,11,11,11-Nonadecafluoroundecan-1-ol</t>
  </si>
  <si>
    <t>2-Chloro-1,1,2-trifluoro-1-methoxyethane</t>
  </si>
  <si>
    <t>PFPMIE (perfluoropolymethylisopropyl ether)</t>
  </si>
  <si>
    <t>HFE-216</t>
  </si>
  <si>
    <t>Trifluoromethyl formate</t>
  </si>
  <si>
    <t>Perfluoroethyl formate</t>
  </si>
  <si>
    <t>Perfluoropropyl formate</t>
  </si>
  <si>
    <t>Perfluorobutyl formate</t>
  </si>
  <si>
    <t>2,2,2-Trifluoroethyl formate</t>
  </si>
  <si>
    <t>3,3,3-Trifluoropropyl formate</t>
  </si>
  <si>
    <t>1,2,2,2-Tetrafluoroethyl formate</t>
  </si>
  <si>
    <t>1,1,1,3,3,3-Hexafluoropropan-2-yl formate</t>
  </si>
  <si>
    <t>Perfluorobutyl acetate</t>
  </si>
  <si>
    <t>Perfluoropropyl acetate</t>
  </si>
  <si>
    <t>Perfluoroethyl acetate</t>
  </si>
  <si>
    <t>Trifluoromethyl acetate</t>
  </si>
  <si>
    <t>Methyl carbonofluoridate</t>
  </si>
  <si>
    <t>1,1-Difluoroethyl carbonofluoridate</t>
  </si>
  <si>
    <t>1,1-Difluoroethyl 2,2,2-trifluoroacetate</t>
  </si>
  <si>
    <t>Ethyl 2,2,2-trifluoroacetate</t>
  </si>
  <si>
    <t>2,2,2-Trifluoroethyl 2,2,2-trifluoroacetate</t>
  </si>
  <si>
    <t>Methyl 2,2,2-trifluoroacetate</t>
  </si>
  <si>
    <t>Methyl 2,2-difluoroacetate</t>
  </si>
  <si>
    <t>Difluoromethyl 2,2,2-trifluoroacetate</t>
  </si>
  <si>
    <t>2,2,3,3,4,4,4-Heptafluorobutan-1-ol</t>
  </si>
  <si>
    <t>1,1,2-Trifluoro-2-(trifluoromethoxy)-ethane</t>
  </si>
  <si>
    <t>1-Ethoxy-1,1,2,3,3,3-hexafluoropropane</t>
  </si>
  <si>
    <t>1,1,1,2,2,3,3-Heptafluoro-3-(1,2,2,2-tetrafluoroethoxy)-propane</t>
  </si>
  <si>
    <t>2,2,3,3-Tetrafluoro-1-propanol</t>
  </si>
  <si>
    <t>2,2,3,3,4,4,4-Heptafluoro-1-butanol</t>
  </si>
  <si>
    <t>1,1,2,2-Tetrafluoro-3-methoxy-propane</t>
  </si>
  <si>
    <t>Perfluoro-2-methyl-3-pentanone</t>
  </si>
  <si>
    <t>3,3,3-Trifluoro-propanal</t>
  </si>
  <si>
    <t>2-Fluoroethanol</t>
  </si>
  <si>
    <t>2,2-Difluoroethanol</t>
  </si>
  <si>
    <t>1,1’-Oxybis[2-(difluoromethoxy)-1,1,2,2-tetrafluoroethane</t>
  </si>
  <si>
    <t>1,1,3,3,4,4,6,6,7,7,9,9,10,10,12,12-hexadecafluoro-2,5,8,11-Tetraoxadodecane</t>
  </si>
  <si>
    <t>1,1,3,3,4,4,6,6,7,7,9,9,10,10,12,12,13,13,15,15-Eicosafluoro-2,5,8,11,14-Pentaoxapentadecane</t>
  </si>
  <si>
    <t>CFC-111</t>
  </si>
  <si>
    <t>CFC-112</t>
  </si>
  <si>
    <t>CFC-211</t>
  </si>
  <si>
    <t>CFC-212</t>
  </si>
  <si>
    <t>CFC-213</t>
  </si>
  <si>
    <t>CFC-214</t>
  </si>
  <si>
    <t>CFC-215</t>
  </si>
  <si>
    <t>CFC-216</t>
  </si>
  <si>
    <t>CFC-217</t>
  </si>
  <si>
    <t>Methyl Chloroform (C2H3Cl3) 1,1,1-trichloroethane</t>
  </si>
  <si>
    <t>CHFBr2</t>
  </si>
  <si>
    <t>C2HFBr4</t>
  </si>
  <si>
    <t>C2HF2Br3</t>
  </si>
  <si>
    <t>C2HF3Br2</t>
  </si>
  <si>
    <t>C2HF4Br</t>
  </si>
  <si>
    <t>C2H2FBr3</t>
  </si>
  <si>
    <t>C2H2F2Br2</t>
  </si>
  <si>
    <t>C2H2F3Br</t>
  </si>
  <si>
    <t>C2H3FBr2</t>
  </si>
  <si>
    <t>C2H3F2Br</t>
  </si>
  <si>
    <t>C2H4FBr</t>
  </si>
  <si>
    <t>C3HFBr6</t>
  </si>
  <si>
    <t>C3HF2Br5</t>
  </si>
  <si>
    <t>C3HF3Br4</t>
  </si>
  <si>
    <t>C3HF4Br3</t>
  </si>
  <si>
    <t>C3HF5Br2</t>
  </si>
  <si>
    <t>C3HF6Br</t>
  </si>
  <si>
    <t>C3H2FBr5</t>
  </si>
  <si>
    <t>C3H2F2Br4</t>
  </si>
  <si>
    <t>C3H2F3Br3</t>
  </si>
  <si>
    <t>C3H2F4Br2</t>
  </si>
  <si>
    <t>C3H2F5Br</t>
  </si>
  <si>
    <t>C3H3FBr4</t>
  </si>
  <si>
    <t>C3H3F2Br3</t>
  </si>
  <si>
    <t>C3H3F3Br2</t>
  </si>
  <si>
    <t>C3H3F4Br</t>
  </si>
  <si>
    <t>C3H4FBr3</t>
  </si>
  <si>
    <t>C3H4F2Br2</t>
  </si>
  <si>
    <t>C3H4F3Br</t>
  </si>
  <si>
    <t>C3H5FBr2</t>
  </si>
  <si>
    <t>C3H5F2Br</t>
  </si>
  <si>
    <t>C3H6FBr</t>
  </si>
  <si>
    <t>Fluorocarbons</t>
  </si>
  <si>
    <t>CH2BrCl</t>
  </si>
  <si>
    <t>HCFC-271</t>
  </si>
  <si>
    <t>HCFC-31</t>
  </si>
  <si>
    <t>HCFC-121</t>
  </si>
  <si>
    <t>HCFC-131</t>
  </si>
  <si>
    <t>HCFC-133</t>
  </si>
  <si>
    <t>HCFC-141</t>
  </si>
  <si>
    <t>HCFC-142</t>
  </si>
  <si>
    <t>HCFC-151</t>
  </si>
  <si>
    <t>HCFC-221</t>
  </si>
  <si>
    <t>HCFC-222</t>
  </si>
  <si>
    <t>HCFC-223</t>
  </si>
  <si>
    <t>HCFC-224</t>
  </si>
  <si>
    <t>HCFC-225</t>
  </si>
  <si>
    <t>HCFC-226</t>
  </si>
  <si>
    <t>HCFC-231</t>
  </si>
  <si>
    <t>HCFC-232</t>
  </si>
  <si>
    <t>HCFC-233</t>
  </si>
  <si>
    <t>HCFC-234</t>
  </si>
  <si>
    <t>HCFC-235</t>
  </si>
  <si>
    <t>HCFC-241</t>
  </si>
  <si>
    <t>HCFC-242</t>
  </si>
  <si>
    <t>HCFC-243</t>
  </si>
  <si>
    <t>HCFC-244</t>
  </si>
  <si>
    <t>HCFC-251</t>
  </si>
  <si>
    <t>HCFC-252</t>
  </si>
  <si>
    <t>HCFC-253</t>
  </si>
  <si>
    <t>HCFC-261</t>
  </si>
  <si>
    <t>HCFC-262</t>
  </si>
  <si>
    <t>Low vision</t>
  </si>
  <si>
    <t>Low vision, ozone depletion pathway</t>
  </si>
  <si>
    <t>Malnutrition, climate change</t>
  </si>
  <si>
    <t>Working capacity, climate change</t>
  </si>
  <si>
    <t>Diarrhea, climate change</t>
  </si>
  <si>
    <t>Crop, climate change</t>
  </si>
  <si>
    <t>Fruit&amp;veg, climate change</t>
  </si>
  <si>
    <t>Wood, climate change</t>
  </si>
  <si>
    <t>Meat&amp;fish, climate change</t>
  </si>
  <si>
    <t>Drinking water, climate change</t>
  </si>
  <si>
    <t>Irrigation water, climate change</t>
  </si>
  <si>
    <t>Energy access, climate change</t>
  </si>
  <si>
    <t>Housing, climate change</t>
  </si>
  <si>
    <t>Separations, climate change</t>
  </si>
  <si>
    <t>NEX, climate change</t>
  </si>
  <si>
    <t>YOLL, ozone
 depletion</t>
  </si>
  <si>
    <t>YOLL, 
climate change</t>
  </si>
  <si>
    <t>ozone depletion</t>
  </si>
  <si>
    <t>Poisoning</t>
  </si>
  <si>
    <t>Skin cancer</t>
  </si>
  <si>
    <t>Crop</t>
  </si>
  <si>
    <t>Climate change</t>
  </si>
  <si>
    <t>Drinking
 water</t>
  </si>
  <si>
    <t>Impacts from waste is normally evaluated in terms of the substances that make up the waste.</t>
  </si>
  <si>
    <t xml:space="preserve"> An exception is littering to soil and water, where there is a common impact regardless of the chemical composition.</t>
  </si>
  <si>
    <t>Meat&amp;fish</t>
  </si>
  <si>
    <t>uncertainty</t>
  </si>
  <si>
    <t>best estimate</t>
  </si>
  <si>
    <t>Litter to ground</t>
  </si>
  <si>
    <t>Tourism &amp; recreational areas</t>
  </si>
  <si>
    <t>Agriculture and Aquaculture</t>
  </si>
  <si>
    <t xml:space="preserve">Annual&amp;perennial non-timber crops </t>
  </si>
  <si>
    <t>Wood &amp; pulp plantations</t>
  </si>
  <si>
    <t>Livestock farming and ranching</t>
  </si>
  <si>
    <t>Marine and freshwater aquaculture</t>
  </si>
  <si>
    <t>Energy production and mining</t>
  </si>
  <si>
    <t>Oil and gas drilling</t>
  </si>
  <si>
    <t>Mining and quarrying</t>
  </si>
  <si>
    <t>Renewable energy</t>
  </si>
  <si>
    <t>Transportation and service corridors</t>
  </si>
  <si>
    <t>Roads and railroads</t>
  </si>
  <si>
    <t>Utility and service lines</t>
  </si>
  <si>
    <t xml:space="preserve">Biological resource use </t>
  </si>
  <si>
    <t>Logging and wood harvesting</t>
  </si>
  <si>
    <t>Land use activity</t>
  </si>
  <si>
    <t>Housing and urban areas, forestland</t>
  </si>
  <si>
    <t>Housing and urban areas, arable land</t>
  </si>
  <si>
    <t>Housing and urban areas, impediment</t>
  </si>
  <si>
    <t>Commercial &amp; industrial areas, arable land</t>
  </si>
  <si>
    <t>Commercial &amp; industrial areas, forestland</t>
  </si>
  <si>
    <t>Commercial &amp; industrial areas, impediment</t>
  </si>
  <si>
    <t>Uncer
tainty</t>
  </si>
  <si>
    <t>Index,
(ELU/unit)</t>
  </si>
  <si>
    <t>?</t>
  </si>
  <si>
    <t>Damage cost</t>
  </si>
  <si>
    <t>Aldicarb [ISO]</t>
  </si>
  <si>
    <t>IARC 53</t>
  </si>
  <si>
    <t>Brodifacoum [ISO]</t>
  </si>
  <si>
    <t>Bromadiolone [ISO]</t>
  </si>
  <si>
    <t>Bromethalin [ISO]</t>
  </si>
  <si>
    <t>Calcium cyanide [C]</t>
  </si>
  <si>
    <t>Captafol [ISO]</t>
  </si>
  <si>
    <t xml:space="preserve">Chlorethoxyfos [ISO] </t>
  </si>
  <si>
    <t>Chlormephos [ISO]</t>
  </si>
  <si>
    <t>Chlorophacinone [ISO]</t>
  </si>
  <si>
    <t>Difenacoum [ISO]</t>
  </si>
  <si>
    <t>Difethialone [ISO]</t>
  </si>
  <si>
    <t>Diphacinone [ISO]</t>
  </si>
  <si>
    <t>Disulfoton [ISO]</t>
  </si>
  <si>
    <t>EPN</t>
  </si>
  <si>
    <t>Ethoprophos [ISO]</t>
  </si>
  <si>
    <t>Flocoumafen</t>
  </si>
  <si>
    <t>Hexachlorobenzene [ISO]</t>
  </si>
  <si>
    <t>IARC 79;</t>
  </si>
  <si>
    <t>Mercuric chloride [ISO]</t>
  </si>
  <si>
    <t>Mevinphos [ISO]</t>
  </si>
  <si>
    <t>Parathion [ISO]</t>
  </si>
  <si>
    <t>IARC30, suppl. 7</t>
  </si>
  <si>
    <t>Parathion-methyl [ISO]</t>
  </si>
  <si>
    <t>Phenylmercury acetate [ISO]</t>
  </si>
  <si>
    <t>Phorate [ISO]</t>
  </si>
  <si>
    <t>Sodium fluoroacetate [C]</t>
  </si>
  <si>
    <t>Sulfotep [ISO]</t>
  </si>
  <si>
    <t>Tebupirimfos [ISO*]</t>
  </si>
  <si>
    <t>Terbufos [ISO]</t>
  </si>
  <si>
    <t>LD50</t>
  </si>
  <si>
    <t xml:space="preserve">Acrolein [C] </t>
  </si>
  <si>
    <t>IARC 63;</t>
  </si>
  <si>
    <t>Allyl alcohol [C]</t>
  </si>
  <si>
    <t>Azinphos-ethyl [ISO]</t>
  </si>
  <si>
    <t>Azinphos-methyl [ISO]</t>
  </si>
  <si>
    <t>Blasticidin-S</t>
  </si>
  <si>
    <t>Butocarboxim [ISO]</t>
  </si>
  <si>
    <t>Butoxycarboxim [ISO]</t>
  </si>
  <si>
    <t>Cadusafos [ISO]</t>
  </si>
  <si>
    <t>Calcium arsenate [C]</t>
  </si>
  <si>
    <t>IARC 84</t>
  </si>
  <si>
    <t>Carbofuran [ISO]</t>
  </si>
  <si>
    <t>Chlorfenvinphos [ISO]</t>
  </si>
  <si>
    <t>3-Chloro-1,2-propanediol</t>
  </si>
  <si>
    <t>Coumaphos [ISO]</t>
  </si>
  <si>
    <t>Coumatetralyl [ISO]</t>
  </si>
  <si>
    <t>Cyfluthrin [ISO]</t>
  </si>
  <si>
    <t>Beta-cyfluthrin [ISO]</t>
  </si>
  <si>
    <t>Zeta-cypermethrin [ISO]</t>
  </si>
  <si>
    <t>Demeton-S-methyl [ISO]</t>
  </si>
  <si>
    <t>Dichlorvos [ISO]</t>
  </si>
  <si>
    <t>IARC 20, 53</t>
  </si>
  <si>
    <t>Dicrotophos [ISO]</t>
  </si>
  <si>
    <t>Dinoterb [ISO]</t>
  </si>
  <si>
    <t>DNOC [ISO]</t>
  </si>
  <si>
    <t>Edifenphos [ISO]</t>
  </si>
  <si>
    <t>Ethiofencarb [ISO]</t>
  </si>
  <si>
    <t>Famphur</t>
  </si>
  <si>
    <t>Fenamiphos [ISO]</t>
  </si>
  <si>
    <t>Flucythrinate [ISO]</t>
  </si>
  <si>
    <t>Fluoroacetamide [C]</t>
  </si>
  <si>
    <t>Formetanate [ISO]</t>
  </si>
  <si>
    <t>Furathiocarb</t>
  </si>
  <si>
    <t>Heptenophos [ISO]</t>
  </si>
  <si>
    <t>Isoxathion [ISO]</t>
  </si>
  <si>
    <t>Lead arsenate [C]</t>
  </si>
  <si>
    <t>Mecarbam [ISO]</t>
  </si>
  <si>
    <t>Mercuric oxide [ISO]</t>
  </si>
  <si>
    <t>Methamidophos [ISO]</t>
  </si>
  <si>
    <t>Methidathion [ISO]</t>
  </si>
  <si>
    <t>Methiocarb [ISO]</t>
  </si>
  <si>
    <t>Methomyl [ISO]</t>
  </si>
  <si>
    <t>Monocrotophos [ISO]</t>
  </si>
  <si>
    <t>Nicotine [ISO]</t>
  </si>
  <si>
    <t>Omethoate [ISO]</t>
  </si>
  <si>
    <t>Oxamyl [ISO]</t>
  </si>
  <si>
    <t>Oxydemeton-methyl [ISO]</t>
  </si>
  <si>
    <t>Paris green [C]</t>
  </si>
  <si>
    <t>Copper-arsenic complex</t>
  </si>
  <si>
    <t>Pentachlorophenol [ISO]</t>
  </si>
  <si>
    <t>Propetamphos [ISO]</t>
  </si>
  <si>
    <t>Sodium arsenite [C]</t>
  </si>
  <si>
    <t>Sodium cyanide [C]</t>
  </si>
  <si>
    <t>Strychnine [C]</t>
  </si>
  <si>
    <t>Tefluthrin</t>
  </si>
  <si>
    <t>Thallium sulfate [C]</t>
  </si>
  <si>
    <t>Thiofanox [ISO]</t>
  </si>
  <si>
    <t>Thiometon [ISO]</t>
  </si>
  <si>
    <t>Triazophos [ISO]</t>
  </si>
  <si>
    <t>Vamidothion [ISO]</t>
  </si>
  <si>
    <t>Warfarin [ISO]</t>
  </si>
  <si>
    <t>Zinc phosphide [C]</t>
  </si>
  <si>
    <t>remarks</t>
  </si>
  <si>
    <t>Acephate [ISO]</t>
  </si>
  <si>
    <t>Acifluorfen [ISO]</t>
  </si>
  <si>
    <t>Alachlor [ISO]</t>
  </si>
  <si>
    <t>IARC 19</t>
  </si>
  <si>
    <t>Alanycarb [ISO]</t>
  </si>
  <si>
    <t>Allethrin [ISO]</t>
  </si>
  <si>
    <t>Ametryn [ISO]</t>
  </si>
  <si>
    <t>Amitraz [ISO]</t>
  </si>
  <si>
    <t>Anilofos [ISO]</t>
  </si>
  <si>
    <t>Azaconazole</t>
  </si>
  <si>
    <t>Azamethiphos [ISO]</t>
  </si>
  <si>
    <t>Azocyclotin [ISO]</t>
  </si>
  <si>
    <t>Bendiocarb [ISO]</t>
  </si>
  <si>
    <t>Benfuracarb [ISO]</t>
  </si>
  <si>
    <t>Bensulide [ISO]</t>
  </si>
  <si>
    <t>Bensultap [ISO]</t>
  </si>
  <si>
    <t>Bentazone [ISO]</t>
  </si>
  <si>
    <t>Bilanafos [ISO]</t>
  </si>
  <si>
    <t>Bioallethrin [C]</t>
  </si>
  <si>
    <t>Bromoxynil [ISO]</t>
  </si>
  <si>
    <t>Bromuconazole</t>
  </si>
  <si>
    <t>116255-48-2</t>
  </si>
  <si>
    <t>Bronopol</t>
  </si>
  <si>
    <t>Butamifos [ISO]</t>
  </si>
  <si>
    <t>Butralin [ISO]</t>
  </si>
  <si>
    <t>Butroxydim [ISO]</t>
  </si>
  <si>
    <t>138164-12-2</t>
  </si>
  <si>
    <t>Butylamine [ISO]</t>
  </si>
  <si>
    <t>Carbaryl [ISO]</t>
  </si>
  <si>
    <t>Carbosulfan [ISO]</t>
  </si>
  <si>
    <t>Cartap [ISO]</t>
  </si>
  <si>
    <t>Chloralose [C]</t>
  </si>
  <si>
    <t>Chlordane [ISO]</t>
  </si>
  <si>
    <t>Chlorfenapyr [ISO]</t>
  </si>
  <si>
    <t>122453-73-0</t>
  </si>
  <si>
    <t>Chlormequat (chloride) [ISO]</t>
  </si>
  <si>
    <t>Chloroacetic acid [C]</t>
  </si>
  <si>
    <t>Chlorphonium chloride [ISO]</t>
  </si>
  <si>
    <t>Chlorpyrifos [ISO]</t>
  </si>
  <si>
    <t>Clomazone [ISO]</t>
  </si>
  <si>
    <t>Copper hydroxide [C]</t>
  </si>
  <si>
    <t>Copper oxychloride [C]</t>
  </si>
  <si>
    <t>Copper sulfate [C]</t>
  </si>
  <si>
    <t>4-CPA [ISO]</t>
  </si>
  <si>
    <t>Cuprous oxide [C]</t>
  </si>
  <si>
    <t>Cyanazine [ISO]</t>
  </si>
  <si>
    <t>Cyanophos [ISO]</t>
  </si>
  <si>
    <t>Cyhalothrin [ISO]</t>
  </si>
  <si>
    <t>Cyhexatin [ISO]</t>
  </si>
  <si>
    <t>Cymoxanil [ISO]</t>
  </si>
  <si>
    <t>Cypermethrin [ISO]</t>
  </si>
  <si>
    <t>Alpha-cypermethrin [ISO]</t>
  </si>
  <si>
    <t>Cyphenothrin [(1R)-isomers][ISO]</t>
  </si>
  <si>
    <t>Cyproconazole</t>
  </si>
  <si>
    <t>2,4-D [ISO]</t>
  </si>
  <si>
    <t>IARC 41 suppl 7</t>
  </si>
  <si>
    <t>Dazomet [ISO]</t>
  </si>
  <si>
    <t>2,4-DB</t>
  </si>
  <si>
    <t>DDT [ISO]</t>
  </si>
  <si>
    <t>Deltamethrin [ISO]</t>
  </si>
  <si>
    <t>Diazinon [ISO]</t>
  </si>
  <si>
    <t>Dicamba [ISO]</t>
  </si>
  <si>
    <t>Dichlorobenzene [C]</t>
  </si>
  <si>
    <t>Dichlorophen [ISO]</t>
  </si>
  <si>
    <t>Dichlorprop [ISO]</t>
  </si>
  <si>
    <t>Diclofop [ISO]</t>
  </si>
  <si>
    <t>Dicofol [ISO]</t>
  </si>
  <si>
    <t>Difenoconazole [ISO]</t>
  </si>
  <si>
    <t>119446-68-3</t>
  </si>
  <si>
    <t>Difenzoquat [ISO]</t>
  </si>
  <si>
    <t>Dimepiperate [ISO]</t>
  </si>
  <si>
    <t>Dimethachlor [ISO]</t>
  </si>
  <si>
    <t>Dimethipin [ISO]</t>
  </si>
  <si>
    <t>Dimethenamid [ISO]</t>
  </si>
  <si>
    <t>Dimethylarsinic acid [C]</t>
  </si>
  <si>
    <t>Dimethoate [ISO]</t>
  </si>
  <si>
    <t>Diniconazole [ISO]</t>
  </si>
  <si>
    <t>Dinobuton [ISO]</t>
  </si>
  <si>
    <t>Dinocap [ISO]</t>
  </si>
  <si>
    <t>Diphenamid [ISO]</t>
  </si>
  <si>
    <t>Diquat [ISO]</t>
  </si>
  <si>
    <t>Dithianon [ISO]</t>
  </si>
  <si>
    <t>Dodine [ISO]</t>
  </si>
  <si>
    <t>Endosulfan [ISO]</t>
  </si>
  <si>
    <t>Endothal-sodium [(ISO)]</t>
  </si>
  <si>
    <t>EPTC [ISO]</t>
  </si>
  <si>
    <t>Esfenvalerate [ISO]</t>
  </si>
  <si>
    <t>Ethion [ISO]</t>
  </si>
  <si>
    <t>Fenazaquin [ISO]</t>
  </si>
  <si>
    <t>Fenitrothion [ISO]</t>
  </si>
  <si>
    <t>Fenobucarb</t>
  </si>
  <si>
    <t>Fenothiocarb [ISO]</t>
  </si>
  <si>
    <t>Fenpropidin [ISO]</t>
  </si>
  <si>
    <t>Fenpropathrin [ISO]</t>
  </si>
  <si>
    <t>Fenpyroximate [ISO]</t>
  </si>
  <si>
    <t>134098-61-6</t>
  </si>
  <si>
    <t>Fenthion [ISO]</t>
  </si>
  <si>
    <t>Fentin acetate[(ISO)]</t>
  </si>
  <si>
    <t>Fentin hydroxide[(ISO)]</t>
  </si>
  <si>
    <t>Fenvalerate [ISO]</t>
  </si>
  <si>
    <t>Ferimzone [ISO]</t>
  </si>
  <si>
    <t>120068-37-3</t>
  </si>
  <si>
    <t>Fluchloralin [ISO]</t>
  </si>
  <si>
    <t>Flufenacet [ISO]</t>
  </si>
  <si>
    <t>Fluoroglycofen</t>
  </si>
  <si>
    <t>Flurprimidol [ISO]</t>
  </si>
  <si>
    <t>Flusilazole</t>
  </si>
  <si>
    <t>Flutriafol [ISO]</t>
  </si>
  <si>
    <t>Fluxofenim [ISO]</t>
  </si>
  <si>
    <t>Fomesafen [ISO]</t>
  </si>
  <si>
    <t>Fuberidazole [ISO]</t>
  </si>
  <si>
    <t>Furalaxyl [ISO]</t>
  </si>
  <si>
    <t>Gamma-HCH [ISO], Lindane</t>
  </si>
  <si>
    <t>Glufosinate [ISO]</t>
  </si>
  <si>
    <t>Guazatine</t>
  </si>
  <si>
    <t xml:space="preserve">Haloxyfop </t>
  </si>
  <si>
    <t>HCH [ISO]</t>
  </si>
  <si>
    <t>IARC 5, 20, 42</t>
  </si>
  <si>
    <t>Hexazinone [ISO]</t>
  </si>
  <si>
    <t>Hydramethylnon</t>
  </si>
  <si>
    <t>Imazalil [ISO]</t>
  </si>
  <si>
    <t>Imidacloprid [ISO]</t>
  </si>
  <si>
    <t>138261-41-3</t>
  </si>
  <si>
    <t>Iminoctadine [ISO]</t>
  </si>
  <si>
    <t>Indoxacarb [ISO]</t>
  </si>
  <si>
    <t>173584-44-6</t>
  </si>
  <si>
    <t>Ioxynil [ISO]</t>
  </si>
  <si>
    <t>Ioxynil octanoate [(ISO)]</t>
  </si>
  <si>
    <t>Iprobenfos</t>
  </si>
  <si>
    <t>Isoprocarb [ISO]</t>
  </si>
  <si>
    <t>Isoprothiolane [ISO]</t>
  </si>
  <si>
    <t>Isoproturon [ISO]</t>
  </si>
  <si>
    <t>Isouron [ISO]</t>
  </si>
  <si>
    <t>MCPA [ISO]</t>
  </si>
  <si>
    <t>IARC 30, 41</t>
  </si>
  <si>
    <t>MCPA-thioethyl [ISO]</t>
  </si>
  <si>
    <t>MCPB [ISO]</t>
  </si>
  <si>
    <t>Mecoprop [ISO]</t>
  </si>
  <si>
    <t>Mecoprop-P [ISO]</t>
  </si>
  <si>
    <t>Mefluidide [ISO]</t>
  </si>
  <si>
    <t>Mepiquat [ISO]</t>
  </si>
  <si>
    <t>Mercurous chloride [C]</t>
  </si>
  <si>
    <t>Metalaxyl [ISO]</t>
  </si>
  <si>
    <t>Metaldehyde [ISO]</t>
  </si>
  <si>
    <t>Metamitron [ISO]</t>
  </si>
  <si>
    <t>Metam-sodium [(ISO)]</t>
  </si>
  <si>
    <t>Metconazole [ISO]</t>
  </si>
  <si>
    <t>Methacrifos [ISO]</t>
  </si>
  <si>
    <t>Methasulfocarb [ISO]</t>
  </si>
  <si>
    <t>Methylarsonic acid [ISO]</t>
  </si>
  <si>
    <t>Methyl isothiocyanate [ISO]</t>
  </si>
  <si>
    <t>Metolcarb [ISO]</t>
  </si>
  <si>
    <t>Metribuzin [ISO]</t>
  </si>
  <si>
    <t>Molinate [ISO]</t>
  </si>
  <si>
    <t>Myclobutanil</t>
  </si>
  <si>
    <t>Nabam [ISO]</t>
  </si>
  <si>
    <t>Naled [ISO]</t>
  </si>
  <si>
    <t>2-Napthyloxyacetic acid [ISO]</t>
  </si>
  <si>
    <t>Nitrapyrin [ISO]</t>
  </si>
  <si>
    <t>Nuarimol [ISO]</t>
  </si>
  <si>
    <t>Octhilinone [ISO]</t>
  </si>
  <si>
    <t>Oxadixyl</t>
  </si>
  <si>
    <t>Paclobutrazol [ISO]</t>
  </si>
  <si>
    <t>Paraquat [ISO]</t>
  </si>
  <si>
    <t>Pebulate [ISO]</t>
  </si>
  <si>
    <t>Pendimethalin [ISO]</t>
  </si>
  <si>
    <t>Permethrin [ISO]</t>
  </si>
  <si>
    <t>Phenthoate [ISO]</t>
  </si>
  <si>
    <t>Phosalone [ISO]</t>
  </si>
  <si>
    <t>Phosmet [ISO]</t>
  </si>
  <si>
    <t>Phoxim [ISO]</t>
  </si>
  <si>
    <t>Piperophos [ISO]</t>
  </si>
  <si>
    <t>Pirimicarb [ISO]</t>
  </si>
  <si>
    <t>Pirimiphos-methyl [ISO]</t>
  </si>
  <si>
    <t>Prallethrin [ISO]</t>
  </si>
  <si>
    <t>Prochloraz [ISO]</t>
  </si>
  <si>
    <t>Profenofos [ISO]</t>
  </si>
  <si>
    <t>Propachlor [ISO]</t>
  </si>
  <si>
    <t>Propanil [ISO]</t>
  </si>
  <si>
    <t>Propiconazole [ISO]</t>
  </si>
  <si>
    <t>Propoxur [ISO]</t>
  </si>
  <si>
    <t>Prosulfocarb [ISO]</t>
  </si>
  <si>
    <t>Prothiofos [ISO]</t>
  </si>
  <si>
    <t>Pyraclofos [ISO]</t>
  </si>
  <si>
    <t>Pyrazophos [ISO]</t>
  </si>
  <si>
    <t>Pyrazoxyfen [ISO]</t>
  </si>
  <si>
    <t>Pyrethrins [C]</t>
  </si>
  <si>
    <t>Pyridaben [ISO]</t>
  </si>
  <si>
    <t>Pyridaphenthion</t>
  </si>
  <si>
    <t>Pyroquilon [ISO]</t>
  </si>
  <si>
    <t>Quinalphos [ISO]</t>
  </si>
  <si>
    <t>Quinoclamine [ISO]</t>
  </si>
  <si>
    <t>Quizalofop</t>
  </si>
  <si>
    <t>Quizalofop-p-tefuryl [ISO]</t>
  </si>
  <si>
    <t>Rotenone [C]</t>
  </si>
  <si>
    <t>Simetryn [ISO]</t>
  </si>
  <si>
    <t>Sodium chlorate [ISO]</t>
  </si>
  <si>
    <t>Spiroxamine [ISO]</t>
  </si>
  <si>
    <t>118134-30-8</t>
  </si>
  <si>
    <t>Sulfluramid [ISO]</t>
  </si>
  <si>
    <t>2,3,6-TBA [ISO]</t>
  </si>
  <si>
    <t>TCA [ISO] (acid)</t>
  </si>
  <si>
    <t>Tebuconazole [ISO]</t>
  </si>
  <si>
    <t>Tebufenpyrad [ISO]</t>
  </si>
  <si>
    <t>Tebuthiuron [ISO]</t>
  </si>
  <si>
    <t>Terbumeton [ISO]</t>
  </si>
  <si>
    <t>Tetraconazole [ISO]</t>
  </si>
  <si>
    <t>Thiacloprid</t>
  </si>
  <si>
    <t>111988-49-9</t>
  </si>
  <si>
    <t>Thiobencarb [ISO]</t>
  </si>
  <si>
    <t>Thiocyclam [ISO]</t>
  </si>
  <si>
    <t>Thiodicarb [ISO]</t>
  </si>
  <si>
    <t>Thiram [ISO]</t>
  </si>
  <si>
    <t>IARC 12, 53</t>
  </si>
  <si>
    <t>Tralkoxydim [ISO]</t>
  </si>
  <si>
    <t>Tralomethrin</t>
  </si>
  <si>
    <t>Triadimefon [ISO]</t>
  </si>
  <si>
    <t>Triadimenol [ISO]</t>
  </si>
  <si>
    <t>Triazamate [ISO]</t>
  </si>
  <si>
    <t>112143-82-5</t>
  </si>
  <si>
    <t>Trichlorfon [ISO]</t>
  </si>
  <si>
    <t>IARC 30, suppl.7</t>
  </si>
  <si>
    <t>Triclopyr [ISO]</t>
  </si>
  <si>
    <t>Tricyclazole [ISO]</t>
  </si>
  <si>
    <t>Tridemorph [ISO]</t>
  </si>
  <si>
    <t>Triflumizole</t>
  </si>
  <si>
    <t>Uniconazole [ISO]</t>
  </si>
  <si>
    <t>XMC</t>
  </si>
  <si>
    <t>Xylylcarb</t>
  </si>
  <si>
    <t>Ziram [ISO]</t>
  </si>
  <si>
    <t>YOLL, 
acute tox</t>
  </si>
  <si>
    <t>Poisoning
personyear</t>
  </si>
  <si>
    <t>Biodiversity, 
NEX</t>
  </si>
  <si>
    <t>Cu-ore</t>
  </si>
  <si>
    <t>As-ore</t>
  </si>
  <si>
    <t>Hg-ore</t>
  </si>
  <si>
    <t>Zn-ore</t>
  </si>
  <si>
    <t>Pb-ore</t>
  </si>
  <si>
    <t>kg produced</t>
  </si>
  <si>
    <t>oxygen deficiency</t>
  </si>
  <si>
    <t>BOD to freshwater</t>
  </si>
  <si>
    <t>BOD to seawater</t>
  </si>
  <si>
    <t>COD to freshwater</t>
  </si>
  <si>
    <t>COD to seawater</t>
  </si>
  <si>
    <t>N-tot to freshwater</t>
  </si>
  <si>
    <t>N-tot to seawater</t>
  </si>
  <si>
    <t>P-tot to freshwater</t>
  </si>
  <si>
    <t>P-tot to seawater</t>
  </si>
  <si>
    <t>Damage cost,
 EUR/kg</t>
  </si>
  <si>
    <t>Oxygen deficiency</t>
  </si>
  <si>
    <t>eutrophication</t>
  </si>
  <si>
    <t>Fish&amp;meat production capacity</t>
  </si>
  <si>
    <t>cancer</t>
  </si>
  <si>
    <t>PM&gt;10 to air</t>
  </si>
  <si>
    <t>PM10 to air</t>
  </si>
  <si>
    <t>PM2.5 to air</t>
  </si>
  <si>
    <t>BC to air</t>
  </si>
  <si>
    <t>OC to air</t>
  </si>
  <si>
    <t>As to air</t>
  </si>
  <si>
    <t>Cd to air</t>
  </si>
  <si>
    <t>Cr to air</t>
  </si>
  <si>
    <t>Cu to air</t>
  </si>
  <si>
    <t>Ni to air</t>
  </si>
  <si>
    <t>soil mineralisation</t>
  </si>
  <si>
    <t>Intellectual disability: mild</t>
  </si>
  <si>
    <t>Hg to air as trace element</t>
  </si>
  <si>
    <t>Hg to air from bulk handling</t>
  </si>
  <si>
    <t>kg Hg</t>
  </si>
  <si>
    <t>dispersion</t>
  </si>
  <si>
    <t>Depletion of Ni reserves</t>
  </si>
  <si>
    <t>Nickel ore</t>
  </si>
  <si>
    <t>Depletion of Tm reserves</t>
  </si>
  <si>
    <t>Pb-210</t>
  </si>
  <si>
    <t>Po-210</t>
  </si>
  <si>
    <t>Rn-222</t>
  </si>
  <si>
    <t>Ra-226</t>
  </si>
  <si>
    <t>Th-230</t>
  </si>
  <si>
    <t>U-234</t>
  </si>
  <si>
    <t>U-238</t>
  </si>
  <si>
    <t>H-3</t>
  </si>
  <si>
    <t>C-14</t>
  </si>
  <si>
    <t>Kr-85</t>
  </si>
  <si>
    <t>I-129</t>
  </si>
  <si>
    <t>Collective
 dose per unit release</t>
  </si>
  <si>
    <t>U-235</t>
  </si>
  <si>
    <t>manSv/TBq</t>
  </si>
  <si>
    <t>negligable impact</t>
  </si>
  <si>
    <t>Emissions to air from the nuclear fuel cycle</t>
  </si>
  <si>
    <t>Emissions to water  the nuclear fuel cycle</t>
  </si>
  <si>
    <t>Cancer
 personyr</t>
  </si>
  <si>
    <t>Damage cost,
 EUR/TBq</t>
  </si>
  <si>
    <t>Building technology</t>
  </si>
  <si>
    <t>Capacity</t>
  </si>
  <si>
    <t>Efficiency</t>
  </si>
  <si>
    <t>Energy technology</t>
  </si>
  <si>
    <t>Transport technology</t>
  </si>
  <si>
    <t>Environmental technology</t>
  </si>
  <si>
    <t>Drinking water devilery capacity</t>
  </si>
  <si>
    <t>Food technology</t>
  </si>
  <si>
    <t>Textile technology</t>
  </si>
  <si>
    <t>Information technology</t>
  </si>
  <si>
    <t>Environmental</t>
  </si>
  <si>
    <t>Social</t>
  </si>
  <si>
    <t>State indicator type</t>
  </si>
  <si>
    <t>Economical</t>
  </si>
  <si>
    <t>Income</t>
  </si>
  <si>
    <t>GNP/capita</t>
  </si>
  <si>
    <t>EUR</t>
  </si>
  <si>
    <t>Monetary</t>
  </si>
  <si>
    <t>Culture</t>
  </si>
  <si>
    <t>Jobs, occupation</t>
  </si>
  <si>
    <t>Land availability</t>
  </si>
  <si>
    <t>Social security</t>
  </si>
  <si>
    <t>Parental leave</t>
  </si>
  <si>
    <t>Continuity in relations</t>
  </si>
  <si>
    <t>Separations</t>
  </si>
  <si>
    <t>Culture consumption</t>
  </si>
  <si>
    <t>Free press</t>
  </si>
  <si>
    <t>Education</t>
  </si>
  <si>
    <t>Culture, knowledge</t>
  </si>
  <si>
    <t>Employment</t>
  </si>
  <si>
    <t>pesonyears</t>
  </si>
  <si>
    <t>nr</t>
  </si>
  <si>
    <t>Quantitative, not monetized</t>
  </si>
  <si>
    <t>Quantitative, monetized, flow related</t>
  </si>
  <si>
    <t>Poverty</t>
  </si>
  <si>
    <t>Income equality</t>
  </si>
  <si>
    <t>Population</t>
  </si>
  <si>
    <t>nr of persons</t>
  </si>
  <si>
    <t>EUR or ratio</t>
  </si>
  <si>
    <t>Social security, peace</t>
  </si>
  <si>
    <t>Culture, peace</t>
  </si>
  <si>
    <t>Average NMVOC</t>
  </si>
  <si>
    <t>Impact index, v2014, (ELU/kg , ELU/m3 or ELU/MJ)</t>
  </si>
  <si>
    <t>Infarcts</t>
  </si>
  <si>
    <t>sleep disturbance</t>
  </si>
  <si>
    <t>relative power of noise from road traffic, 10^(dBA/10)</t>
  </si>
  <si>
    <t>ELU/relative power</t>
  </si>
  <si>
    <t>Noise emission from one vehicle (db)</t>
  </si>
  <si>
    <t>Damage cost,
 EUR/power unit</t>
  </si>
  <si>
    <t>m2</t>
  </si>
  <si>
    <t>Quantitative, monetizeable, function related</t>
  </si>
  <si>
    <t>Volume stored</t>
  </si>
  <si>
    <t>number</t>
  </si>
  <si>
    <t>per unit</t>
  </si>
  <si>
    <t>Delivery capacity of electricity</t>
  </si>
  <si>
    <t>Cost per living area and time</t>
  </si>
  <si>
    <t>Cost perkWh</t>
  </si>
  <si>
    <t>Cost per m3 water</t>
  </si>
  <si>
    <t>Cost per volume transferred</t>
  </si>
  <si>
    <t>Cost per mass and distance</t>
  </si>
  <si>
    <t>Cost per person and distance</t>
  </si>
  <si>
    <t>EURs/m2year</t>
  </si>
  <si>
    <t>EURs/m3</t>
  </si>
  <si>
    <t>EURs/tonkm</t>
  </si>
  <si>
    <t>Skin cancer, 
ozone depletion</t>
  </si>
  <si>
    <t>housing availability</t>
  </si>
  <si>
    <t>Abundance in earth's upper 
continental crust (mg/kg)</t>
  </si>
  <si>
    <t>Green process</t>
  </si>
  <si>
    <t>m3/day</t>
  </si>
  <si>
    <t>Mcal/day</t>
  </si>
  <si>
    <t>EUR/Mcal</t>
  </si>
  <si>
    <t>Cost per  food unit</t>
  </si>
  <si>
    <t>EUR/kWh</t>
  </si>
  <si>
    <t>EUR/kg</t>
  </si>
  <si>
    <t>Cost per unit clothing</t>
  </si>
  <si>
    <t>kg/year</t>
  </si>
  <si>
    <t>TB</t>
  </si>
  <si>
    <t>EUR/TB</t>
  </si>
  <si>
    <t>tonkm/year</t>
  </si>
  <si>
    <t>EUR/personkm</t>
  </si>
  <si>
    <t>personkm/year</t>
  </si>
  <si>
    <t>.</t>
  </si>
  <si>
    <t>Production of Charcoal</t>
  </si>
  <si>
    <t>Total cost (external + internal)</t>
  </si>
  <si>
    <t>Sustainable production of metals</t>
  </si>
  <si>
    <t>Uncertainty
 factor</t>
  </si>
  <si>
    <t>Worksheet 2 summarizing state indicators (endpoint category indicators) and their monetary values</t>
  </si>
  <si>
    <t>Worksheets 3 to 6 that describe how monetary values of state indicators for abiotic resources have been determined</t>
  </si>
  <si>
    <t>Worksheet 14, where characterisation factors and damage costs of noise is calculated</t>
  </si>
  <si>
    <t>Worksheet 15 modelling characterisation factors and damage costs for land use</t>
  </si>
  <si>
    <t>Worksheet 16 adressing unmanaged waste</t>
  </si>
  <si>
    <t>HBr</t>
  </si>
  <si>
    <t>HCN</t>
  </si>
  <si>
    <t>O3</t>
  </si>
  <si>
    <t>1-Butoxypropanol (Butyl diglycol acetate)</t>
  </si>
  <si>
    <t>2,2,3,4,4,4-Hexafluoro-1-butanol Hexafluoropropyl methyl ether</t>
  </si>
  <si>
    <t>Plastic litter to water</t>
  </si>
  <si>
    <t>PAH</t>
  </si>
  <si>
    <t>cells marked yellow contains information derived in other cells and should not be changed</t>
  </si>
  <si>
    <t>cost, €/kg</t>
  </si>
  <si>
    <r>
      <t>Contribution mean, ( kg</t>
    </r>
    <r>
      <rPr>
        <vertAlign val="superscript"/>
        <sz val="10"/>
        <rFont val="Arial"/>
        <family val="2"/>
      </rPr>
      <t>-1</t>
    </r>
    <r>
      <rPr>
        <sz val="10"/>
        <rFont val="Arial"/>
        <family val="2"/>
      </rPr>
      <t>)</t>
    </r>
  </si>
  <si>
    <t>As to freshwater</t>
  </si>
  <si>
    <t>bladder cancer</t>
  </si>
  <si>
    <t>cardiovascular mortality</t>
  </si>
  <si>
    <t>skin cancer</t>
  </si>
  <si>
    <t>Cd to freshwater</t>
  </si>
  <si>
    <t>Osteoporosis</t>
  </si>
  <si>
    <t>Intake via drinking water</t>
  </si>
  <si>
    <t>Renal dysfunction</t>
  </si>
  <si>
    <t>cases</t>
  </si>
  <si>
    <t>Cr6+ to freshwater</t>
  </si>
  <si>
    <t>Ni to freshwater</t>
  </si>
  <si>
    <t>Pb to freshwater</t>
  </si>
  <si>
    <t>Hg to water</t>
  </si>
  <si>
    <t>diarrhoea</t>
  </si>
  <si>
    <t>Contribution mean,</t>
  </si>
  <si>
    <t xml:space="preserve"> 10^(dBA/10)</t>
  </si>
  <si>
    <t>Residential &amp; commercial developments in cities &gt; 0.5 million inhabitants</t>
  </si>
  <si>
    <t>Residential &amp; commercial developments in rural and cities &lt; 0.5 million inhabitants</t>
  </si>
  <si>
    <t>Mining area</t>
  </si>
  <si>
    <t>m2yr</t>
  </si>
  <si>
    <t>Bio oil</t>
  </si>
  <si>
    <t>cardiovascular mortalllity</t>
  </si>
  <si>
    <t>Polychlorinated dibenzo-p-furans (2,3,7,8 - TCDD eq.)</t>
  </si>
  <si>
    <t>case</t>
  </si>
  <si>
    <t>000079-11-8</t>
  </si>
  <si>
    <t>091465-08-6</t>
  </si>
  <si>
    <t>002597-03-7</t>
  </si>
  <si>
    <t>007775-09-9</t>
  </si>
  <si>
    <t>000076-03-9</t>
  </si>
  <si>
    <t>002425-10-7</t>
  </si>
  <si>
    <t>x</t>
  </si>
  <si>
    <t>000050-31-7</t>
  </si>
  <si>
    <t>000094-75-7</t>
  </si>
  <si>
    <t>000094-82-6</t>
  </si>
  <si>
    <t>000120-23-0</t>
  </si>
  <si>
    <t>000096-24-2</t>
  </si>
  <si>
    <t>000122-88-3</t>
  </si>
  <si>
    <t>030560-19-1</t>
  </si>
  <si>
    <t>050594-66-6</t>
  </si>
  <si>
    <t>000107-02-8</t>
  </si>
  <si>
    <t>015972-60-8</t>
  </si>
  <si>
    <t>083130-01-2</t>
  </si>
  <si>
    <t>000116-06-3</t>
  </si>
  <si>
    <t>000584-79-2</t>
  </si>
  <si>
    <t>000107-18-6</t>
  </si>
  <si>
    <t>067375-30-8</t>
  </si>
  <si>
    <t>000834-12-8</t>
  </si>
  <si>
    <t>033089-61-1</t>
  </si>
  <si>
    <t>064249-01-0</t>
  </si>
  <si>
    <t>060207-31-0</t>
  </si>
  <si>
    <t>035575-96-3</t>
  </si>
  <si>
    <t>002642-71-9</t>
  </si>
  <si>
    <t>000086-50-0</t>
  </si>
  <si>
    <t>041083-11-8</t>
  </si>
  <si>
    <t>022781-23-3</t>
  </si>
  <si>
    <t>082560-54-1</t>
  </si>
  <si>
    <t>000741-58-2</t>
  </si>
  <si>
    <t>017606-31-4</t>
  </si>
  <si>
    <t>025057-89-0</t>
  </si>
  <si>
    <t>068359-37-5</t>
  </si>
  <si>
    <t>082657-04-3</t>
  </si>
  <si>
    <t>071048-99-2</t>
  </si>
  <si>
    <t>002079-00-7</t>
  </si>
  <si>
    <t>056073-10-0</t>
  </si>
  <si>
    <t>028772-56-7</t>
  </si>
  <si>
    <t>063333-35-7</t>
  </si>
  <si>
    <t>001689-84-5</t>
  </si>
  <si>
    <t>000052-51-7</t>
  </si>
  <si>
    <t>036335-67-8</t>
  </si>
  <si>
    <t>034681-10-2</t>
  </si>
  <si>
    <t>034681-23-7</t>
  </si>
  <si>
    <t>033629-47-9</t>
  </si>
  <si>
    <t>013952-84-6</t>
  </si>
  <si>
    <t>095465-99-9</t>
  </si>
  <si>
    <t>007778-44-1</t>
  </si>
  <si>
    <t>000592-01-8</t>
  </si>
  <si>
    <t>002425-06-1</t>
  </si>
  <si>
    <t>000063-25-2</t>
  </si>
  <si>
    <t>001563-66-2</t>
  </si>
  <si>
    <t>055285-14-8</t>
  </si>
  <si>
    <t>015263-53-3</t>
  </si>
  <si>
    <t>015879-93-3</t>
  </si>
  <si>
    <t>000057-74-9</t>
  </si>
  <si>
    <t>054593-83-8</t>
  </si>
  <si>
    <t>000470-90-6</t>
  </si>
  <si>
    <t>024934-91-6</t>
  </si>
  <si>
    <t>000999-81-5</t>
  </si>
  <si>
    <t>003691-35-8</t>
  </si>
  <si>
    <t>000115-78-6</t>
  </si>
  <si>
    <t>002921-88-2</t>
  </si>
  <si>
    <t>081777-89-1</t>
  </si>
  <si>
    <t>020427-59-2</t>
  </si>
  <si>
    <t>001332-40-7</t>
  </si>
  <si>
    <t>007758-98-7</t>
  </si>
  <si>
    <t>000056-72-4</t>
  </si>
  <si>
    <t>005836-29-3</t>
  </si>
  <si>
    <t>001317-39-1</t>
  </si>
  <si>
    <t>021725-46-2</t>
  </si>
  <si>
    <t>002636-26-2</t>
  </si>
  <si>
    <t>068085-85-8</t>
  </si>
  <si>
    <t>013121-70-5</t>
  </si>
  <si>
    <t>057966-95-7</t>
  </si>
  <si>
    <t>052315-07-8</t>
  </si>
  <si>
    <t>039515-40-7</t>
  </si>
  <si>
    <t>094361-06-5</t>
  </si>
  <si>
    <t>000533-74-4</t>
  </si>
  <si>
    <t>000050-29-3</t>
  </si>
  <si>
    <t>052918-63-5</t>
  </si>
  <si>
    <t>000919-86-8</t>
  </si>
  <si>
    <t>000333-41-5</t>
  </si>
  <si>
    <t>001918-00-9</t>
  </si>
  <si>
    <t>000106-46-7</t>
  </si>
  <si>
    <t>000097-23-4</t>
  </si>
  <si>
    <t>007547-66-2</t>
  </si>
  <si>
    <t>000062-73-7</t>
  </si>
  <si>
    <t>040483-25-2</t>
  </si>
  <si>
    <t>000115-32-2</t>
  </si>
  <si>
    <t>000141-66-2</t>
  </si>
  <si>
    <t>056073-07-5</t>
  </si>
  <si>
    <t>043222-48-6</t>
  </si>
  <si>
    <t>104653-34-1</t>
  </si>
  <si>
    <t>061432-55-1</t>
  </si>
  <si>
    <t>050563-36-5</t>
  </si>
  <si>
    <t>087674-68-8</t>
  </si>
  <si>
    <t>055290-64-7</t>
  </si>
  <si>
    <t>000060-51-5</t>
  </si>
  <si>
    <t>000075-60-5</t>
  </si>
  <si>
    <t>083657-24-3</t>
  </si>
  <si>
    <t>000973-21-7</t>
  </si>
  <si>
    <t>039300-45-3</t>
  </si>
  <si>
    <t>001420-07-1</t>
  </si>
  <si>
    <t>000082-66-6</t>
  </si>
  <si>
    <t>000957-51-7</t>
  </si>
  <si>
    <t>002764-72-9</t>
  </si>
  <si>
    <t>000298-04-4</t>
  </si>
  <si>
    <t>003347-22-6</t>
  </si>
  <si>
    <t>000534-52-1</t>
  </si>
  <si>
    <t>002439-10-3</t>
  </si>
  <si>
    <t>017109-49-8</t>
  </si>
  <si>
    <t>000115-29-7</t>
  </si>
  <si>
    <t>000125-67-9</t>
  </si>
  <si>
    <t>002104-64-5</t>
  </si>
  <si>
    <t>000759-94-4</t>
  </si>
  <si>
    <t>066230-04-4</t>
  </si>
  <si>
    <t>029973-13-5</t>
  </si>
  <si>
    <t>000563-12-2</t>
  </si>
  <si>
    <t>013194-48-4</t>
  </si>
  <si>
    <t>000052-85-7</t>
  </si>
  <si>
    <t>022224-92-6</t>
  </si>
  <si>
    <t>120928-09-8</t>
  </si>
  <si>
    <t>000122-14-5</t>
  </si>
  <si>
    <t>003766-81-2</t>
  </si>
  <si>
    <t>062850-32-2</t>
  </si>
  <si>
    <t>064257-84-7</t>
  </si>
  <si>
    <t>067306-00-7</t>
  </si>
  <si>
    <t>000055-38-9</t>
  </si>
  <si>
    <t>000900-95-8</t>
  </si>
  <si>
    <t>000076-87-9</t>
  </si>
  <si>
    <t>051630-58-1</t>
  </si>
  <si>
    <t>089269-64-7</t>
  </si>
  <si>
    <t>090035-08-8</t>
  </si>
  <si>
    <t>033245-39-5</t>
  </si>
  <si>
    <t>070124-77-5</t>
  </si>
  <si>
    <t>014245-95-8</t>
  </si>
  <si>
    <t>000640-19-7</t>
  </si>
  <si>
    <t>077501-60-1</t>
  </si>
  <si>
    <t>056425-91-3</t>
  </si>
  <si>
    <t>085509-19-9</t>
  </si>
  <si>
    <t>076674-21-0</t>
  </si>
  <si>
    <t>088485-37-4</t>
  </si>
  <si>
    <t>072178-02-0</t>
  </si>
  <si>
    <t>022259-30-9</t>
  </si>
  <si>
    <t>003878-19-1</t>
  </si>
  <si>
    <t>057646-30-7</t>
  </si>
  <si>
    <t>065907-30-4</t>
  </si>
  <si>
    <t>000058-89-9</t>
  </si>
  <si>
    <t>053369-07-6</t>
  </si>
  <si>
    <t>108173-90-6</t>
  </si>
  <si>
    <t>069806-34-4</t>
  </si>
  <si>
    <t>000608-73-1</t>
  </si>
  <si>
    <t>023560-59-0</t>
  </si>
  <si>
    <t>000118-74-1</t>
  </si>
  <si>
    <t>051235-04-2</t>
  </si>
  <si>
    <t>067485-29-4</t>
  </si>
  <si>
    <t>035554-44-0</t>
  </si>
  <si>
    <t>013516-27-3</t>
  </si>
  <si>
    <t>001689-83-4</t>
  </si>
  <si>
    <t>003861-47-0</t>
  </si>
  <si>
    <t>026087-47-8</t>
  </si>
  <si>
    <t>002631-40-5</t>
  </si>
  <si>
    <t>050512-35-1</t>
  </si>
  <si>
    <t>034123-59-6</t>
  </si>
  <si>
    <t>055861-78-4</t>
  </si>
  <si>
    <t>018854-04-8</t>
  </si>
  <si>
    <t>007784-40-9</t>
  </si>
  <si>
    <t>000094-74-6</t>
  </si>
  <si>
    <t>025319-90-8</t>
  </si>
  <si>
    <t>000094-81-5</t>
  </si>
  <si>
    <t>002595-54-2</t>
  </si>
  <si>
    <t>007085-19-0</t>
  </si>
  <si>
    <t>016484-77-8</t>
  </si>
  <si>
    <t>053780-34-0</t>
  </si>
  <si>
    <t>015302-91-7</t>
  </si>
  <si>
    <t>007487-94-7</t>
  </si>
  <si>
    <t>021908-53-2</t>
  </si>
  <si>
    <t>010112-91-1</t>
  </si>
  <si>
    <t>057837-19-1</t>
  </si>
  <si>
    <t>000108-62-3</t>
  </si>
  <si>
    <t>041394-05-2</t>
  </si>
  <si>
    <t>000137-42-8</t>
  </si>
  <si>
    <t>125116-23-6</t>
  </si>
  <si>
    <t>062610-77-9</t>
  </si>
  <si>
    <t>010265-92-6</t>
  </si>
  <si>
    <t>066952-49-6</t>
  </si>
  <si>
    <t>000950-37-8</t>
  </si>
  <si>
    <t>002032-65-7</t>
  </si>
  <si>
    <t>016752-77-5</t>
  </si>
  <si>
    <t>000556-61-6</t>
  </si>
  <si>
    <t>000124-58-3</t>
  </si>
  <si>
    <t>001129-41-5</t>
  </si>
  <si>
    <t>021087-64-9</t>
  </si>
  <si>
    <t>026718-65-0</t>
  </si>
  <si>
    <t>002212-67-1</t>
  </si>
  <si>
    <t>006923-22-4</t>
  </si>
  <si>
    <t>088671-89-0</t>
  </si>
  <si>
    <t>000142-59-6</t>
  </si>
  <si>
    <t>000300-76-5</t>
  </si>
  <si>
    <t>000054-11-5</t>
  </si>
  <si>
    <t>001929-82-4</t>
  </si>
  <si>
    <t>063284-71-9</t>
  </si>
  <si>
    <t>026530-20-1</t>
  </si>
  <si>
    <t>001113-02-6</t>
  </si>
  <si>
    <t>077732-09-3</t>
  </si>
  <si>
    <t>023135-22-0</t>
  </si>
  <si>
    <t>000301-12-2</t>
  </si>
  <si>
    <t>076738-62-0</t>
  </si>
  <si>
    <t>001910-42-5</t>
  </si>
  <si>
    <t>000056-38-2</t>
  </si>
  <si>
    <t>000298-00-0</t>
  </si>
  <si>
    <t>012002-03-8</t>
  </si>
  <si>
    <t>001114-71-2</t>
  </si>
  <si>
    <t>040487-42-1</t>
  </si>
  <si>
    <t>000087-86-5</t>
  </si>
  <si>
    <t>052645-53-1</t>
  </si>
  <si>
    <t>000062-38-4</t>
  </si>
  <si>
    <t>000298-02-2</t>
  </si>
  <si>
    <t>002310-17-0</t>
  </si>
  <si>
    <t>000732-11-6</t>
  </si>
  <si>
    <t>013171-21-6</t>
  </si>
  <si>
    <t>014816-18-3</t>
  </si>
  <si>
    <t>024151-93-7</t>
  </si>
  <si>
    <t>023103-98-2</t>
  </si>
  <si>
    <t>029232-93-7</t>
  </si>
  <si>
    <t>023031-36-9</t>
  </si>
  <si>
    <t>067747-09-5</t>
  </si>
  <si>
    <t>041198-08-7</t>
  </si>
  <si>
    <t>001918-16-7</t>
  </si>
  <si>
    <t>000709-98-8</t>
  </si>
  <si>
    <t>031218-83-4</t>
  </si>
  <si>
    <t>060207-90-1</t>
  </si>
  <si>
    <t>000114-26-1</t>
  </si>
  <si>
    <t>052888-80-9</t>
  </si>
  <si>
    <t>034643-46-4</t>
  </si>
  <si>
    <t>077458-01-6</t>
  </si>
  <si>
    <t>013457-18-6</t>
  </si>
  <si>
    <t>071561-11-0</t>
  </si>
  <si>
    <t>008003-34-7</t>
  </si>
  <si>
    <t>096489-71-3</t>
  </si>
  <si>
    <t>000119-12-0</t>
  </si>
  <si>
    <t>057369-32-1</t>
  </si>
  <si>
    <t>013593-03-8</t>
  </si>
  <si>
    <t>002797-51-5</t>
  </si>
  <si>
    <t>076578-12-6</t>
  </si>
  <si>
    <t>119738-06-6</t>
  </si>
  <si>
    <t>001014-70-6</t>
  </si>
  <si>
    <t>007784-46-5</t>
  </si>
  <si>
    <t>000143-33-9</t>
  </si>
  <si>
    <t>000062-74-8</t>
  </si>
  <si>
    <t>000057-24-9</t>
  </si>
  <si>
    <t>004151-50-2</t>
  </si>
  <si>
    <t>003689-24-5</t>
  </si>
  <si>
    <t>107534-96-3</t>
  </si>
  <si>
    <t>119168-77-3</t>
  </si>
  <si>
    <t>096182-53-5</t>
  </si>
  <si>
    <t>034014-18-1</t>
  </si>
  <si>
    <t>079538-32-2</t>
  </si>
  <si>
    <t>013071-79-9</t>
  </si>
  <si>
    <t>033693-04-8</t>
  </si>
  <si>
    <t>112281-77-3</t>
  </si>
  <si>
    <t>007446-18-6</t>
  </si>
  <si>
    <t>028249-77-6</t>
  </si>
  <si>
    <t>031895-22-4</t>
  </si>
  <si>
    <t>059669-26-0</t>
  </si>
  <si>
    <t>039196-18-4</t>
  </si>
  <si>
    <t>000640-15-3</t>
  </si>
  <si>
    <t>000137-26-8</t>
  </si>
  <si>
    <t>087820-88-0</t>
  </si>
  <si>
    <t>066841-25-6</t>
  </si>
  <si>
    <t>043121-43-3</t>
  </si>
  <si>
    <t>055219-65-3</t>
  </si>
  <si>
    <t>024017-47-8</t>
  </si>
  <si>
    <t>000052-68-6</t>
  </si>
  <si>
    <t>055335-06-3</t>
  </si>
  <si>
    <t>041814-78-2</t>
  </si>
  <si>
    <t>081412-43-3</t>
  </si>
  <si>
    <t>099387-89-0</t>
  </si>
  <si>
    <t>083657-22-1</t>
  </si>
  <si>
    <t>002275-23-2</t>
  </si>
  <si>
    <t>000081-81-2</t>
  </si>
  <si>
    <t>002655-14-3</t>
  </si>
  <si>
    <t>001314-84-7</t>
  </si>
  <si>
    <t>000137-30-4</t>
  </si>
  <si>
    <t xml:space="preserve">000083-79-4 </t>
  </si>
  <si>
    <t>HG'-01</t>
  </si>
  <si>
    <t>HG'-02</t>
  </si>
  <si>
    <t>HG'-03</t>
  </si>
  <si>
    <t>Extent of impact
mean</t>
  </si>
  <si>
    <t>Extent of impact
 uncertainty</t>
  </si>
  <si>
    <t>Extent of impact, mean</t>
  </si>
  <si>
    <t>Extent of impact, uncertainty</t>
  </si>
  <si>
    <t>Extent of impact,
mean</t>
  </si>
  <si>
    <t>Extent of impact,
 uncertainty</t>
  </si>
  <si>
    <t>Damage cost, EUR</t>
  </si>
  <si>
    <t>© Copyright the Swedish Life Cycle Center, Aug 2015</t>
  </si>
  <si>
    <t>Bengt Steen, Environmental System Analysis and Swedish Life Cycle Center, Chalmers University of Technology</t>
  </si>
  <si>
    <t>bengt.steen@chalmers.se</t>
  </si>
  <si>
    <t>Worksheets 7 to 13, where characterisation factors and damage costs for different classes of elementary flows are calculated.</t>
  </si>
  <si>
    <r>
      <t>CCl</t>
    </r>
    <r>
      <rPr>
        <vertAlign val="subscript"/>
        <sz val="10"/>
        <rFont val="Arial"/>
        <family val="2"/>
      </rPr>
      <t>4</t>
    </r>
  </si>
  <si>
    <t>Swedish Life Cycle Center Report 2015:4a</t>
  </si>
  <si>
    <t>Damage cost, €/kg</t>
  </si>
  <si>
    <t>A new impact assessment version for the EPS system - EPS 2015d.1 - Including  climate impacts from secondary particles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</si>
</sst>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00\-0"/>
    <numFmt numFmtId="166" formatCode="0.000000"/>
    <numFmt numFmtId="167" formatCode="0.0000"/>
    <numFmt numFmtId="168" formatCode="0.0%"/>
  </numFmts>
  <fonts count="50">
    <font>
      <sz val="10"/>
      <name val="Arial"/>
    </font>
    <font>
      <sz val="11"/>
      <color theme="1"/>
      <name val="Arial"/>
      <family val="2"/>
    </font>
    <font>
      <sz val="8"/>
      <color indexed="81"/>
      <name val="Tahoma"/>
      <family val="2"/>
    </font>
    <font>
      <b/>
      <sz val="10"/>
      <name val="Arial"/>
      <family val="2"/>
    </font>
    <font>
      <sz val="10"/>
      <name val="Arial"/>
      <family val="2"/>
    </font>
    <font>
      <sz val="10"/>
      <name val="Arial"/>
      <family val="2"/>
    </font>
    <font>
      <sz val="9"/>
      <color indexed="81"/>
      <name val="Tahoma"/>
      <family val="2"/>
    </font>
    <font>
      <vertAlign val="superscript"/>
      <sz val="10"/>
      <name val="Arial"/>
      <family val="2"/>
    </font>
    <font>
      <b/>
      <sz val="9"/>
      <color indexed="81"/>
      <name val="Tahoma"/>
      <family val="2"/>
    </font>
    <font>
      <sz val="12"/>
      <name val="Times New Roman"/>
      <family val="1"/>
    </font>
    <font>
      <sz val="10"/>
      <name val="Times New Roman"/>
      <family val="1"/>
    </font>
    <font>
      <vertAlign val="superscript"/>
      <sz val="10"/>
      <name val="Times New Roman"/>
      <family val="1"/>
    </font>
    <font>
      <vertAlign val="subscript"/>
      <sz val="10"/>
      <name val="Times New Roman"/>
      <family val="1"/>
    </font>
    <font>
      <b/>
      <sz val="12"/>
      <name val="Times New Roman"/>
      <family val="1"/>
    </font>
    <font>
      <sz val="10"/>
      <color indexed="8"/>
      <name val="Arial"/>
      <family val="2"/>
    </font>
    <font>
      <sz val="9"/>
      <color indexed="81"/>
      <name val="Albertus MT"/>
      <family val="1"/>
    </font>
    <font>
      <i/>
      <sz val="9"/>
      <color indexed="81"/>
      <name val="Tahoma"/>
      <family val="2"/>
    </font>
    <font>
      <b/>
      <i/>
      <sz val="10"/>
      <name val="Arial"/>
      <family val="2"/>
    </font>
    <font>
      <sz val="12"/>
      <name val="Arial"/>
      <family val="2"/>
    </font>
    <font>
      <b/>
      <i/>
      <sz val="12"/>
      <name val="Arial"/>
      <family val="2"/>
    </font>
    <font>
      <b/>
      <sz val="12"/>
      <name val="Arial"/>
      <family val="2"/>
    </font>
    <font>
      <sz val="10"/>
      <name val="Arial"/>
      <family val="2"/>
    </font>
    <font>
      <u/>
      <sz val="10"/>
      <color theme="10"/>
      <name val="Arial"/>
      <family val="2"/>
    </font>
    <font>
      <b/>
      <sz val="11"/>
      <color theme="1"/>
      <name val="Calibri"/>
      <family val="2"/>
      <scheme val="minor"/>
    </font>
    <font>
      <sz val="10"/>
      <color rgb="FF000000"/>
      <name val="Times New Roman"/>
      <family val="1"/>
    </font>
    <font>
      <b/>
      <i/>
      <sz val="12"/>
      <color rgb="FF00B050"/>
      <name val="Arial"/>
      <family val="2"/>
    </font>
    <font>
      <b/>
      <i/>
      <sz val="12"/>
      <color rgb="FFFF0000"/>
      <name val="Arial"/>
      <family val="2"/>
    </font>
    <font>
      <b/>
      <i/>
      <sz val="12"/>
      <color rgb="FF0070C0"/>
      <name val="Arial"/>
      <family val="2"/>
    </font>
    <font>
      <sz val="9"/>
      <name val="Helvetica"/>
      <family val="2"/>
    </font>
    <font>
      <sz val="8"/>
      <color theme="1"/>
      <name val="Calibri"/>
      <family val="2"/>
      <scheme val="minor"/>
    </font>
    <font>
      <sz val="11"/>
      <color theme="1"/>
      <name val="Calibri"/>
      <family val="2"/>
      <scheme val="minor"/>
    </font>
    <font>
      <b/>
      <sz val="10"/>
      <color theme="6" tint="-0.499984740745262"/>
      <name val="Arial"/>
      <family val="2"/>
    </font>
    <font>
      <sz val="8"/>
      <name val="Arial"/>
      <family val="2"/>
    </font>
    <font>
      <b/>
      <sz val="8"/>
      <name val="Arial"/>
      <family val="2"/>
    </font>
    <font>
      <sz val="10"/>
      <color rgb="FFFF0000"/>
      <name val="Arial"/>
      <family val="2"/>
    </font>
    <font>
      <b/>
      <sz val="8"/>
      <color indexed="81"/>
      <name val="Tahoma"/>
      <family val="2"/>
    </font>
    <font>
      <sz val="8"/>
      <color rgb="FF000000"/>
      <name val="Arial"/>
      <family val="2"/>
    </font>
    <font>
      <b/>
      <sz val="14"/>
      <name val="Arial"/>
      <family val="2"/>
    </font>
    <font>
      <sz val="10"/>
      <color theme="0" tint="-0.499984740745262"/>
      <name val="Arial"/>
      <family val="2"/>
    </font>
    <font>
      <sz val="10"/>
      <color theme="5"/>
      <name val="Arial"/>
      <family val="2"/>
    </font>
    <font>
      <sz val="9"/>
      <color theme="0" tint="-0.499984740745262"/>
      <name val="Helvetica"/>
      <family val="2"/>
    </font>
    <font>
      <sz val="10"/>
      <name val="Arial"/>
      <family val="2"/>
    </font>
    <font>
      <b/>
      <sz val="10"/>
      <color rgb="FFFF66FF"/>
      <name val="Arial"/>
      <family val="2"/>
    </font>
    <font>
      <sz val="10"/>
      <color theme="1"/>
      <name val="Arial"/>
      <family val="2"/>
    </font>
    <font>
      <b/>
      <sz val="10"/>
      <color theme="1"/>
      <name val="Arial"/>
      <family val="2"/>
    </font>
    <font>
      <sz val="11"/>
      <color rgb="FF9C6500"/>
      <name val="Arial"/>
      <family val="2"/>
    </font>
    <font>
      <sz val="18"/>
      <name val="Arial"/>
      <family val="2"/>
    </font>
    <font>
      <b/>
      <sz val="14"/>
      <color rgb="FF365F91"/>
      <name val="Cambria"/>
      <family val="1"/>
    </font>
    <font>
      <b/>
      <sz val="11"/>
      <name val="Arial"/>
      <family val="2"/>
    </font>
    <font>
      <vertAlign val="subscript"/>
      <sz val="10"/>
      <name val="Arial"/>
      <family val="2"/>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EB9C"/>
      </patternFill>
    </fill>
  </fills>
  <borders count="15">
    <border>
      <left/>
      <right/>
      <top/>
      <bottom/>
      <diagonal/>
    </border>
    <border>
      <left/>
      <right/>
      <top style="thick">
        <color rgb="FF008000"/>
      </top>
      <bottom style="medium">
        <color rgb="FF008000"/>
      </bottom>
      <diagonal/>
    </border>
    <border>
      <left/>
      <right/>
      <top/>
      <bottom style="thick">
        <color rgb="FF008000"/>
      </bottom>
      <diagonal/>
    </border>
    <border>
      <left/>
      <right style="medium">
        <color rgb="FF008000"/>
      </right>
      <top style="thick">
        <color rgb="FF008000"/>
      </top>
      <bottom style="medium">
        <color rgb="FF008000"/>
      </bottom>
      <diagonal/>
    </border>
    <border>
      <left/>
      <right style="medium">
        <color rgb="FF008000"/>
      </right>
      <top/>
      <bottom style="medium">
        <color rgb="FF008000"/>
      </bottom>
      <diagonal/>
    </border>
    <border>
      <left/>
      <right/>
      <top/>
      <bottom style="medium">
        <color rgb="FF008000"/>
      </bottom>
      <diagonal/>
    </border>
    <border>
      <left/>
      <right style="medium">
        <color rgb="FF008000"/>
      </right>
      <top/>
      <bottom style="thick">
        <color rgb="FF008000"/>
      </bottom>
      <diagonal/>
    </border>
    <border>
      <left/>
      <right/>
      <top style="thick">
        <color rgb="FF008000"/>
      </top>
      <bottom/>
      <diagonal/>
    </border>
    <border>
      <left style="medium">
        <color rgb="FF008000"/>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thick">
        <color rgb="FF008000"/>
      </top>
      <bottom style="medium">
        <color rgb="FF008000"/>
      </bottom>
      <diagonal/>
    </border>
    <border>
      <left style="thick">
        <color rgb="FF008000"/>
      </left>
      <right style="thick">
        <color rgb="FF008000"/>
      </right>
      <top style="thick">
        <color rgb="FF008000"/>
      </top>
      <bottom style="thick">
        <color rgb="FF008000"/>
      </bottom>
      <diagonal/>
    </border>
    <border>
      <left style="thick">
        <color rgb="FF008000"/>
      </left>
      <right/>
      <top style="thick">
        <color rgb="FF008000"/>
      </top>
      <bottom style="thick">
        <color rgb="FF008000"/>
      </bottom>
      <diagonal/>
    </border>
    <border>
      <left/>
      <right style="thick">
        <color rgb="FF008000"/>
      </right>
      <top style="thick">
        <color rgb="FF008000"/>
      </top>
      <bottom style="thick">
        <color rgb="FF008000"/>
      </bottom>
      <diagonal/>
    </border>
    <border>
      <left/>
      <right/>
      <top style="thick">
        <color rgb="FF008000"/>
      </top>
      <bottom style="thick">
        <color rgb="FF008000"/>
      </bottom>
      <diagonal/>
    </border>
  </borders>
  <cellStyleXfs count="10">
    <xf numFmtId="0" fontId="0" fillId="0" borderId="0"/>
    <xf numFmtId="0" fontId="22" fillId="0" borderId="0" applyNumberFormat="0" applyFill="0" applyBorder="0" applyAlignment="0" applyProtection="0"/>
    <xf numFmtId="0" fontId="14" fillId="0" borderId="0"/>
    <xf numFmtId="0" fontId="29" fillId="0" borderId="0"/>
    <xf numFmtId="0" fontId="30" fillId="0" borderId="0"/>
    <xf numFmtId="0" fontId="30" fillId="0" borderId="0"/>
    <xf numFmtId="0" fontId="4" fillId="0" borderId="0"/>
    <xf numFmtId="9" fontId="41" fillId="0" borderId="0" applyFont="0" applyFill="0" applyBorder="0" applyAlignment="0" applyProtection="0"/>
    <xf numFmtId="0" fontId="45" fillId="7" borderId="0" applyNumberFormat="0" applyBorder="0" applyAlignment="0" applyProtection="0"/>
    <xf numFmtId="0" fontId="1" fillId="0" borderId="0"/>
  </cellStyleXfs>
  <cellXfs count="221">
    <xf numFmtId="0" fontId="0" fillId="0" borderId="0" xfId="0"/>
    <xf numFmtId="11" fontId="0" fillId="0" borderId="0" xfId="0" applyNumberFormat="1"/>
    <xf numFmtId="0" fontId="3" fillId="0" borderId="0" xfId="0" applyFont="1"/>
    <xf numFmtId="2" fontId="0" fillId="0" borderId="0" xfId="0" applyNumberFormat="1"/>
    <xf numFmtId="11" fontId="0" fillId="0" borderId="0" xfId="0" applyNumberFormat="1" applyFill="1"/>
    <xf numFmtId="0" fontId="5" fillId="0" borderId="0" xfId="0" applyFont="1"/>
    <xf numFmtId="0" fontId="0" fillId="0" borderId="0" xfId="0" applyAlignment="1">
      <alignment wrapText="1"/>
    </xf>
    <xf numFmtId="0" fontId="5" fillId="0" borderId="0" xfId="0" applyFont="1" applyAlignment="1">
      <alignment wrapText="1"/>
    </xf>
    <xf numFmtId="0" fontId="0" fillId="0" borderId="0" xfId="0" applyFill="1"/>
    <xf numFmtId="0" fontId="3" fillId="0" borderId="0" xfId="0" applyFont="1" applyAlignment="1">
      <alignment wrapText="1"/>
    </xf>
    <xf numFmtId="0" fontId="9" fillId="0" borderId="0" xfId="0" applyFont="1"/>
    <xf numFmtId="0" fontId="10" fillId="0" borderId="1" xfId="0" applyFont="1" applyBorder="1" applyAlignment="1">
      <alignment horizontal="right" vertical="center" wrapText="1"/>
    </xf>
    <xf numFmtId="0" fontId="10" fillId="0" borderId="1"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24" fillId="0" borderId="0" xfId="0" applyFont="1" applyAlignment="1">
      <alignment horizontal="center" vertical="center"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right" vertical="center"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0" xfId="0" applyFont="1" applyAlignment="1">
      <alignment horizontal="right" vertical="center" wrapText="1"/>
    </xf>
    <xf numFmtId="0" fontId="24" fillId="0" borderId="0" xfId="0" applyFont="1" applyAlignment="1">
      <alignment horizontal="right" vertical="center" wrapText="1"/>
    </xf>
    <xf numFmtId="0" fontId="10" fillId="0" borderId="2" xfId="0" applyFont="1" applyBorder="1" applyAlignment="1">
      <alignment vertical="center" wrapText="1"/>
    </xf>
    <xf numFmtId="11" fontId="10" fillId="0" borderId="0" xfId="0" applyNumberFormat="1" applyFont="1" applyAlignment="1">
      <alignment horizontal="center" vertical="center" wrapText="1"/>
    </xf>
    <xf numFmtId="11" fontId="24" fillId="0" borderId="0" xfId="0" applyNumberFormat="1" applyFont="1" applyAlignment="1">
      <alignment horizontal="right" vertical="center" wrapText="1"/>
    </xf>
    <xf numFmtId="11" fontId="10" fillId="0" borderId="0" xfId="0" applyNumberFormat="1" applyFont="1" applyAlignment="1">
      <alignment horizontal="right" vertical="center" wrapText="1"/>
    </xf>
    <xf numFmtId="11" fontId="24" fillId="0" borderId="2" xfId="0" applyNumberFormat="1" applyFont="1" applyBorder="1" applyAlignment="1">
      <alignment horizontal="right" vertical="center" wrapText="1"/>
    </xf>
    <xf numFmtId="11" fontId="10" fillId="0" borderId="2" xfId="0" applyNumberFormat="1" applyFont="1" applyBorder="1" applyAlignment="1">
      <alignment horizontal="center" vertical="center" wrapText="1"/>
    </xf>
    <xf numFmtId="11" fontId="24" fillId="0" borderId="0" xfId="0" applyNumberFormat="1" applyFont="1" applyAlignment="1">
      <alignment horizontal="center" vertical="center" wrapText="1"/>
    </xf>
    <xf numFmtId="11" fontId="24" fillId="0" borderId="2" xfId="0" applyNumberFormat="1" applyFont="1" applyBorder="1" applyAlignment="1">
      <alignment horizontal="center" vertical="center" wrapText="1"/>
    </xf>
    <xf numFmtId="11" fontId="24" fillId="0" borderId="0" xfId="0" applyNumberFormat="1" applyFont="1" applyBorder="1" applyAlignment="1">
      <alignment horizontal="right" vertical="center"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3" fillId="0" borderId="0" xfId="0" applyFont="1"/>
    <xf numFmtId="11" fontId="10" fillId="0" borderId="0" xfId="0" applyNumberFormat="1" applyFont="1" applyBorder="1" applyAlignment="1">
      <alignment horizontal="center" vertical="center" wrapText="1"/>
    </xf>
    <xf numFmtId="164" fontId="0" fillId="0" borderId="0" xfId="0" applyNumberFormat="1"/>
    <xf numFmtId="1" fontId="0" fillId="0" borderId="0" xfId="0" applyNumberFormat="1"/>
    <xf numFmtId="11" fontId="0" fillId="2" borderId="0" xfId="0" applyNumberFormat="1" applyFill="1" applyProtection="1"/>
    <xf numFmtId="11" fontId="0" fillId="2" borderId="0" xfId="0" applyNumberFormat="1" applyFill="1"/>
    <xf numFmtId="0" fontId="17" fillId="0" borderId="0" xfId="0" applyFont="1"/>
    <xf numFmtId="0" fontId="4"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Fill="1"/>
    <xf numFmtId="0" fontId="4" fillId="3" borderId="0" xfId="0" applyFont="1" applyFill="1"/>
    <xf numFmtId="0" fontId="18" fillId="0" borderId="0" xfId="0" applyFont="1"/>
    <xf numFmtId="0" fontId="23" fillId="0" borderId="0" xfId="0" applyFont="1"/>
    <xf numFmtId="14" fontId="0" fillId="0" borderId="0" xfId="0" applyNumberFormat="1"/>
    <xf numFmtId="0" fontId="4" fillId="0" borderId="0" xfId="0" applyFont="1" applyFill="1" applyBorder="1"/>
    <xf numFmtId="11" fontId="24" fillId="0" borderId="0" xfId="0" applyNumberFormat="1" applyFont="1" applyFill="1" applyAlignment="1">
      <alignment horizontal="center" vertical="center" wrapText="1"/>
    </xf>
    <xf numFmtId="3" fontId="0" fillId="0" borderId="0" xfId="0" applyNumberFormat="1"/>
    <xf numFmtId="0" fontId="0" fillId="0" borderId="0" xfId="0" applyAlignment="1">
      <alignment horizontal="center"/>
    </xf>
    <xf numFmtId="0" fontId="25" fillId="0" borderId="0" xfId="0" applyFont="1"/>
    <xf numFmtId="0" fontId="26" fillId="0" borderId="0" xfId="0" applyFont="1"/>
    <xf numFmtId="0" fontId="27" fillId="0" borderId="0" xfId="0" applyFont="1"/>
    <xf numFmtId="16" fontId="4" fillId="0" borderId="0" xfId="0" applyNumberFormat="1" applyFont="1"/>
    <xf numFmtId="0" fontId="0" fillId="0" borderId="0" xfId="0" applyAlignment="1" applyProtection="1">
      <alignment wrapText="1"/>
      <protection locked="0"/>
    </xf>
    <xf numFmtId="0" fontId="0" fillId="0" borderId="0" xfId="0" applyProtection="1">
      <protection locked="0"/>
    </xf>
    <xf numFmtId="11" fontId="0" fillId="0" borderId="0" xfId="0" applyNumberFormat="1" applyProtection="1">
      <protection locked="0"/>
    </xf>
    <xf numFmtId="11" fontId="0" fillId="2" borderId="0" xfId="0" applyNumberFormat="1" applyFill="1" applyProtection="1">
      <protection locked="0"/>
    </xf>
    <xf numFmtId="11" fontId="0" fillId="0" borderId="0" xfId="0" applyNumberFormat="1" applyFill="1" applyProtection="1">
      <protection locked="0"/>
    </xf>
    <xf numFmtId="0" fontId="22" fillId="0" borderId="0" xfId="1" applyProtection="1">
      <protection locked="0"/>
    </xf>
    <xf numFmtId="0" fontId="0" fillId="2" borderId="0" xfId="0" applyFill="1" applyProtection="1"/>
    <xf numFmtId="164" fontId="0" fillId="2" borderId="0" xfId="0" applyNumberFormat="1" applyFill="1"/>
    <xf numFmtId="0" fontId="0" fillId="2" borderId="0" xfId="0" applyFill="1"/>
    <xf numFmtId="11" fontId="0" fillId="2" borderId="0" xfId="0" applyNumberFormat="1" applyFill="1"/>
    <xf numFmtId="11" fontId="0" fillId="0" borderId="0" xfId="0" applyNumberFormat="1" applyFill="1" applyProtection="1"/>
    <xf numFmtId="0" fontId="21" fillId="0" borderId="0" xfId="0" applyFont="1"/>
    <xf numFmtId="0" fontId="21" fillId="0" borderId="0" xfId="0" applyFont="1" applyProtection="1">
      <protection locked="0"/>
    </xf>
    <xf numFmtId="0" fontId="21" fillId="0" borderId="0" xfId="0" applyFont="1" applyAlignment="1" applyProtection="1">
      <alignment wrapText="1"/>
      <protection locked="0"/>
    </xf>
    <xf numFmtId="0" fontId="0" fillId="0" borderId="0" xfId="0" applyFont="1" applyAlignment="1">
      <alignment wrapText="1"/>
    </xf>
    <xf numFmtId="0" fontId="21" fillId="0" borderId="0" xfId="0" applyFont="1" applyAlignment="1">
      <alignment wrapText="1"/>
    </xf>
    <xf numFmtId="0" fontId="0" fillId="0" borderId="0" xfId="0" applyNumberFormat="1"/>
    <xf numFmtId="14" fontId="4" fillId="0" borderId="0" xfId="0" applyNumberFormat="1" applyFont="1"/>
    <xf numFmtId="0" fontId="4" fillId="0" borderId="0" xfId="0" applyNumberFormat="1" applyFont="1"/>
    <xf numFmtId="49" fontId="0" fillId="0" borderId="0" xfId="0" applyNumberFormat="1"/>
    <xf numFmtId="0" fontId="4" fillId="0" borderId="0" xfId="0" applyNumberFormat="1" applyFont="1" applyAlignment="1">
      <alignment wrapText="1"/>
    </xf>
    <xf numFmtId="0" fontId="5" fillId="0" borderId="0" xfId="0" applyNumberFormat="1" applyFont="1" applyAlignment="1">
      <alignment wrapText="1"/>
    </xf>
    <xf numFmtId="0" fontId="0" fillId="2" borderId="0" xfId="0" applyNumberFormat="1" applyFill="1"/>
    <xf numFmtId="0" fontId="23" fillId="0" borderId="0" xfId="0" applyFont="1" applyFill="1"/>
    <xf numFmtId="166" fontId="0" fillId="0" borderId="0" xfId="0" applyNumberFormat="1"/>
    <xf numFmtId="166" fontId="4" fillId="0" borderId="0" xfId="0" applyNumberFormat="1" applyFont="1"/>
    <xf numFmtId="0" fontId="3" fillId="0" borderId="0" xfId="0" applyFont="1" applyFill="1"/>
    <xf numFmtId="0" fontId="34" fillId="0" borderId="0" xfId="0" applyFont="1"/>
    <xf numFmtId="166" fontId="34" fillId="0" borderId="0" xfId="0" applyNumberFormat="1" applyFont="1"/>
    <xf numFmtId="0" fontId="4" fillId="2" borderId="0" xfId="0" applyFont="1" applyFill="1"/>
    <xf numFmtId="0" fontId="4" fillId="0" borderId="0" xfId="0" applyFont="1" applyAlignment="1" applyProtection="1">
      <alignment wrapText="1"/>
      <protection locked="0"/>
    </xf>
    <xf numFmtId="0" fontId="32" fillId="4" borderId="0" xfId="0" applyFont="1" applyFill="1"/>
    <xf numFmtId="0" fontId="33" fillId="4" borderId="0" xfId="0" applyFont="1" applyFill="1"/>
    <xf numFmtId="0" fontId="32" fillId="4" borderId="7" xfId="0" applyFont="1" applyFill="1" applyBorder="1" applyAlignment="1">
      <alignment horizontal="left" vertical="center" wrapText="1"/>
    </xf>
    <xf numFmtId="0" fontId="33" fillId="4" borderId="0" xfId="0" applyFont="1" applyFill="1" applyBorder="1" applyAlignment="1">
      <alignment horizontal="justify" vertical="center" wrapText="1"/>
    </xf>
    <xf numFmtId="0" fontId="32" fillId="4" borderId="0" xfId="0" applyFont="1" applyFill="1" applyBorder="1" applyAlignment="1">
      <alignment horizontal="center" vertical="center" wrapText="1"/>
    </xf>
    <xf numFmtId="0" fontId="32" fillId="4" borderId="0" xfId="0" applyFont="1" applyFill="1" applyAlignment="1">
      <alignment horizontal="justify" vertical="center" wrapText="1"/>
    </xf>
    <xf numFmtId="0" fontId="32" fillId="4" borderId="0" xfId="0" applyFont="1" applyFill="1" applyAlignment="1">
      <alignment horizontal="center" vertical="center" wrapText="1"/>
    </xf>
    <xf numFmtId="0" fontId="36" fillId="4" borderId="0" xfId="0" applyFont="1" applyFill="1" applyAlignment="1">
      <alignment horizontal="center" vertical="center" wrapText="1"/>
    </xf>
    <xf numFmtId="0" fontId="36" fillId="4" borderId="0" xfId="0" applyFont="1" applyFill="1" applyAlignment="1">
      <alignment horizontal="right" vertical="center" wrapText="1"/>
    </xf>
    <xf numFmtId="164" fontId="36" fillId="4" borderId="0" xfId="0" applyNumberFormat="1" applyFont="1" applyFill="1" applyAlignment="1">
      <alignment horizontal="center" vertical="center" wrapText="1"/>
    </xf>
    <xf numFmtId="11" fontId="36" fillId="4" borderId="0" xfId="0" applyNumberFormat="1" applyFont="1" applyFill="1" applyAlignment="1">
      <alignment horizontal="center" vertical="center" wrapText="1"/>
    </xf>
    <xf numFmtId="0" fontId="33" fillId="4" borderId="0" xfId="0" applyFont="1" applyFill="1" applyAlignment="1">
      <alignment horizontal="justify" vertical="center" wrapText="1"/>
    </xf>
    <xf numFmtId="0" fontId="33" fillId="4" borderId="12" xfId="0"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0" fontId="32" fillId="4" borderId="12" xfId="0" applyFont="1" applyFill="1" applyBorder="1" applyAlignment="1">
      <alignment horizontal="left" vertical="center" wrapText="1"/>
    </xf>
    <xf numFmtId="0" fontId="32" fillId="4" borderId="14"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3" fillId="4" borderId="0" xfId="0" applyFont="1" applyFill="1" applyBorder="1" applyAlignment="1">
      <alignment horizontal="left" vertical="center" wrapText="1"/>
    </xf>
    <xf numFmtId="0" fontId="32" fillId="4" borderId="0" xfId="0" applyFont="1" applyFill="1" applyBorder="1" applyAlignment="1">
      <alignment horizontal="justify" vertical="center" wrapText="1"/>
    </xf>
    <xf numFmtId="0" fontId="32" fillId="4" borderId="0" xfId="0" applyFont="1" applyFill="1" applyAlignment="1">
      <alignment vertical="center"/>
    </xf>
    <xf numFmtId="0" fontId="32" fillId="4" borderId="2" xfId="0" applyFont="1" applyFill="1" applyBorder="1" applyAlignment="1">
      <alignment horizontal="left" vertical="center" wrapText="1"/>
    </xf>
    <xf numFmtId="0" fontId="32" fillId="4" borderId="2" xfId="0" applyFont="1" applyFill="1" applyBorder="1" applyAlignment="1">
      <alignment horizontal="center" vertical="center" wrapText="1"/>
    </xf>
    <xf numFmtId="0" fontId="32" fillId="4" borderId="12" xfId="0" applyFont="1" applyFill="1" applyBorder="1" applyAlignment="1">
      <alignment horizontal="justify" vertical="center" wrapText="1"/>
    </xf>
    <xf numFmtId="167" fontId="32" fillId="4" borderId="14" xfId="0" applyNumberFormat="1" applyFont="1" applyFill="1" applyBorder="1" applyAlignment="1">
      <alignment horizontal="center" vertical="center" wrapText="1"/>
    </xf>
    <xf numFmtId="0" fontId="32" fillId="4" borderId="0" xfId="0" applyFont="1" applyFill="1" applyBorder="1"/>
    <xf numFmtId="0" fontId="36" fillId="4" borderId="2" xfId="0" applyFont="1" applyFill="1" applyBorder="1" applyAlignment="1">
      <alignment horizontal="center" vertical="center" wrapText="1"/>
    </xf>
    <xf numFmtId="0" fontId="32" fillId="4" borderId="0" xfId="0" applyFont="1" applyFill="1" applyAlignment="1">
      <alignment horizontal="center"/>
    </xf>
    <xf numFmtId="0" fontId="32" fillId="4" borderId="0" xfId="0" applyFont="1" applyFill="1" applyBorder="1" applyAlignment="1">
      <alignment horizontal="center"/>
    </xf>
    <xf numFmtId="0" fontId="20" fillId="5" borderId="11" xfId="0" applyFont="1" applyFill="1" applyBorder="1"/>
    <xf numFmtId="0" fontId="20" fillId="5" borderId="11" xfId="0" applyFont="1" applyFill="1" applyBorder="1" applyAlignment="1">
      <alignment horizontal="justify" vertical="center" wrapText="1"/>
    </xf>
    <xf numFmtId="0" fontId="36" fillId="4" borderId="0" xfId="0" applyNumberFormat="1" applyFont="1" applyFill="1" applyAlignment="1">
      <alignment horizontal="center" vertical="center" wrapText="1"/>
    </xf>
    <xf numFmtId="0" fontId="32" fillId="4" borderId="0" xfId="0" applyNumberFormat="1" applyFont="1" applyFill="1" applyAlignment="1">
      <alignment horizontal="center" vertical="center" wrapText="1"/>
    </xf>
    <xf numFmtId="0" fontId="4" fillId="0" borderId="12" xfId="0" applyFont="1" applyBorder="1"/>
    <xf numFmtId="0" fontId="4" fillId="0" borderId="14" xfId="0" applyFont="1" applyBorder="1"/>
    <xf numFmtId="0" fontId="4" fillId="0" borderId="13" xfId="0" applyFont="1" applyBorder="1" applyAlignment="1">
      <alignment horizontal="right"/>
    </xf>
    <xf numFmtId="0" fontId="5" fillId="0" borderId="11" xfId="0" applyFont="1" applyBorder="1"/>
    <xf numFmtId="11" fontId="4" fillId="0" borderId="0" xfId="0" applyNumberFormat="1" applyFont="1"/>
    <xf numFmtId="11" fontId="4" fillId="2" borderId="0" xfId="0" applyNumberFormat="1" applyFont="1" applyFill="1"/>
    <xf numFmtId="0" fontId="3" fillId="0" borderId="0" xfId="0" applyNumberFormat="1" applyFont="1" applyFill="1"/>
    <xf numFmtId="0" fontId="4" fillId="2" borderId="0" xfId="0" applyNumberFormat="1" applyFont="1" applyFill="1"/>
    <xf numFmtId="0" fontId="3" fillId="5" borderId="0" xfId="0" applyFont="1" applyFill="1"/>
    <xf numFmtId="0" fontId="39" fillId="0" borderId="0" xfId="0" applyFont="1"/>
    <xf numFmtId="165" fontId="28" fillId="0" borderId="0" xfId="0" applyNumberFormat="1" applyFont="1" applyFill="1" applyBorder="1" applyAlignment="1">
      <alignment horizontal="left" vertical="center"/>
    </xf>
    <xf numFmtId="0" fontId="38" fillId="0" borderId="0" xfId="0" applyFont="1" applyFill="1" applyAlignment="1">
      <alignment wrapText="1"/>
    </xf>
    <xf numFmtId="165" fontId="40" fillId="0" borderId="0" xfId="0" applyNumberFormat="1" applyFont="1" applyFill="1" applyBorder="1" applyAlignment="1">
      <alignment horizontal="left" vertical="center"/>
    </xf>
    <xf numFmtId="0" fontId="38" fillId="0" borderId="0" xfId="0" applyFont="1" applyFill="1"/>
    <xf numFmtId="49" fontId="4" fillId="0" borderId="0" xfId="0" applyNumberFormat="1" applyFont="1"/>
    <xf numFmtId="166" fontId="3" fillId="0" borderId="0" xfId="0" applyNumberFormat="1" applyFont="1" applyFill="1" applyAlignment="1">
      <alignment horizontal="center"/>
    </xf>
    <xf numFmtId="0" fontId="3" fillId="0" borderId="0" xfId="0" applyNumberFormat="1" applyFont="1" applyFill="1" applyAlignment="1">
      <alignment horizontal="center"/>
    </xf>
    <xf numFmtId="11" fontId="34" fillId="0" borderId="0" xfId="0" applyNumberFormat="1" applyFont="1"/>
    <xf numFmtId="11" fontId="34" fillId="2" borderId="0" xfId="0" applyNumberFormat="1" applyFont="1" applyFill="1"/>
    <xf numFmtId="0" fontId="34" fillId="0" borderId="0" xfId="0" applyFont="1" applyAlignment="1">
      <alignment wrapText="1"/>
    </xf>
    <xf numFmtId="0" fontId="34" fillId="0" borderId="0" xfId="0" applyFont="1" applyFill="1"/>
    <xf numFmtId="0" fontId="0" fillId="6" borderId="0" xfId="0" applyFill="1"/>
    <xf numFmtId="11" fontId="0" fillId="6" borderId="0" xfId="0" applyNumberFormat="1" applyFill="1"/>
    <xf numFmtId="0" fontId="0" fillId="0" borderId="0" xfId="0" applyAlignment="1" applyProtection="1">
      <alignment vertical="top" wrapText="1"/>
      <protection locked="0"/>
    </xf>
    <xf numFmtId="0" fontId="0" fillId="0" borderId="0" xfId="0" applyAlignment="1" applyProtection="1">
      <alignment vertical="top"/>
      <protection locked="0"/>
    </xf>
    <xf numFmtId="0" fontId="21" fillId="0" borderId="0" xfId="0" applyFont="1" applyAlignment="1" applyProtection="1">
      <alignment vertical="top"/>
      <protection locked="0"/>
    </xf>
    <xf numFmtId="0" fontId="4" fillId="0" borderId="0" xfId="0" applyFont="1" applyAlignment="1" applyProtection="1">
      <alignment vertical="top" wrapText="1"/>
      <protection locked="0"/>
    </xf>
    <xf numFmtId="0" fontId="21" fillId="0" borderId="0" xfId="0" applyFont="1" applyAlignment="1" applyProtection="1">
      <alignment vertical="top" wrapText="1"/>
      <protection locked="0"/>
    </xf>
    <xf numFmtId="4" fontId="0" fillId="0" borderId="0" xfId="0" applyNumberFormat="1" applyAlignment="1" applyProtection="1">
      <alignment vertical="top" wrapText="1"/>
      <protection locked="0"/>
    </xf>
    <xf numFmtId="11" fontId="0" fillId="0" borderId="0" xfId="0" applyNumberFormat="1" applyAlignment="1" applyProtection="1">
      <alignment vertical="top"/>
      <protection locked="0"/>
    </xf>
    <xf numFmtId="11" fontId="0" fillId="2" borderId="0" xfId="0" applyNumberFormat="1" applyFill="1" applyAlignment="1" applyProtection="1">
      <alignment vertical="top"/>
      <protection locked="0"/>
    </xf>
    <xf numFmtId="4" fontId="0" fillId="2" borderId="0" xfId="0" applyNumberFormat="1" applyFill="1" applyAlignment="1" applyProtection="1">
      <alignment vertical="top"/>
      <protection locked="0"/>
    </xf>
    <xf numFmtId="4" fontId="0" fillId="0" borderId="0" xfId="0" applyNumberFormat="1" applyAlignment="1" applyProtection="1">
      <alignment vertical="top"/>
      <protection locked="0"/>
    </xf>
    <xf numFmtId="0" fontId="21" fillId="2" borderId="0" xfId="0" applyFont="1" applyFill="1" applyAlignment="1" applyProtection="1">
      <alignment vertical="top"/>
      <protection locked="0"/>
    </xf>
    <xf numFmtId="11" fontId="0" fillId="2" borderId="0" xfId="0" applyNumberFormat="1" applyFill="1" applyAlignment="1" applyProtection="1">
      <alignment vertical="top"/>
    </xf>
    <xf numFmtId="2" fontId="0" fillId="2" borderId="0" xfId="0" applyNumberFormat="1" applyFill="1" applyAlignment="1" applyProtection="1">
      <alignment vertical="top"/>
      <protection locked="0"/>
    </xf>
    <xf numFmtId="11" fontId="0" fillId="0" borderId="0" xfId="0" applyNumberFormat="1" applyAlignment="1" applyProtection="1">
      <alignment horizontal="right" vertical="top"/>
      <protection locked="0"/>
    </xf>
    <xf numFmtId="0" fontId="0" fillId="2" borderId="0" xfId="0" applyFill="1" applyAlignment="1" applyProtection="1">
      <alignment vertical="top"/>
    </xf>
    <xf numFmtId="0" fontId="0" fillId="2" borderId="0" xfId="0" applyFill="1" applyAlignment="1" applyProtection="1">
      <alignment vertical="top"/>
      <protection locked="0"/>
    </xf>
    <xf numFmtId="11" fontId="0" fillId="0" borderId="0" xfId="0" applyNumberFormat="1" applyFill="1" applyAlignment="1" applyProtection="1">
      <alignment vertical="top"/>
    </xf>
    <xf numFmtId="4" fontId="21" fillId="0" borderId="0" xfId="0" applyNumberFormat="1" applyFont="1" applyAlignment="1" applyProtection="1">
      <alignment vertical="top"/>
      <protection locked="0"/>
    </xf>
    <xf numFmtId="168" fontId="43" fillId="0" borderId="0" xfId="7" applyNumberFormat="1" applyFont="1" applyAlignment="1" applyProtection="1">
      <alignment horizontal="center" vertical="top"/>
      <protection locked="0"/>
    </xf>
    <xf numFmtId="168" fontId="43" fillId="0" borderId="0" xfId="7" applyNumberFormat="1" applyFont="1" applyFill="1" applyAlignment="1" applyProtection="1">
      <alignment horizontal="center" vertical="top"/>
      <protection locked="0"/>
    </xf>
    <xf numFmtId="11" fontId="4" fillId="2" borderId="0" xfId="0" applyNumberFormat="1" applyFont="1" applyFill="1" applyAlignment="1" applyProtection="1">
      <alignment vertical="top"/>
      <protection locked="0"/>
    </xf>
    <xf numFmtId="11" fontId="0" fillId="0" borderId="0" xfId="0" applyNumberFormat="1" applyFill="1" applyAlignment="1" applyProtection="1">
      <alignment vertical="top"/>
      <protection locked="0"/>
    </xf>
    <xf numFmtId="0" fontId="0" fillId="0" borderId="0" xfId="0" applyFill="1" applyAlignment="1" applyProtection="1">
      <alignment vertical="top"/>
      <protection locked="0"/>
    </xf>
    <xf numFmtId="0" fontId="43" fillId="0" borderId="0" xfId="7" applyNumberFormat="1" applyFont="1" applyFill="1" applyAlignment="1" applyProtection="1">
      <alignment horizontal="center" vertical="top"/>
      <protection locked="0"/>
    </xf>
    <xf numFmtId="168" fontId="44" fillId="0" borderId="0" xfId="7" applyNumberFormat="1" applyFont="1" applyFill="1" applyAlignment="1" applyProtection="1">
      <alignment horizontal="center" vertical="top"/>
      <protection locked="0"/>
    </xf>
    <xf numFmtId="0" fontId="4" fillId="0" borderId="0" xfId="0" applyFont="1" applyFill="1" applyAlignment="1" applyProtection="1">
      <alignment vertical="top"/>
      <protection locked="0"/>
    </xf>
    <xf numFmtId="0" fontId="5" fillId="0" borderId="0" xfId="0" applyFont="1" applyFill="1" applyAlignment="1" applyProtection="1">
      <alignment vertical="top"/>
      <protection locked="0"/>
    </xf>
    <xf numFmtId="2" fontId="42" fillId="0" borderId="0" xfId="0" applyNumberFormat="1" applyFont="1" applyFill="1" applyAlignment="1" applyProtection="1">
      <alignment vertical="top"/>
      <protection locked="0"/>
    </xf>
    <xf numFmtId="2" fontId="38" fillId="0" borderId="0" xfId="0" applyNumberFormat="1" applyFont="1" applyFill="1" applyAlignment="1" applyProtection="1">
      <alignment vertical="top"/>
      <protection locked="0"/>
    </xf>
    <xf numFmtId="168" fontId="38" fillId="0" borderId="0" xfId="7" applyNumberFormat="1" applyFont="1" applyFill="1" applyAlignment="1" applyProtection="1">
      <alignment horizontal="center" vertical="top"/>
      <protection locked="0"/>
    </xf>
    <xf numFmtId="2" fontId="0" fillId="0" borderId="0" xfId="0" applyNumberFormat="1" applyFill="1" applyAlignment="1" applyProtection="1">
      <alignment vertical="top"/>
      <protection locked="0"/>
    </xf>
    <xf numFmtId="0" fontId="4" fillId="0" borderId="0" xfId="0" applyFont="1" applyFill="1" applyAlignment="1">
      <alignment horizontal="center" vertical="center"/>
    </xf>
    <xf numFmtId="0" fontId="0" fillId="0" borderId="0" xfId="0" applyFill="1" applyAlignment="1">
      <alignment horizontal="center" vertical="center"/>
    </xf>
    <xf numFmtId="11" fontId="4" fillId="0" borderId="0" xfId="0" applyNumberFormat="1" applyFont="1" applyFill="1"/>
    <xf numFmtId="0" fontId="31" fillId="0" borderId="0" xfId="0" applyFont="1" applyFill="1"/>
    <xf numFmtId="0" fontId="46" fillId="0" borderId="0" xfId="0" applyFont="1"/>
    <xf numFmtId="0" fontId="0" fillId="0" borderId="0" xfId="0" applyFont="1"/>
    <xf numFmtId="0" fontId="47" fillId="0" borderId="0" xfId="0" applyFont="1" applyAlignment="1">
      <alignment vertical="center"/>
    </xf>
    <xf numFmtId="0" fontId="10" fillId="0" borderId="0" xfId="0" applyFont="1" applyAlignment="1">
      <alignment vertical="center"/>
    </xf>
    <xf numFmtId="0" fontId="22" fillId="0" borderId="0" xfId="1"/>
    <xf numFmtId="0" fontId="48" fillId="0" borderId="0" xfId="0" applyFont="1"/>
    <xf numFmtId="0" fontId="21" fillId="0" borderId="0" xfId="0" applyFont="1" applyFill="1" applyAlignment="1" applyProtection="1">
      <alignment vertical="top"/>
      <protection locked="0"/>
    </xf>
    <xf numFmtId="4" fontId="4" fillId="2" borderId="0" xfId="0" applyNumberFormat="1" applyFont="1" applyFill="1" applyAlignment="1" applyProtection="1">
      <alignment vertical="top"/>
      <protection locked="0"/>
    </xf>
    <xf numFmtId="4" fontId="42" fillId="0" borderId="0" xfId="0" quotePrefix="1" applyNumberFormat="1" applyFont="1" applyFill="1" applyAlignment="1" applyProtection="1">
      <alignment horizontal="right" vertical="top"/>
      <protection locked="0"/>
    </xf>
    <xf numFmtId="4" fontId="38" fillId="0" borderId="0" xfId="0" quotePrefix="1" applyNumberFormat="1" applyFont="1" applyFill="1" applyAlignment="1" applyProtection="1">
      <alignment horizontal="right" vertical="top"/>
      <protection locked="0"/>
    </xf>
    <xf numFmtId="0" fontId="0" fillId="0" borderId="0" xfId="0" applyFill="1" applyProtection="1">
      <protection locked="0"/>
    </xf>
    <xf numFmtId="0" fontId="21" fillId="0" borderId="0" xfId="0" applyFont="1" applyFill="1" applyProtection="1">
      <protection locked="0"/>
    </xf>
    <xf numFmtId="0" fontId="4" fillId="0" borderId="0" xfId="0" applyFont="1" applyFill="1" applyAlignment="1" applyProtection="1">
      <alignment wrapText="1"/>
      <protection locked="0"/>
    </xf>
    <xf numFmtId="0" fontId="4" fillId="0" borderId="0" xfId="0" applyFont="1" applyProtection="1">
      <protection locked="0"/>
    </xf>
    <xf numFmtId="4" fontId="4" fillId="0" borderId="0" xfId="0" applyNumberFormat="1" applyFont="1" applyFill="1" applyAlignment="1" applyProtection="1">
      <alignment vertical="top" wrapText="1"/>
      <protection locked="0"/>
    </xf>
    <xf numFmtId="0" fontId="4" fillId="0" borderId="0" xfId="0" applyNumberFormat="1" applyFont="1" applyFill="1" applyAlignment="1">
      <alignment horizontal="center"/>
    </xf>
    <xf numFmtId="0" fontId="4" fillId="0" borderId="0" xfId="0" applyNumberFormat="1" applyFont="1" applyFill="1" applyAlignment="1">
      <alignment horizontal="center" wrapText="1"/>
    </xf>
    <xf numFmtId="0" fontId="4" fillId="0" borderId="0" xfId="0" applyNumberFormat="1" applyFont="1" applyFill="1" applyAlignment="1">
      <alignment wrapText="1"/>
    </xf>
    <xf numFmtId="0" fontId="4" fillId="0" borderId="0" xfId="0" applyNumberFormat="1" applyFont="1" applyFill="1"/>
    <xf numFmtId="166" fontId="4" fillId="0" borderId="0" xfId="0" applyNumberFormat="1" applyFont="1" applyFill="1" applyAlignment="1">
      <alignment horizontal="center"/>
    </xf>
    <xf numFmtId="0" fontId="4" fillId="0" borderId="0" xfId="0" applyFont="1" applyFill="1" applyAlignment="1">
      <alignment wrapText="1"/>
    </xf>
    <xf numFmtId="166" fontId="4" fillId="0" borderId="0" xfId="0" applyNumberFormat="1" applyFont="1" applyFill="1"/>
    <xf numFmtId="11" fontId="4" fillId="2" borderId="0" xfId="0" applyNumberFormat="1" applyFont="1" applyFill="1" applyProtection="1">
      <protection locked="0"/>
    </xf>
    <xf numFmtId="0" fontId="4" fillId="2" borderId="0" xfId="0" applyNumberFormat="1" applyFont="1" applyFill="1" applyAlignment="1">
      <alignment horizontal="center"/>
    </xf>
    <xf numFmtId="166" fontId="4" fillId="2" borderId="0" xfId="0" applyNumberFormat="1" applyFont="1" applyFill="1" applyAlignment="1">
      <alignment horizontal="center"/>
    </xf>
    <xf numFmtId="0" fontId="19" fillId="0" borderId="0" xfId="0" applyFont="1" applyAlignment="1">
      <alignment horizont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right" vertical="center" wrapText="1"/>
    </xf>
    <xf numFmtId="0" fontId="10" fillId="0" borderId="5" xfId="0" applyFont="1" applyBorder="1" applyAlignment="1">
      <alignment horizontal="right"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37" fillId="0" borderId="0" xfId="0" applyFont="1" applyFill="1" applyAlignment="1">
      <alignment horizontal="center" vertical="center"/>
    </xf>
    <xf numFmtId="0" fontId="4" fillId="0" borderId="0" xfId="0" applyFont="1" applyAlignment="1">
      <alignment horizontal="center" wrapText="1"/>
    </xf>
    <xf numFmtId="0" fontId="4" fillId="0" borderId="0" xfId="0" applyFont="1" applyAlignment="1">
      <alignment horizontal="center"/>
    </xf>
  </cellXfs>
  <cellStyles count="10">
    <cellStyle name="Hyperlink" xfId="1" builtinId="8"/>
    <cellStyle name="Neutral 2" xfId="8" xr:uid="{00000000-0005-0000-0000-000001000000}"/>
    <cellStyle name="Normal" xfId="0" builtinId="0"/>
    <cellStyle name="Normal 19" xfId="5" xr:uid="{00000000-0005-0000-0000-000003000000}"/>
    <cellStyle name="Normal 2" xfId="3" xr:uid="{00000000-0005-0000-0000-000004000000}"/>
    <cellStyle name="Normal 2 2" xfId="6" xr:uid="{00000000-0005-0000-0000-000005000000}"/>
    <cellStyle name="Normal 3" xfId="4" xr:uid="{00000000-0005-0000-0000-000006000000}"/>
    <cellStyle name="Normal 4" xfId="9" xr:uid="{00000000-0005-0000-0000-000007000000}"/>
    <cellStyle name="Per cent" xfId="7" builtinId="5"/>
    <cellStyle name="Standard_Tabelle1"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371475</xdr:colOff>
      <xdr:row>8</xdr:row>
      <xdr:rowOff>7987</xdr:rowOff>
    </xdr:from>
    <xdr:to>
      <xdr:col>1</xdr:col>
      <xdr:colOff>438894</xdr:colOff>
      <xdr:row>11</xdr:row>
      <xdr:rowOff>110020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71475" y="1179562"/>
          <a:ext cx="1296144" cy="530658"/>
        </a:xfrm>
        <a:prstGeom prst="rect">
          <a:avLst/>
        </a:prstGeom>
        <a:noFill/>
        <a:ln>
          <a:solidFill>
            <a:schemeClr val="tx1"/>
          </a:solidFill>
        </a:ln>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sv-SE" sz="1400"/>
            <a:t>2. Fisher-Tropsch</a:t>
          </a:r>
        </a:p>
      </xdr:txBody>
    </xdr:sp>
    <xdr:clientData/>
  </xdr:twoCellAnchor>
  <xdr:twoCellAnchor>
    <xdr:from>
      <xdr:col>0</xdr:col>
      <xdr:colOff>1019547</xdr:colOff>
      <xdr:row>6</xdr:row>
      <xdr:rowOff>65306</xdr:rowOff>
    </xdr:from>
    <xdr:to>
      <xdr:col>0</xdr:col>
      <xdr:colOff>1019547</xdr:colOff>
      <xdr:row>7</xdr:row>
      <xdr:rowOff>131812</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a:off x="1019547" y="951131"/>
          <a:ext cx="0" cy="20938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1003848</xdr:colOff>
      <xdr:row>11</xdr:row>
      <xdr:rowOff>101868</xdr:rowOff>
    </xdr:from>
    <xdr:to>
      <xdr:col>0</xdr:col>
      <xdr:colOff>1003848</xdr:colOff>
      <xdr:row>13</xdr:row>
      <xdr:rowOff>63599</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a:off x="1003848" y="1702068"/>
          <a:ext cx="0" cy="24748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371475</xdr:colOff>
      <xdr:row>13</xdr:row>
      <xdr:rowOff>99639</xdr:rowOff>
    </xdr:from>
    <xdr:to>
      <xdr:col>1</xdr:col>
      <xdr:colOff>438894</xdr:colOff>
      <xdr:row>15</xdr:row>
      <xdr:rowOff>96810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71475" y="1985589"/>
          <a:ext cx="1296144" cy="311496"/>
        </a:xfrm>
        <a:prstGeom prst="rect">
          <a:avLst/>
        </a:prstGeom>
        <a:noFill/>
        <a:ln>
          <a:solidFill>
            <a:schemeClr val="tx1"/>
          </a:solidFill>
        </a:ln>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sv-SE" sz="1400"/>
            <a:t>H-(CH2)n-H</a:t>
          </a:r>
        </a:p>
      </xdr:txBody>
    </xdr:sp>
    <xdr:clientData/>
  </xdr:twoCellAnchor>
  <xdr:twoCellAnchor>
    <xdr:from>
      <xdr:col>0</xdr:col>
      <xdr:colOff>371475</xdr:colOff>
      <xdr:row>2</xdr:row>
      <xdr:rowOff>95250</xdr:rowOff>
    </xdr:from>
    <xdr:to>
      <xdr:col>1</xdr:col>
      <xdr:colOff>438894</xdr:colOff>
      <xdr:row>6</xdr:row>
      <xdr:rowOff>54408</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371475" y="409575"/>
          <a:ext cx="1296144" cy="530658"/>
        </a:xfrm>
        <a:prstGeom prst="rect">
          <a:avLst/>
        </a:prstGeom>
        <a:noFill/>
        <a:ln>
          <a:solidFill>
            <a:schemeClr val="tx1"/>
          </a:solidFill>
        </a:ln>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sv-SE" sz="1400"/>
            <a:t>1. Wood harvesting</a:t>
          </a:r>
        </a:p>
      </xdr:txBody>
    </xdr:sp>
    <xdr:clientData/>
  </xdr:twoCellAnchor>
  <xdr:twoCellAnchor>
    <xdr:from>
      <xdr:col>13</xdr:col>
      <xdr:colOff>238125</xdr:colOff>
      <xdr:row>47</xdr:row>
      <xdr:rowOff>9525</xdr:rowOff>
    </xdr:from>
    <xdr:to>
      <xdr:col>14</xdr:col>
      <xdr:colOff>238125</xdr:colOff>
      <xdr:row>48</xdr:row>
      <xdr:rowOff>47625</xdr:rowOff>
    </xdr:to>
    <xdr:sp macro="" textlink="">
      <xdr:nvSpPr>
        <xdr:cNvPr id="403884" name="Rectangle 1282">
          <a:extLst>
            <a:ext uri="{FF2B5EF4-FFF2-40B4-BE49-F238E27FC236}">
              <a16:creationId xmlns:a16="http://schemas.microsoft.com/office/drawing/2014/main" id="{00000000-0008-0000-0200-0000AC290600}"/>
            </a:ext>
          </a:extLst>
        </xdr:cNvPr>
        <xdr:cNvSpPr>
          <a:spLocks noChangeArrowheads="1"/>
        </xdr:cNvSpPr>
      </xdr:nvSpPr>
      <xdr:spPr bwMode="auto">
        <a:xfrm>
          <a:off x="10086975" y="9515475"/>
          <a:ext cx="609600" cy="200025"/>
        </a:xfrm>
        <a:prstGeom prst="rect">
          <a:avLst/>
        </a:prstGeom>
        <a:solidFill>
          <a:srgbClr val="FFFFFF"/>
        </a:solidFill>
        <a:ln w="0">
          <a:solidFill>
            <a:srgbClr val="FFFFFF"/>
          </a:solidFill>
          <a:miter lim="800000"/>
          <a:headEnd/>
          <a:tailEnd/>
        </a:ln>
      </xdr:spPr>
    </xdr:sp>
    <xdr:clientData/>
  </xdr:twoCellAnchor>
  <xdr:twoCellAnchor>
    <xdr:from>
      <xdr:col>11</xdr:col>
      <xdr:colOff>247650</xdr:colOff>
      <xdr:row>24</xdr:row>
      <xdr:rowOff>0</xdr:rowOff>
    </xdr:from>
    <xdr:to>
      <xdr:col>12</xdr:col>
      <xdr:colOff>247650</xdr:colOff>
      <xdr:row>25</xdr:row>
      <xdr:rowOff>133350</xdr:rowOff>
    </xdr:to>
    <xdr:sp macro="" textlink="">
      <xdr:nvSpPr>
        <xdr:cNvPr id="403885" name="Rectangle 1326">
          <a:extLst>
            <a:ext uri="{FF2B5EF4-FFF2-40B4-BE49-F238E27FC236}">
              <a16:creationId xmlns:a16="http://schemas.microsoft.com/office/drawing/2014/main" id="{00000000-0008-0000-0200-0000AD290600}"/>
            </a:ext>
          </a:extLst>
        </xdr:cNvPr>
        <xdr:cNvSpPr>
          <a:spLocks noChangeArrowheads="1"/>
        </xdr:cNvSpPr>
      </xdr:nvSpPr>
      <xdr:spPr bwMode="auto">
        <a:xfrm>
          <a:off x="8877300" y="4724400"/>
          <a:ext cx="609600" cy="333375"/>
        </a:xfrm>
        <a:prstGeom prst="rect">
          <a:avLst/>
        </a:prstGeom>
        <a:solidFill>
          <a:srgbClr val="FFFFFF"/>
        </a:solidFill>
        <a:ln w="0">
          <a:solidFill>
            <a:srgbClr val="000000"/>
          </a:solidFill>
          <a:miter lim="800000"/>
          <a:headEnd/>
          <a:tailEnd/>
        </a:ln>
      </xdr:spPr>
    </xdr:sp>
    <xdr:clientData/>
  </xdr:twoCellAnchor>
  <xdr:twoCellAnchor>
    <xdr:from>
      <xdr:col>11</xdr:col>
      <xdr:colOff>266700</xdr:colOff>
      <xdr:row>24</xdr:row>
      <xdr:rowOff>9524</xdr:rowOff>
    </xdr:from>
    <xdr:to>
      <xdr:col>12</xdr:col>
      <xdr:colOff>276225</xdr:colOff>
      <xdr:row>25</xdr:row>
      <xdr:rowOff>133350</xdr:rowOff>
    </xdr:to>
    <xdr:sp macro="" textlink="">
      <xdr:nvSpPr>
        <xdr:cNvPr id="17" name="Rectangle 1325">
          <a:extLst>
            <a:ext uri="{FF2B5EF4-FFF2-40B4-BE49-F238E27FC236}">
              <a16:creationId xmlns:a16="http://schemas.microsoft.com/office/drawing/2014/main" id="{00000000-0008-0000-0200-000011000000}"/>
            </a:ext>
          </a:extLst>
        </xdr:cNvPr>
        <xdr:cNvSpPr>
          <a:spLocks noChangeArrowheads="1"/>
        </xdr:cNvSpPr>
      </xdr:nvSpPr>
      <xdr:spPr bwMode="auto">
        <a:xfrm>
          <a:off x="9296400" y="3686174"/>
          <a:ext cx="619125" cy="266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1.Planting</a:t>
          </a:r>
        </a:p>
      </xdr:txBody>
    </xdr:sp>
    <xdr:clientData/>
  </xdr:twoCellAnchor>
  <xdr:twoCellAnchor>
    <xdr:from>
      <xdr:col>11</xdr:col>
      <xdr:colOff>247650</xdr:colOff>
      <xdr:row>27</xdr:row>
      <xdr:rowOff>47625</xdr:rowOff>
    </xdr:from>
    <xdr:to>
      <xdr:col>12</xdr:col>
      <xdr:colOff>247650</xdr:colOff>
      <xdr:row>28</xdr:row>
      <xdr:rowOff>161925</xdr:rowOff>
    </xdr:to>
    <xdr:sp macro="" textlink="">
      <xdr:nvSpPr>
        <xdr:cNvPr id="403887" name="Rectangle 1324">
          <a:extLst>
            <a:ext uri="{FF2B5EF4-FFF2-40B4-BE49-F238E27FC236}">
              <a16:creationId xmlns:a16="http://schemas.microsoft.com/office/drawing/2014/main" id="{00000000-0008-0000-0200-0000AF290600}"/>
            </a:ext>
          </a:extLst>
        </xdr:cNvPr>
        <xdr:cNvSpPr>
          <a:spLocks noChangeArrowheads="1"/>
        </xdr:cNvSpPr>
      </xdr:nvSpPr>
      <xdr:spPr bwMode="auto">
        <a:xfrm>
          <a:off x="8877300" y="5372100"/>
          <a:ext cx="609600" cy="314325"/>
        </a:xfrm>
        <a:prstGeom prst="rect">
          <a:avLst/>
        </a:prstGeom>
        <a:solidFill>
          <a:srgbClr val="FFFFFF"/>
        </a:solidFill>
        <a:ln w="0">
          <a:solidFill>
            <a:srgbClr val="000000"/>
          </a:solidFill>
          <a:miter lim="800000"/>
          <a:headEnd/>
          <a:tailEnd/>
        </a:ln>
      </xdr:spPr>
    </xdr:sp>
    <xdr:clientData/>
  </xdr:twoCellAnchor>
  <xdr:twoCellAnchor>
    <xdr:from>
      <xdr:col>11</xdr:col>
      <xdr:colOff>266700</xdr:colOff>
      <xdr:row>27</xdr:row>
      <xdr:rowOff>57150</xdr:rowOff>
    </xdr:from>
    <xdr:to>
      <xdr:col>12</xdr:col>
      <xdr:colOff>266700</xdr:colOff>
      <xdr:row>28</xdr:row>
      <xdr:rowOff>123825</xdr:rowOff>
    </xdr:to>
    <xdr:sp macro="" textlink="">
      <xdr:nvSpPr>
        <xdr:cNvPr id="19" name="Rectangle 1323">
          <a:extLst>
            <a:ext uri="{FF2B5EF4-FFF2-40B4-BE49-F238E27FC236}">
              <a16:creationId xmlns:a16="http://schemas.microsoft.com/office/drawing/2014/main" id="{00000000-0008-0000-0200-000013000000}"/>
            </a:ext>
          </a:extLst>
        </xdr:cNvPr>
        <xdr:cNvSpPr>
          <a:spLocks noChangeArrowheads="1"/>
        </xdr:cNvSpPr>
      </xdr:nvSpPr>
      <xdr:spPr bwMode="auto">
        <a:xfrm>
          <a:off x="9296400" y="4162425"/>
          <a:ext cx="609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2. Growing</a:t>
          </a:r>
        </a:p>
      </xdr:txBody>
    </xdr:sp>
    <xdr:clientData/>
  </xdr:twoCellAnchor>
  <xdr:twoCellAnchor>
    <xdr:from>
      <xdr:col>11</xdr:col>
      <xdr:colOff>247650</xdr:colOff>
      <xdr:row>30</xdr:row>
      <xdr:rowOff>95250</xdr:rowOff>
    </xdr:from>
    <xdr:to>
      <xdr:col>12</xdr:col>
      <xdr:colOff>247650</xdr:colOff>
      <xdr:row>32</xdr:row>
      <xdr:rowOff>19050</xdr:rowOff>
    </xdr:to>
    <xdr:sp macro="" textlink="">
      <xdr:nvSpPr>
        <xdr:cNvPr id="403889" name="Rectangle 1322">
          <a:extLst>
            <a:ext uri="{FF2B5EF4-FFF2-40B4-BE49-F238E27FC236}">
              <a16:creationId xmlns:a16="http://schemas.microsoft.com/office/drawing/2014/main" id="{00000000-0008-0000-0200-0000B1290600}"/>
            </a:ext>
          </a:extLst>
        </xdr:cNvPr>
        <xdr:cNvSpPr>
          <a:spLocks noChangeArrowheads="1"/>
        </xdr:cNvSpPr>
      </xdr:nvSpPr>
      <xdr:spPr bwMode="auto">
        <a:xfrm>
          <a:off x="8877300" y="6019800"/>
          <a:ext cx="609600" cy="323850"/>
        </a:xfrm>
        <a:prstGeom prst="rect">
          <a:avLst/>
        </a:prstGeom>
        <a:solidFill>
          <a:srgbClr val="FFFFFF"/>
        </a:solidFill>
        <a:ln w="0">
          <a:solidFill>
            <a:srgbClr val="000000"/>
          </a:solidFill>
          <a:miter lim="800000"/>
          <a:headEnd/>
          <a:tailEnd/>
        </a:ln>
      </xdr:spPr>
    </xdr:sp>
    <xdr:clientData/>
  </xdr:twoCellAnchor>
  <xdr:twoCellAnchor>
    <xdr:from>
      <xdr:col>11</xdr:col>
      <xdr:colOff>266700</xdr:colOff>
      <xdr:row>30</xdr:row>
      <xdr:rowOff>123825</xdr:rowOff>
    </xdr:from>
    <xdr:to>
      <xdr:col>12</xdr:col>
      <xdr:colOff>209550</xdr:colOff>
      <xdr:row>32</xdr:row>
      <xdr:rowOff>19050</xdr:rowOff>
    </xdr:to>
    <xdr:sp macro="" textlink="">
      <xdr:nvSpPr>
        <xdr:cNvPr id="21" name="Rectangle 1321">
          <a:extLst>
            <a:ext uri="{FF2B5EF4-FFF2-40B4-BE49-F238E27FC236}">
              <a16:creationId xmlns:a16="http://schemas.microsoft.com/office/drawing/2014/main" id="{00000000-0008-0000-0200-000015000000}"/>
            </a:ext>
          </a:extLst>
        </xdr:cNvPr>
        <xdr:cNvSpPr>
          <a:spLocks noChangeArrowheads="1"/>
        </xdr:cNvSpPr>
      </xdr:nvSpPr>
      <xdr:spPr bwMode="auto">
        <a:xfrm>
          <a:off x="9296400" y="4657725"/>
          <a:ext cx="5524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3. Cutting</a:t>
          </a:r>
        </a:p>
      </xdr:txBody>
    </xdr:sp>
    <xdr:clientData/>
  </xdr:twoCellAnchor>
  <xdr:twoCellAnchor>
    <xdr:from>
      <xdr:col>11</xdr:col>
      <xdr:colOff>542925</xdr:colOff>
      <xdr:row>25</xdr:row>
      <xdr:rowOff>123825</xdr:rowOff>
    </xdr:from>
    <xdr:to>
      <xdr:col>11</xdr:col>
      <xdr:colOff>542925</xdr:colOff>
      <xdr:row>26</xdr:row>
      <xdr:rowOff>180975</xdr:rowOff>
    </xdr:to>
    <xdr:sp macro="" textlink="">
      <xdr:nvSpPr>
        <xdr:cNvPr id="403891" name="Line 1320">
          <a:extLst>
            <a:ext uri="{FF2B5EF4-FFF2-40B4-BE49-F238E27FC236}">
              <a16:creationId xmlns:a16="http://schemas.microsoft.com/office/drawing/2014/main" id="{00000000-0008-0000-0200-0000B3290600}"/>
            </a:ext>
          </a:extLst>
        </xdr:cNvPr>
        <xdr:cNvSpPr>
          <a:spLocks noChangeShapeType="1"/>
        </xdr:cNvSpPr>
      </xdr:nvSpPr>
      <xdr:spPr bwMode="auto">
        <a:xfrm>
          <a:off x="9172575" y="5048250"/>
          <a:ext cx="0" cy="25717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485775</xdr:colOff>
      <xdr:row>26</xdr:row>
      <xdr:rowOff>123825</xdr:rowOff>
    </xdr:from>
    <xdr:to>
      <xdr:col>11</xdr:col>
      <xdr:colOff>600075</xdr:colOff>
      <xdr:row>27</xdr:row>
      <xdr:rowOff>38100</xdr:rowOff>
    </xdr:to>
    <xdr:sp macro="" textlink="">
      <xdr:nvSpPr>
        <xdr:cNvPr id="403892" name="Freeform 1319">
          <a:extLst>
            <a:ext uri="{FF2B5EF4-FFF2-40B4-BE49-F238E27FC236}">
              <a16:creationId xmlns:a16="http://schemas.microsoft.com/office/drawing/2014/main" id="{00000000-0008-0000-0200-0000B4290600}"/>
            </a:ext>
          </a:extLst>
        </xdr:cNvPr>
        <xdr:cNvSpPr>
          <a:spLocks/>
        </xdr:cNvSpPr>
      </xdr:nvSpPr>
      <xdr:spPr bwMode="auto">
        <a:xfrm>
          <a:off x="9115425" y="5248275"/>
          <a:ext cx="114300" cy="114300"/>
        </a:xfrm>
        <a:custGeom>
          <a:avLst/>
          <a:gdLst>
            <a:gd name="T0" fmla="*/ 2147483647 w 180"/>
            <a:gd name="T1" fmla="*/ 0 h 179"/>
            <a:gd name="T2" fmla="*/ 2147483647 w 180"/>
            <a:gd name="T3" fmla="*/ 2147483647 h 179"/>
            <a:gd name="T4" fmla="*/ 0 w 180"/>
            <a:gd name="T5" fmla="*/ 0 h 179"/>
            <a:gd name="T6" fmla="*/ 2147483647 w 180"/>
            <a:gd name="T7" fmla="*/ 0 h 17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0" h="179">
              <a:moveTo>
                <a:pt x="180" y="0"/>
              </a:moveTo>
              <a:lnTo>
                <a:pt x="90" y="179"/>
              </a:lnTo>
              <a:lnTo>
                <a:pt x="0" y="0"/>
              </a:lnTo>
              <a:lnTo>
                <a:pt x="180" y="0"/>
              </a:lnTo>
              <a:close/>
            </a:path>
          </a:pathLst>
        </a:custGeom>
        <a:solidFill>
          <a:srgbClr val="000000"/>
        </a:solidFill>
        <a:ln w="0">
          <a:solidFill>
            <a:srgbClr val="000000"/>
          </a:solidFill>
          <a:round/>
          <a:headEnd/>
          <a:tailEnd/>
        </a:ln>
      </xdr:spPr>
    </xdr:sp>
    <xdr:clientData/>
  </xdr:twoCellAnchor>
  <xdr:twoCellAnchor>
    <xdr:from>
      <xdr:col>11</xdr:col>
      <xdr:colOff>552450</xdr:colOff>
      <xdr:row>28</xdr:row>
      <xdr:rowOff>152400</xdr:rowOff>
    </xdr:from>
    <xdr:to>
      <xdr:col>11</xdr:col>
      <xdr:colOff>552450</xdr:colOff>
      <xdr:row>30</xdr:row>
      <xdr:rowOff>28575</xdr:rowOff>
    </xdr:to>
    <xdr:sp macro="" textlink="">
      <xdr:nvSpPr>
        <xdr:cNvPr id="403893" name="Line 1318">
          <a:extLst>
            <a:ext uri="{FF2B5EF4-FFF2-40B4-BE49-F238E27FC236}">
              <a16:creationId xmlns:a16="http://schemas.microsoft.com/office/drawing/2014/main" id="{00000000-0008-0000-0200-0000B5290600}"/>
            </a:ext>
          </a:extLst>
        </xdr:cNvPr>
        <xdr:cNvSpPr>
          <a:spLocks noChangeShapeType="1"/>
        </xdr:cNvSpPr>
      </xdr:nvSpPr>
      <xdr:spPr bwMode="auto">
        <a:xfrm>
          <a:off x="9182100" y="5676900"/>
          <a:ext cx="0" cy="2762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29</xdr:row>
      <xdr:rowOff>171450</xdr:rowOff>
    </xdr:from>
    <xdr:to>
      <xdr:col>12</xdr:col>
      <xdr:colOff>0</xdr:colOff>
      <xdr:row>30</xdr:row>
      <xdr:rowOff>85725</xdr:rowOff>
    </xdr:to>
    <xdr:sp macro="" textlink="">
      <xdr:nvSpPr>
        <xdr:cNvPr id="403894" name="Freeform 1317">
          <a:extLst>
            <a:ext uri="{FF2B5EF4-FFF2-40B4-BE49-F238E27FC236}">
              <a16:creationId xmlns:a16="http://schemas.microsoft.com/office/drawing/2014/main" id="{00000000-0008-0000-0200-0000B6290600}"/>
            </a:ext>
          </a:extLst>
        </xdr:cNvPr>
        <xdr:cNvSpPr>
          <a:spLocks/>
        </xdr:cNvSpPr>
      </xdr:nvSpPr>
      <xdr:spPr bwMode="auto">
        <a:xfrm>
          <a:off x="9124950" y="5895975"/>
          <a:ext cx="114300" cy="114300"/>
        </a:xfrm>
        <a:custGeom>
          <a:avLst/>
          <a:gdLst>
            <a:gd name="T0" fmla="*/ 2147483647 w 180"/>
            <a:gd name="T1" fmla="*/ 0 h 180"/>
            <a:gd name="T2" fmla="*/ 2147483647 w 180"/>
            <a:gd name="T3" fmla="*/ 2147483647 h 180"/>
            <a:gd name="T4" fmla="*/ 0 w 180"/>
            <a:gd name="T5" fmla="*/ 0 h 180"/>
            <a:gd name="T6" fmla="*/ 2147483647 w 180"/>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0" h="180">
              <a:moveTo>
                <a:pt x="180" y="0"/>
              </a:moveTo>
              <a:lnTo>
                <a:pt x="90" y="180"/>
              </a:lnTo>
              <a:lnTo>
                <a:pt x="0" y="0"/>
              </a:lnTo>
              <a:lnTo>
                <a:pt x="180" y="0"/>
              </a:lnTo>
              <a:close/>
            </a:path>
          </a:pathLst>
        </a:custGeom>
        <a:solidFill>
          <a:srgbClr val="000000"/>
        </a:solidFill>
        <a:ln w="0">
          <a:solidFill>
            <a:srgbClr val="000000"/>
          </a:solidFill>
          <a:round/>
          <a:headEnd/>
          <a:tailEnd/>
        </a:ln>
      </xdr:spPr>
    </xdr:sp>
    <xdr:clientData/>
  </xdr:twoCellAnchor>
  <xdr:twoCellAnchor>
    <xdr:from>
      <xdr:col>11</xdr:col>
      <xdr:colOff>238125</xdr:colOff>
      <xdr:row>33</xdr:row>
      <xdr:rowOff>133350</xdr:rowOff>
    </xdr:from>
    <xdr:to>
      <xdr:col>12</xdr:col>
      <xdr:colOff>247650</xdr:colOff>
      <xdr:row>36</xdr:row>
      <xdr:rowOff>19050</xdr:rowOff>
    </xdr:to>
    <xdr:sp macro="" textlink="">
      <xdr:nvSpPr>
        <xdr:cNvPr id="403895" name="Rectangle 1316">
          <a:extLst>
            <a:ext uri="{FF2B5EF4-FFF2-40B4-BE49-F238E27FC236}">
              <a16:creationId xmlns:a16="http://schemas.microsoft.com/office/drawing/2014/main" id="{00000000-0008-0000-0200-0000B7290600}"/>
            </a:ext>
          </a:extLst>
        </xdr:cNvPr>
        <xdr:cNvSpPr>
          <a:spLocks noChangeArrowheads="1"/>
        </xdr:cNvSpPr>
      </xdr:nvSpPr>
      <xdr:spPr bwMode="auto">
        <a:xfrm>
          <a:off x="9267825" y="5095875"/>
          <a:ext cx="619125" cy="371475"/>
        </a:xfrm>
        <a:prstGeom prst="rect">
          <a:avLst/>
        </a:prstGeom>
        <a:solidFill>
          <a:srgbClr val="FFFFFF"/>
        </a:solidFill>
        <a:ln w="0">
          <a:solidFill>
            <a:srgbClr val="000000"/>
          </a:solidFill>
          <a:miter lim="800000"/>
          <a:headEnd/>
          <a:tailEnd/>
        </a:ln>
      </xdr:spPr>
    </xdr:sp>
    <xdr:clientData/>
  </xdr:twoCellAnchor>
  <xdr:twoCellAnchor>
    <xdr:from>
      <xdr:col>11</xdr:col>
      <xdr:colOff>257175</xdr:colOff>
      <xdr:row>33</xdr:row>
      <xdr:rowOff>142874</xdr:rowOff>
    </xdr:from>
    <xdr:to>
      <xdr:col>12</xdr:col>
      <xdr:colOff>257175</xdr:colOff>
      <xdr:row>36</xdr:row>
      <xdr:rowOff>9524</xdr:rowOff>
    </xdr:to>
    <xdr:sp macro="" textlink="">
      <xdr:nvSpPr>
        <xdr:cNvPr id="27" name="Rectangle 1315">
          <a:extLst>
            <a:ext uri="{FF2B5EF4-FFF2-40B4-BE49-F238E27FC236}">
              <a16:creationId xmlns:a16="http://schemas.microsoft.com/office/drawing/2014/main" id="{00000000-0008-0000-0200-00001B000000}"/>
            </a:ext>
          </a:extLst>
        </xdr:cNvPr>
        <xdr:cNvSpPr>
          <a:spLocks noChangeArrowheads="1"/>
        </xdr:cNvSpPr>
      </xdr:nvSpPr>
      <xdr:spPr bwMode="auto">
        <a:xfrm>
          <a:off x="9286875" y="5105399"/>
          <a:ext cx="6096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4. Flash pyrolysis</a:t>
          </a:r>
        </a:p>
      </xdr:txBody>
    </xdr:sp>
    <xdr:clientData/>
  </xdr:twoCellAnchor>
  <xdr:twoCellAnchor>
    <xdr:from>
      <xdr:col>11</xdr:col>
      <xdr:colOff>561975</xdr:colOff>
      <xdr:row>32</xdr:row>
      <xdr:rowOff>9525</xdr:rowOff>
    </xdr:from>
    <xdr:to>
      <xdr:col>11</xdr:col>
      <xdr:colOff>561975</xdr:colOff>
      <xdr:row>33</xdr:row>
      <xdr:rowOff>76200</xdr:rowOff>
    </xdr:to>
    <xdr:sp macro="" textlink="">
      <xdr:nvSpPr>
        <xdr:cNvPr id="403897" name="Line 1314">
          <a:extLst>
            <a:ext uri="{FF2B5EF4-FFF2-40B4-BE49-F238E27FC236}">
              <a16:creationId xmlns:a16="http://schemas.microsoft.com/office/drawing/2014/main" id="{00000000-0008-0000-0200-0000B9290600}"/>
            </a:ext>
          </a:extLst>
        </xdr:cNvPr>
        <xdr:cNvSpPr>
          <a:spLocks noChangeShapeType="1"/>
        </xdr:cNvSpPr>
      </xdr:nvSpPr>
      <xdr:spPr bwMode="auto">
        <a:xfrm>
          <a:off x="9191625" y="6334125"/>
          <a:ext cx="0" cy="2667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514350</xdr:colOff>
      <xdr:row>33</xdr:row>
      <xdr:rowOff>19050</xdr:rowOff>
    </xdr:from>
    <xdr:to>
      <xdr:col>12</xdr:col>
      <xdr:colOff>9525</xdr:colOff>
      <xdr:row>33</xdr:row>
      <xdr:rowOff>133350</xdr:rowOff>
    </xdr:to>
    <xdr:sp macro="" textlink="">
      <xdr:nvSpPr>
        <xdr:cNvPr id="403898" name="Freeform 1313">
          <a:extLst>
            <a:ext uri="{FF2B5EF4-FFF2-40B4-BE49-F238E27FC236}">
              <a16:creationId xmlns:a16="http://schemas.microsoft.com/office/drawing/2014/main" id="{00000000-0008-0000-0200-0000BA290600}"/>
            </a:ext>
          </a:extLst>
        </xdr:cNvPr>
        <xdr:cNvSpPr>
          <a:spLocks/>
        </xdr:cNvSpPr>
      </xdr:nvSpPr>
      <xdr:spPr bwMode="auto">
        <a:xfrm>
          <a:off x="9144000" y="6543675"/>
          <a:ext cx="104775" cy="114300"/>
        </a:xfrm>
        <a:custGeom>
          <a:avLst/>
          <a:gdLst>
            <a:gd name="T0" fmla="*/ 2147483647 w 164"/>
            <a:gd name="T1" fmla="*/ 0 h 179"/>
            <a:gd name="T2" fmla="*/ 2147483647 w 164"/>
            <a:gd name="T3" fmla="*/ 2147483647 h 179"/>
            <a:gd name="T4" fmla="*/ 0 w 164"/>
            <a:gd name="T5" fmla="*/ 0 h 179"/>
            <a:gd name="T6" fmla="*/ 2147483647 w 164"/>
            <a:gd name="T7" fmla="*/ 0 h 17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4" h="179">
              <a:moveTo>
                <a:pt x="164" y="0"/>
              </a:moveTo>
              <a:lnTo>
                <a:pt x="90" y="179"/>
              </a:lnTo>
              <a:lnTo>
                <a:pt x="0" y="0"/>
              </a:lnTo>
              <a:lnTo>
                <a:pt x="164" y="0"/>
              </a:lnTo>
              <a:close/>
            </a:path>
          </a:pathLst>
        </a:custGeom>
        <a:solidFill>
          <a:srgbClr val="000000"/>
        </a:solidFill>
        <a:ln w="0">
          <a:solidFill>
            <a:srgbClr val="000000"/>
          </a:solidFill>
          <a:round/>
          <a:headEnd/>
          <a:tailEnd/>
        </a:ln>
      </xdr:spPr>
    </xdr:sp>
    <xdr:clientData/>
  </xdr:twoCellAnchor>
  <xdr:twoCellAnchor>
    <xdr:from>
      <xdr:col>12</xdr:col>
      <xdr:colOff>247650</xdr:colOff>
      <xdr:row>34</xdr:row>
      <xdr:rowOff>95250</xdr:rowOff>
    </xdr:from>
    <xdr:to>
      <xdr:col>13</xdr:col>
      <xdr:colOff>180975</xdr:colOff>
      <xdr:row>34</xdr:row>
      <xdr:rowOff>95250</xdr:rowOff>
    </xdr:to>
    <xdr:sp macro="" textlink="">
      <xdr:nvSpPr>
        <xdr:cNvPr id="403899" name="Line 1312">
          <a:extLst>
            <a:ext uri="{FF2B5EF4-FFF2-40B4-BE49-F238E27FC236}">
              <a16:creationId xmlns:a16="http://schemas.microsoft.com/office/drawing/2014/main" id="{00000000-0008-0000-0200-0000BB290600}"/>
            </a:ext>
          </a:extLst>
        </xdr:cNvPr>
        <xdr:cNvSpPr>
          <a:spLocks noChangeShapeType="1"/>
        </xdr:cNvSpPr>
      </xdr:nvSpPr>
      <xdr:spPr bwMode="auto">
        <a:xfrm>
          <a:off x="9486900" y="6819900"/>
          <a:ext cx="542925"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123825</xdr:colOff>
      <xdr:row>34</xdr:row>
      <xdr:rowOff>38100</xdr:rowOff>
    </xdr:from>
    <xdr:to>
      <xdr:col>13</xdr:col>
      <xdr:colOff>238125</xdr:colOff>
      <xdr:row>34</xdr:row>
      <xdr:rowOff>152400</xdr:rowOff>
    </xdr:to>
    <xdr:sp macro="" textlink="">
      <xdr:nvSpPr>
        <xdr:cNvPr id="403900" name="Freeform 1311">
          <a:extLst>
            <a:ext uri="{FF2B5EF4-FFF2-40B4-BE49-F238E27FC236}">
              <a16:creationId xmlns:a16="http://schemas.microsoft.com/office/drawing/2014/main" id="{00000000-0008-0000-0200-0000BC290600}"/>
            </a:ext>
          </a:extLst>
        </xdr:cNvPr>
        <xdr:cNvSpPr>
          <a:spLocks/>
        </xdr:cNvSpPr>
      </xdr:nvSpPr>
      <xdr:spPr bwMode="auto">
        <a:xfrm>
          <a:off x="9972675" y="6762750"/>
          <a:ext cx="114300" cy="114300"/>
        </a:xfrm>
        <a:custGeom>
          <a:avLst/>
          <a:gdLst>
            <a:gd name="T0" fmla="*/ 0 w 179"/>
            <a:gd name="T1" fmla="*/ 0 h 180"/>
            <a:gd name="T2" fmla="*/ 2147483647 w 179"/>
            <a:gd name="T3" fmla="*/ 2147483647 h 180"/>
            <a:gd name="T4" fmla="*/ 0 w 179"/>
            <a:gd name="T5" fmla="*/ 2147483647 h 180"/>
            <a:gd name="T6" fmla="*/ 0 w 179"/>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9" h="180">
              <a:moveTo>
                <a:pt x="0" y="0"/>
              </a:moveTo>
              <a:lnTo>
                <a:pt x="179" y="90"/>
              </a:lnTo>
              <a:lnTo>
                <a:pt x="0" y="180"/>
              </a:lnTo>
              <a:lnTo>
                <a:pt x="0" y="0"/>
              </a:lnTo>
              <a:close/>
            </a:path>
          </a:pathLst>
        </a:custGeom>
        <a:solidFill>
          <a:srgbClr val="000000"/>
        </a:solidFill>
        <a:ln w="0">
          <a:solidFill>
            <a:srgbClr val="000000"/>
          </a:solidFill>
          <a:round/>
          <a:headEnd/>
          <a:tailEnd/>
        </a:ln>
      </xdr:spPr>
    </xdr:sp>
    <xdr:clientData/>
  </xdr:twoCellAnchor>
  <xdr:twoCellAnchor>
    <xdr:from>
      <xdr:col>10</xdr:col>
      <xdr:colOff>295275</xdr:colOff>
      <xdr:row>34</xdr:row>
      <xdr:rowOff>95250</xdr:rowOff>
    </xdr:from>
    <xdr:to>
      <xdr:col>11</xdr:col>
      <xdr:colOff>238125</xdr:colOff>
      <xdr:row>34</xdr:row>
      <xdr:rowOff>95250</xdr:rowOff>
    </xdr:to>
    <xdr:sp macro="" textlink="">
      <xdr:nvSpPr>
        <xdr:cNvPr id="403901" name="Line 1310">
          <a:extLst>
            <a:ext uri="{FF2B5EF4-FFF2-40B4-BE49-F238E27FC236}">
              <a16:creationId xmlns:a16="http://schemas.microsoft.com/office/drawing/2014/main" id="{00000000-0008-0000-0200-0000BD290600}"/>
            </a:ext>
          </a:extLst>
        </xdr:cNvPr>
        <xdr:cNvSpPr>
          <a:spLocks noChangeShapeType="1"/>
        </xdr:cNvSpPr>
      </xdr:nvSpPr>
      <xdr:spPr bwMode="auto">
        <a:xfrm flipH="1">
          <a:off x="8315325" y="6819900"/>
          <a:ext cx="55245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33</xdr:row>
      <xdr:rowOff>190500</xdr:rowOff>
    </xdr:from>
    <xdr:to>
      <xdr:col>14</xdr:col>
      <xdr:colOff>238125</xdr:colOff>
      <xdr:row>34</xdr:row>
      <xdr:rowOff>190500</xdr:rowOff>
    </xdr:to>
    <xdr:sp macro="" textlink="">
      <xdr:nvSpPr>
        <xdr:cNvPr id="403903" name="Rectangle 1308">
          <a:extLst>
            <a:ext uri="{FF2B5EF4-FFF2-40B4-BE49-F238E27FC236}">
              <a16:creationId xmlns:a16="http://schemas.microsoft.com/office/drawing/2014/main" id="{00000000-0008-0000-0200-0000BF290600}"/>
            </a:ext>
          </a:extLst>
        </xdr:cNvPr>
        <xdr:cNvSpPr>
          <a:spLocks noChangeArrowheads="1"/>
        </xdr:cNvSpPr>
      </xdr:nvSpPr>
      <xdr:spPr bwMode="auto">
        <a:xfrm>
          <a:off x="10086975" y="6715125"/>
          <a:ext cx="609600" cy="200025"/>
        </a:xfrm>
        <a:prstGeom prst="rect">
          <a:avLst/>
        </a:prstGeom>
        <a:solidFill>
          <a:srgbClr val="FFFFFF"/>
        </a:solidFill>
        <a:ln w="0">
          <a:solidFill>
            <a:srgbClr val="FFFFFF"/>
          </a:solidFill>
          <a:miter lim="800000"/>
          <a:headEnd/>
          <a:tailEnd/>
        </a:ln>
      </xdr:spPr>
    </xdr:sp>
    <xdr:clientData/>
  </xdr:twoCellAnchor>
  <xdr:twoCellAnchor>
    <xdr:from>
      <xdr:col>13</xdr:col>
      <xdr:colOff>285750</xdr:colOff>
      <xdr:row>34</xdr:row>
      <xdr:rowOff>19050</xdr:rowOff>
    </xdr:from>
    <xdr:to>
      <xdr:col>14</xdr:col>
      <xdr:colOff>257175</xdr:colOff>
      <xdr:row>35</xdr:row>
      <xdr:rowOff>57150</xdr:rowOff>
    </xdr:to>
    <xdr:sp macro="" textlink="">
      <xdr:nvSpPr>
        <xdr:cNvPr id="35" name="Rectangle 1307">
          <a:extLst>
            <a:ext uri="{FF2B5EF4-FFF2-40B4-BE49-F238E27FC236}">
              <a16:creationId xmlns:a16="http://schemas.microsoft.com/office/drawing/2014/main" id="{00000000-0008-0000-0200-000023000000}"/>
            </a:ext>
          </a:extLst>
        </xdr:cNvPr>
        <xdr:cNvSpPr>
          <a:spLocks noChangeArrowheads="1"/>
        </xdr:cNvSpPr>
      </xdr:nvSpPr>
      <xdr:spPr bwMode="auto">
        <a:xfrm>
          <a:off x="10534650" y="5314950"/>
          <a:ext cx="581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sv-SE" sz="1000" b="0" i="0" u="none" strike="noStrike" baseline="0">
              <a:solidFill>
                <a:srgbClr val="000000"/>
              </a:solidFill>
              <a:latin typeface="Times New Roman"/>
              <a:cs typeface="Times New Roman"/>
            </a:rPr>
            <a:t>Charcoal</a:t>
          </a:r>
        </a:p>
      </xdr:txBody>
    </xdr:sp>
    <xdr:clientData/>
  </xdr:twoCellAnchor>
  <xdr:twoCellAnchor>
    <xdr:from>
      <xdr:col>9</xdr:col>
      <xdr:colOff>0</xdr:colOff>
      <xdr:row>34</xdr:row>
      <xdr:rowOff>19050</xdr:rowOff>
    </xdr:from>
    <xdr:to>
      <xdr:col>10</xdr:col>
      <xdr:colOff>257175</xdr:colOff>
      <xdr:row>35</xdr:row>
      <xdr:rowOff>0</xdr:rowOff>
    </xdr:to>
    <xdr:sp macro="" textlink="">
      <xdr:nvSpPr>
        <xdr:cNvPr id="403905" name="Rectangle 1306">
          <a:extLst>
            <a:ext uri="{FF2B5EF4-FFF2-40B4-BE49-F238E27FC236}">
              <a16:creationId xmlns:a16="http://schemas.microsoft.com/office/drawing/2014/main" id="{00000000-0008-0000-0200-0000C1290600}"/>
            </a:ext>
          </a:extLst>
        </xdr:cNvPr>
        <xdr:cNvSpPr>
          <a:spLocks noChangeArrowheads="1"/>
        </xdr:cNvSpPr>
      </xdr:nvSpPr>
      <xdr:spPr bwMode="auto">
        <a:xfrm>
          <a:off x="7410450" y="6743700"/>
          <a:ext cx="866775" cy="180975"/>
        </a:xfrm>
        <a:prstGeom prst="rect">
          <a:avLst/>
        </a:prstGeom>
        <a:solidFill>
          <a:srgbClr val="FFFFFF"/>
        </a:solidFill>
        <a:ln w="0">
          <a:solidFill>
            <a:srgbClr val="FFFFFF"/>
          </a:solidFill>
          <a:miter lim="800000"/>
          <a:headEnd/>
          <a:tailEnd/>
        </a:ln>
      </xdr:spPr>
    </xdr:sp>
    <xdr:clientData/>
  </xdr:twoCellAnchor>
  <xdr:twoCellAnchor>
    <xdr:from>
      <xdr:col>8</xdr:col>
      <xdr:colOff>542925</xdr:colOff>
      <xdr:row>34</xdr:row>
      <xdr:rowOff>28574</xdr:rowOff>
    </xdr:from>
    <xdr:to>
      <xdr:col>10</xdr:col>
      <xdr:colOff>123825</xdr:colOff>
      <xdr:row>35</xdr:row>
      <xdr:rowOff>85724</xdr:rowOff>
    </xdr:to>
    <xdr:sp macro="" textlink="">
      <xdr:nvSpPr>
        <xdr:cNvPr id="37" name="Rectangle 1305">
          <a:extLst>
            <a:ext uri="{FF2B5EF4-FFF2-40B4-BE49-F238E27FC236}">
              <a16:creationId xmlns:a16="http://schemas.microsoft.com/office/drawing/2014/main" id="{00000000-0008-0000-0200-000025000000}"/>
            </a:ext>
          </a:extLst>
        </xdr:cNvPr>
        <xdr:cNvSpPr>
          <a:spLocks noChangeArrowheads="1"/>
        </xdr:cNvSpPr>
      </xdr:nvSpPr>
      <xdr:spPr bwMode="auto">
        <a:xfrm>
          <a:off x="7743825" y="5191124"/>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sv-SE" sz="1000" b="0" i="0" u="none" strike="noStrike" baseline="0">
              <a:solidFill>
                <a:srgbClr val="000000"/>
              </a:solidFill>
              <a:latin typeface="Times New Roman"/>
              <a:cs typeface="Times New Roman"/>
            </a:rPr>
            <a:t>Tar, volatiles</a:t>
          </a:r>
        </a:p>
      </xdr:txBody>
    </xdr:sp>
    <xdr:clientData/>
  </xdr:twoCellAnchor>
  <xdr:twoCellAnchor>
    <xdr:from>
      <xdr:col>13</xdr:col>
      <xdr:colOff>238125</xdr:colOff>
      <xdr:row>27</xdr:row>
      <xdr:rowOff>47625</xdr:rowOff>
    </xdr:from>
    <xdr:to>
      <xdr:col>14</xdr:col>
      <xdr:colOff>409575</xdr:colOff>
      <xdr:row>28</xdr:row>
      <xdr:rowOff>171450</xdr:rowOff>
    </xdr:to>
    <xdr:sp macro="" textlink="">
      <xdr:nvSpPr>
        <xdr:cNvPr id="403907" name="Rectangle 1304">
          <a:extLst>
            <a:ext uri="{FF2B5EF4-FFF2-40B4-BE49-F238E27FC236}">
              <a16:creationId xmlns:a16="http://schemas.microsoft.com/office/drawing/2014/main" id="{00000000-0008-0000-0200-0000C3290600}"/>
            </a:ext>
          </a:extLst>
        </xdr:cNvPr>
        <xdr:cNvSpPr>
          <a:spLocks noChangeArrowheads="1"/>
        </xdr:cNvSpPr>
      </xdr:nvSpPr>
      <xdr:spPr bwMode="auto">
        <a:xfrm>
          <a:off x="10086975" y="5372100"/>
          <a:ext cx="781050" cy="323850"/>
        </a:xfrm>
        <a:prstGeom prst="rect">
          <a:avLst/>
        </a:prstGeom>
        <a:solidFill>
          <a:srgbClr val="FFFFFF"/>
        </a:solidFill>
        <a:ln w="0">
          <a:solidFill>
            <a:srgbClr val="000000"/>
          </a:solidFill>
          <a:miter lim="800000"/>
          <a:headEnd/>
          <a:tailEnd/>
        </a:ln>
      </xdr:spPr>
    </xdr:sp>
    <xdr:clientData/>
  </xdr:twoCellAnchor>
  <xdr:twoCellAnchor>
    <xdr:from>
      <xdr:col>13</xdr:col>
      <xdr:colOff>257175</xdr:colOff>
      <xdr:row>27</xdr:row>
      <xdr:rowOff>57150</xdr:rowOff>
    </xdr:from>
    <xdr:to>
      <xdr:col>14</xdr:col>
      <xdr:colOff>409575</xdr:colOff>
      <xdr:row>28</xdr:row>
      <xdr:rowOff>133350</xdr:rowOff>
    </xdr:to>
    <xdr:sp macro="" textlink="">
      <xdr:nvSpPr>
        <xdr:cNvPr id="39" name="Rectangle 1303">
          <a:extLst>
            <a:ext uri="{FF2B5EF4-FFF2-40B4-BE49-F238E27FC236}">
              <a16:creationId xmlns:a16="http://schemas.microsoft.com/office/drawing/2014/main" id="{00000000-0008-0000-0200-000027000000}"/>
            </a:ext>
          </a:extLst>
        </xdr:cNvPr>
        <xdr:cNvSpPr>
          <a:spLocks noChangeArrowheads="1"/>
        </xdr:cNvSpPr>
      </xdr:nvSpPr>
      <xdr:spPr bwMode="auto">
        <a:xfrm>
          <a:off x="10506075" y="4162425"/>
          <a:ext cx="7620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5.Fertilizers </a:t>
          </a:r>
        </a:p>
      </xdr:txBody>
    </xdr:sp>
    <xdr:clientData/>
  </xdr:twoCellAnchor>
  <xdr:twoCellAnchor>
    <xdr:from>
      <xdr:col>12</xdr:col>
      <xdr:colOff>304800</xdr:colOff>
      <xdr:row>28</xdr:row>
      <xdr:rowOff>9525</xdr:rowOff>
    </xdr:from>
    <xdr:to>
      <xdr:col>13</xdr:col>
      <xdr:colOff>247650</xdr:colOff>
      <xdr:row>28</xdr:row>
      <xdr:rowOff>9525</xdr:rowOff>
    </xdr:to>
    <xdr:sp macro="" textlink="">
      <xdr:nvSpPr>
        <xdr:cNvPr id="403909" name="Line 1302">
          <a:extLst>
            <a:ext uri="{FF2B5EF4-FFF2-40B4-BE49-F238E27FC236}">
              <a16:creationId xmlns:a16="http://schemas.microsoft.com/office/drawing/2014/main" id="{00000000-0008-0000-0200-0000C5290600}"/>
            </a:ext>
          </a:extLst>
        </xdr:cNvPr>
        <xdr:cNvSpPr>
          <a:spLocks noChangeShapeType="1"/>
        </xdr:cNvSpPr>
      </xdr:nvSpPr>
      <xdr:spPr bwMode="auto">
        <a:xfrm flipH="1">
          <a:off x="9544050" y="5534025"/>
          <a:ext cx="55245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219075</xdr:colOff>
      <xdr:row>34</xdr:row>
      <xdr:rowOff>38100</xdr:rowOff>
    </xdr:from>
    <xdr:to>
      <xdr:col>10</xdr:col>
      <xdr:colOff>333375</xdr:colOff>
      <xdr:row>35</xdr:row>
      <xdr:rowOff>0</xdr:rowOff>
    </xdr:to>
    <xdr:sp macro="" textlink="">
      <xdr:nvSpPr>
        <xdr:cNvPr id="56" name="Freeform 1311">
          <a:extLst>
            <a:ext uri="{FF2B5EF4-FFF2-40B4-BE49-F238E27FC236}">
              <a16:creationId xmlns:a16="http://schemas.microsoft.com/office/drawing/2014/main" id="{00000000-0008-0000-0200-000038000000}"/>
            </a:ext>
          </a:extLst>
        </xdr:cNvPr>
        <xdr:cNvSpPr>
          <a:spLocks/>
        </xdr:cNvSpPr>
      </xdr:nvSpPr>
      <xdr:spPr bwMode="auto">
        <a:xfrm rot="10800000">
          <a:off x="8639175" y="5334000"/>
          <a:ext cx="114300" cy="104775"/>
        </a:xfrm>
        <a:custGeom>
          <a:avLst/>
          <a:gdLst>
            <a:gd name="T0" fmla="*/ 0 w 179"/>
            <a:gd name="T1" fmla="*/ 0 h 180"/>
            <a:gd name="T2" fmla="*/ 2147483647 w 179"/>
            <a:gd name="T3" fmla="*/ 2147483647 h 180"/>
            <a:gd name="T4" fmla="*/ 0 w 179"/>
            <a:gd name="T5" fmla="*/ 2147483647 h 180"/>
            <a:gd name="T6" fmla="*/ 0 w 179"/>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9" h="180">
              <a:moveTo>
                <a:pt x="0" y="0"/>
              </a:moveTo>
              <a:lnTo>
                <a:pt x="179" y="90"/>
              </a:lnTo>
              <a:lnTo>
                <a:pt x="0" y="180"/>
              </a:lnTo>
              <a:lnTo>
                <a:pt x="0" y="0"/>
              </a:lnTo>
              <a:close/>
            </a:path>
          </a:pathLst>
        </a:custGeom>
        <a:solidFill>
          <a:srgbClr val="000000"/>
        </a:solidFill>
        <a:ln w="0">
          <a:solidFill>
            <a:srgbClr val="000000"/>
          </a:solidFill>
          <a:round/>
          <a:headEnd/>
          <a:tailEnd/>
        </a:ln>
      </xdr:spPr>
    </xdr:sp>
    <xdr:clientData/>
  </xdr:twoCellAnchor>
  <xdr:twoCellAnchor>
    <xdr:from>
      <xdr:col>12</xdr:col>
      <xdr:colOff>257175</xdr:colOff>
      <xdr:row>27</xdr:row>
      <xdr:rowOff>95250</xdr:rowOff>
    </xdr:from>
    <xdr:to>
      <xdr:col>12</xdr:col>
      <xdr:colOff>371475</xdr:colOff>
      <xdr:row>28</xdr:row>
      <xdr:rowOff>57150</xdr:rowOff>
    </xdr:to>
    <xdr:sp macro="" textlink="">
      <xdr:nvSpPr>
        <xdr:cNvPr id="58" name="Freeform 1311">
          <a:extLst>
            <a:ext uri="{FF2B5EF4-FFF2-40B4-BE49-F238E27FC236}">
              <a16:creationId xmlns:a16="http://schemas.microsoft.com/office/drawing/2014/main" id="{00000000-0008-0000-0200-00003A000000}"/>
            </a:ext>
          </a:extLst>
        </xdr:cNvPr>
        <xdr:cNvSpPr>
          <a:spLocks/>
        </xdr:cNvSpPr>
      </xdr:nvSpPr>
      <xdr:spPr bwMode="auto">
        <a:xfrm rot="10800000">
          <a:off x="9896475" y="4333875"/>
          <a:ext cx="114300" cy="104775"/>
        </a:xfrm>
        <a:custGeom>
          <a:avLst/>
          <a:gdLst>
            <a:gd name="T0" fmla="*/ 0 w 179"/>
            <a:gd name="T1" fmla="*/ 0 h 180"/>
            <a:gd name="T2" fmla="*/ 2147483647 w 179"/>
            <a:gd name="T3" fmla="*/ 2147483647 h 180"/>
            <a:gd name="T4" fmla="*/ 0 w 179"/>
            <a:gd name="T5" fmla="*/ 2147483647 h 180"/>
            <a:gd name="T6" fmla="*/ 0 w 179"/>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9" h="180">
              <a:moveTo>
                <a:pt x="0" y="0"/>
              </a:moveTo>
              <a:lnTo>
                <a:pt x="179" y="90"/>
              </a:lnTo>
              <a:lnTo>
                <a:pt x="0" y="180"/>
              </a:lnTo>
              <a:lnTo>
                <a:pt x="0" y="0"/>
              </a:lnTo>
              <a:close/>
            </a:path>
          </a:pathLst>
        </a:custGeom>
        <a:solidFill>
          <a:srgbClr val="000000"/>
        </a:solidFill>
        <a:ln w="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409575</xdr:colOff>
      <xdr:row>0</xdr:row>
      <xdr:rowOff>142875</xdr:rowOff>
    </xdr:from>
    <xdr:to>
      <xdr:col>16</xdr:col>
      <xdr:colOff>304800</xdr:colOff>
      <xdr:row>11</xdr:row>
      <xdr:rowOff>133350</xdr:rowOff>
    </xdr:to>
    <xdr:sp macro="" textlink="">
      <xdr:nvSpPr>
        <xdr:cNvPr id="7173" name="Object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409575</xdr:colOff>
      <xdr:row>0</xdr:row>
      <xdr:rowOff>142875</xdr:rowOff>
    </xdr:from>
    <xdr:to>
      <xdr:col>16</xdr:col>
      <xdr:colOff>304800</xdr:colOff>
      <xdr:row>11</xdr:row>
      <xdr:rowOff>133350</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550" y="142875"/>
          <a:ext cx="3505200"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xdr:colOff>
      <xdr:row>2</xdr:row>
      <xdr:rowOff>133350</xdr:rowOff>
    </xdr:from>
    <xdr:to>
      <xdr:col>11</xdr:col>
      <xdr:colOff>219075</xdr:colOff>
      <xdr:row>17</xdr:row>
      <xdr:rowOff>9525</xdr:rowOff>
    </xdr:to>
    <xdr:sp macro="" textlink="">
      <xdr:nvSpPr>
        <xdr:cNvPr id="8196" name="Object 4" hidden="1">
          <a:extLst>
            <a:ext uri="{63B3BB69-23CF-44E3-9099-C40C66FF867C}">
              <a14:compatExt xmlns:a14="http://schemas.microsoft.com/office/drawing/2010/main"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xdr:row>
      <xdr:rowOff>133350</xdr:rowOff>
    </xdr:from>
    <xdr:to>
      <xdr:col>11</xdr:col>
      <xdr:colOff>219075</xdr:colOff>
      <xdr:row>17</xdr:row>
      <xdr:rowOff>9525</xdr:rowOff>
    </xdr:to>
    <xdr:pic>
      <xdr:nvPicPr>
        <xdr:cNvPr id="2" name="Picture 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466725"/>
          <a:ext cx="3114675"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14</xdr:col>
      <xdr:colOff>571500</xdr:colOff>
      <xdr:row>30</xdr:row>
      <xdr:rowOff>85725</xdr:rowOff>
    </xdr:to>
    <xdr:pic>
      <xdr:nvPicPr>
        <xdr:cNvPr id="16767" name="Picture 49">
          <a:extLst>
            <a:ext uri="{FF2B5EF4-FFF2-40B4-BE49-F238E27FC236}">
              <a16:creationId xmlns:a16="http://schemas.microsoft.com/office/drawing/2014/main" id="{00000000-0008-0000-0500-00007F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0" y="323850"/>
          <a:ext cx="5781675" cy="478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8</xdr:col>
      <xdr:colOff>523875</xdr:colOff>
      <xdr:row>23</xdr:row>
      <xdr:rowOff>0</xdr:rowOff>
    </xdr:to>
    <xdr:pic>
      <xdr:nvPicPr>
        <xdr:cNvPr id="372806" name="Picture 2">
          <a:extLst>
            <a:ext uri="{FF2B5EF4-FFF2-40B4-BE49-F238E27FC236}">
              <a16:creationId xmlns:a16="http://schemas.microsoft.com/office/drawing/2014/main" id="{00000000-0008-0000-0C00-000046B00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1619250"/>
          <a:ext cx="4581525"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bengt.steen@chalmers.se"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workbookViewId="0">
      <selection activeCell="M7" sqref="M7"/>
    </sheetView>
  </sheetViews>
  <sheetFormatPr baseColWidth="10" defaultColWidth="8.83203125" defaultRowHeight="13"/>
  <sheetData>
    <row r="1" spans="1:13" ht="23">
      <c r="B1" s="182" t="s">
        <v>1863</v>
      </c>
      <c r="M1" t="s">
        <v>1515</v>
      </c>
    </row>
    <row r="2" spans="1:13">
      <c r="B2" s="183" t="s">
        <v>1858</v>
      </c>
    </row>
    <row r="3" spans="1:13" ht="23">
      <c r="B3" s="182"/>
    </row>
    <row r="4" spans="1:13" ht="18">
      <c r="B4" s="184" t="s">
        <v>1865</v>
      </c>
    </row>
    <row r="5" spans="1:13">
      <c r="B5" s="185" t="s">
        <v>1859</v>
      </c>
    </row>
    <row r="6" spans="1:13">
      <c r="B6" s="186" t="s">
        <v>1860</v>
      </c>
    </row>
    <row r="7" spans="1:13">
      <c r="B7" s="186"/>
    </row>
    <row r="8" spans="1:13" ht="14">
      <c r="B8" s="187" t="s">
        <v>497</v>
      </c>
    </row>
    <row r="10" spans="1:13">
      <c r="B10" s="45" t="s">
        <v>1520</v>
      </c>
      <c r="L10" s="45"/>
    </row>
    <row r="12" spans="1:13">
      <c r="B12" s="45" t="s">
        <v>1521</v>
      </c>
    </row>
    <row r="14" spans="1:13">
      <c r="A14" s="45"/>
      <c r="B14" s="45" t="s">
        <v>1861</v>
      </c>
    </row>
    <row r="16" spans="1:13">
      <c r="A16" s="45"/>
      <c r="B16" s="45" t="s">
        <v>1522</v>
      </c>
    </row>
    <row r="18" spans="1:10">
      <c r="B18" s="45" t="s">
        <v>1523</v>
      </c>
    </row>
    <row r="19" spans="1:10">
      <c r="A19" s="45"/>
    </row>
    <row r="20" spans="1:10">
      <c r="B20" s="45" t="s">
        <v>1524</v>
      </c>
    </row>
    <row r="22" spans="1:10">
      <c r="C22" s="8"/>
      <c r="D22" s="8"/>
      <c r="E22" s="8"/>
      <c r="F22" s="8"/>
      <c r="G22" s="8"/>
      <c r="H22" s="8"/>
      <c r="I22" s="8"/>
    </row>
    <row r="23" spans="1:10">
      <c r="B23" s="69" t="s">
        <v>1532</v>
      </c>
      <c r="C23" s="69"/>
      <c r="D23" s="69"/>
      <c r="E23" s="69"/>
      <c r="F23" s="69"/>
      <c r="G23" s="69"/>
      <c r="H23" s="69"/>
      <c r="I23" s="69"/>
      <c r="J23" s="69"/>
    </row>
  </sheetData>
  <hyperlinks>
    <hyperlink ref="B6"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87"/>
  <sheetViews>
    <sheetView workbookViewId="0">
      <pane xSplit="3" ySplit="1" topLeftCell="D2" activePane="bottomRight" state="frozen"/>
      <selection activeCell="L190" sqref="L190"/>
      <selection pane="topRight" activeCell="L190" sqref="L190"/>
      <selection pane="bottomLeft" activeCell="L190" sqref="L190"/>
      <selection pane="bottomRight"/>
    </sheetView>
  </sheetViews>
  <sheetFormatPr baseColWidth="10" defaultColWidth="8.83203125" defaultRowHeight="13"/>
  <cols>
    <col min="1" max="1" width="23.5" customWidth="1"/>
    <col min="2" max="3" width="4.6640625" customWidth="1"/>
    <col min="5" max="5" width="10.5" bestFit="1" customWidth="1"/>
    <col min="7" max="7" width="10.5" bestFit="1" customWidth="1"/>
    <col min="8" max="8" width="9.5" customWidth="1"/>
    <col min="11" max="11" width="10" customWidth="1"/>
    <col min="17" max="22" width="9.83203125" customWidth="1"/>
    <col min="23" max="23" width="10.6640625" customWidth="1"/>
    <col min="24" max="24" width="10.5" bestFit="1" customWidth="1"/>
    <col min="25" max="25" width="8.83203125" style="140" customWidth="1"/>
    <col min="27" max="27" width="13.33203125" style="88" customWidth="1"/>
    <col min="29" max="29" width="11.5" bestFit="1" customWidth="1"/>
  </cols>
  <sheetData>
    <row r="1" spans="1:30" ht="56">
      <c r="A1" t="s">
        <v>177</v>
      </c>
      <c r="B1" s="45"/>
      <c r="C1" s="45"/>
      <c r="D1" t="s">
        <v>264</v>
      </c>
      <c r="E1" t="s">
        <v>763</v>
      </c>
      <c r="F1" s="45" t="s">
        <v>265</v>
      </c>
      <c r="G1" t="s">
        <v>763</v>
      </c>
      <c r="H1" s="6" t="s">
        <v>1009</v>
      </c>
      <c r="I1" s="6" t="s">
        <v>1010</v>
      </c>
      <c r="J1" s="46" t="s">
        <v>1498</v>
      </c>
      <c r="K1" s="6" t="s">
        <v>995</v>
      </c>
      <c r="L1" s="6" t="s">
        <v>996</v>
      </c>
      <c r="M1" s="6" t="s">
        <v>997</v>
      </c>
      <c r="N1" s="6" t="s">
        <v>998</v>
      </c>
      <c r="O1" s="6" t="s">
        <v>999</v>
      </c>
      <c r="P1" s="6" t="s">
        <v>1000</v>
      </c>
      <c r="Q1" s="6" t="s">
        <v>1001</v>
      </c>
      <c r="R1" s="6" t="s">
        <v>1002</v>
      </c>
      <c r="S1" s="6" t="s">
        <v>1003</v>
      </c>
      <c r="T1" s="6" t="s">
        <v>1004</v>
      </c>
      <c r="U1" s="6" t="s">
        <v>1005</v>
      </c>
      <c r="V1" s="6" t="s">
        <v>1006</v>
      </c>
      <c r="W1" s="6" t="s">
        <v>1007</v>
      </c>
      <c r="X1" s="6" t="s">
        <v>1008</v>
      </c>
      <c r="Y1" s="198" t="s">
        <v>1857</v>
      </c>
      <c r="AA1" s="143"/>
    </row>
    <row r="2" spans="1:30">
      <c r="Y2" s="197"/>
    </row>
    <row r="3" spans="1:30">
      <c r="A3" s="132" t="s">
        <v>266</v>
      </c>
      <c r="B3" s="2"/>
      <c r="C3" s="2"/>
      <c r="Y3" s="197"/>
      <c r="AC3" s="5"/>
    </row>
    <row r="4" spans="1:30">
      <c r="A4" s="45" t="s">
        <v>263</v>
      </c>
      <c r="D4">
        <v>5332</v>
      </c>
      <c r="E4">
        <v>1.3</v>
      </c>
      <c r="F4">
        <v>1</v>
      </c>
      <c r="H4" s="1">
        <f t="shared" ref="H4:H18" si="0">F4*0.000179</f>
        <v>1.7899999999999999E-4</v>
      </c>
      <c r="I4" s="43">
        <f t="shared" ref="I4:I67" si="1">charco2yoll*D4</f>
        <v>3.4598937086023161E-3</v>
      </c>
      <c r="J4" s="1">
        <f>F4*0.00000133</f>
        <v>1.33E-6</v>
      </c>
      <c r="K4" s="1">
        <f>F4*0.000266</f>
        <v>2.6600000000000001E-4</v>
      </c>
      <c r="L4" s="43">
        <f t="shared" ref="L4:L18" si="2">CO2_malnutrition_charfact*D4</f>
        <v>1.2753979305019304E-2</v>
      </c>
      <c r="M4" s="43">
        <f t="shared" ref="M4:M18" si="3">CO2_workingcapacity_charfact*D4</f>
        <v>6.2175649111969105E-3</v>
      </c>
      <c r="N4" s="43">
        <f t="shared" ref="N4:N18" si="4">CO2_diarrhea_charfact*D4</f>
        <v>8.5026528700128689E-5</v>
      </c>
      <c r="O4" s="43">
        <f t="shared" ref="O4:O18" si="5">CO2_crop_charfact</f>
        <v>1.0903898856840032E-2</v>
      </c>
      <c r="P4" s="43">
        <f t="shared" ref="P4:P18" si="6">CO2_fruitandveg_charfact*D4</f>
        <v>6.9631100249829645</v>
      </c>
      <c r="Q4" s="43">
        <v>-4.6399999999999997</v>
      </c>
      <c r="R4" s="43">
        <f t="shared" ref="R4:R18" si="7">CO2_meatandfish_charfact*D4</f>
        <v>2.743043343175108</v>
      </c>
      <c r="S4" s="43">
        <f t="shared" ref="S4:S18" si="8">CO2_drinkingwater_charfact*D4</f>
        <v>334.79195675675675</v>
      </c>
      <c r="T4" s="43">
        <f t="shared" ref="T4:T18" si="9">CO2_irrigationwater_charfact*D4</f>
        <v>669.58391351351349</v>
      </c>
      <c r="U4" s="43">
        <f t="shared" ref="U4:U18" si="10">CO2_energyaccess_charfact*D4</f>
        <v>1.6908684684684681E-3</v>
      </c>
      <c r="V4" s="43">
        <f t="shared" ref="V4:V18" si="11">CO2_housing_charfact*D4</f>
        <v>1.0628316087516087E-4</v>
      </c>
      <c r="W4" s="43">
        <f t="shared" ref="W4:W18" si="12">CO2_separations_charfact*D4</f>
        <v>1.2077631917631916E-3</v>
      </c>
      <c r="X4" s="43">
        <f t="shared" ref="X4:X18" si="13">CO2_NEX_charfact*D4</f>
        <v>1.2077631917631917E-12</v>
      </c>
      <c r="Y4" s="205">
        <f t="shared" ref="Y4:Y18" si="14">(H4+I4)*YOLLvalue+J4*skincancervalue+K4*Lowvisionvalue+L4*malnutrition+M4*working_capacity+N4*diarrhea+O4*cropvalue+P4*Fruitandveg_value+Q4*woodvalue+R4*fishandmeatvalue+S4*drinkingwatervalue+T4*irrigationwatervalue+U4*energy_access+V4*housingvalue+W4*migrationvalue+X4*speciesvalue</f>
        <v>716.88940202857145</v>
      </c>
      <c r="AC4" s="5"/>
    </row>
    <row r="5" spans="1:30">
      <c r="A5" s="45" t="s">
        <v>267</v>
      </c>
      <c r="D5">
        <v>11547</v>
      </c>
      <c r="E5">
        <v>1.3</v>
      </c>
      <c r="F5">
        <v>1</v>
      </c>
      <c r="H5" s="1">
        <f t="shared" si="0"/>
        <v>1.7899999999999999E-4</v>
      </c>
      <c r="I5" s="43">
        <f t="shared" si="1"/>
        <v>7.4927593123088792E-3</v>
      </c>
      <c r="J5" s="1">
        <f t="shared" ref="J5:J68" si="15">F5*0.00000133</f>
        <v>1.33E-6</v>
      </c>
      <c r="K5" s="1">
        <f t="shared" ref="K5:K68" si="16">F5*0.000266</f>
        <v>2.6600000000000001E-4</v>
      </c>
      <c r="L5" s="43">
        <f t="shared" si="2"/>
        <v>2.7620067335907331E-2</v>
      </c>
      <c r="M5" s="43">
        <f t="shared" si="3"/>
        <v>1.3464782826254825E-2</v>
      </c>
      <c r="N5" s="43">
        <f t="shared" si="4"/>
        <v>1.8413378223938222E-4</v>
      </c>
      <c r="O5" s="43">
        <f t="shared" si="5"/>
        <v>1.0903898856840032E-2</v>
      </c>
      <c r="P5" s="43">
        <f t="shared" si="6"/>
        <v>15.079338233022936</v>
      </c>
      <c r="Q5" s="43">
        <v>-3.64</v>
      </c>
      <c r="R5" s="43">
        <f t="shared" si="7"/>
        <v>5.9403453645241884</v>
      </c>
      <c r="S5" s="43">
        <f t="shared" si="8"/>
        <v>725.0267675675675</v>
      </c>
      <c r="T5" s="43">
        <f t="shared" si="9"/>
        <v>1450.053535135135</v>
      </c>
      <c r="U5" s="43">
        <f t="shared" si="10"/>
        <v>3.6617513513513508E-3</v>
      </c>
      <c r="V5" s="43">
        <f t="shared" si="11"/>
        <v>2.3016722779922778E-4</v>
      </c>
      <c r="W5" s="43">
        <f t="shared" si="12"/>
        <v>2.615536679536679E-3</v>
      </c>
      <c r="X5" s="43">
        <f t="shared" si="13"/>
        <v>2.6155366795366794E-12</v>
      </c>
      <c r="Y5" s="205">
        <f t="shared" si="14"/>
        <v>1539.680564600151</v>
      </c>
      <c r="AC5" s="5"/>
    </row>
    <row r="6" spans="1:30">
      <c r="A6" s="45" t="s">
        <v>268</v>
      </c>
      <c r="D6">
        <v>15451</v>
      </c>
      <c r="E6">
        <v>1.3</v>
      </c>
      <c r="F6">
        <v>1</v>
      </c>
      <c r="H6" s="1">
        <f t="shared" si="0"/>
        <v>1.7899999999999999E-4</v>
      </c>
      <c r="I6" s="43">
        <f t="shared" si="1"/>
        <v>1.002603482588417E-2</v>
      </c>
      <c r="J6" s="1">
        <f t="shared" si="15"/>
        <v>1.33E-6</v>
      </c>
      <c r="K6" s="1">
        <f t="shared" si="16"/>
        <v>2.6600000000000001E-4</v>
      </c>
      <c r="L6" s="43">
        <f t="shared" si="2"/>
        <v>3.6958314749034743E-2</v>
      </c>
      <c r="M6" s="43">
        <f t="shared" si="3"/>
        <v>1.8017178440154439E-2</v>
      </c>
      <c r="N6" s="43">
        <f t="shared" si="4"/>
        <v>2.4638876499356497E-4</v>
      </c>
      <c r="O6" s="43">
        <f t="shared" si="5"/>
        <v>1.0903898856840032E-2</v>
      </c>
      <c r="P6" s="43">
        <f t="shared" si="6"/>
        <v>20.177609339086981</v>
      </c>
      <c r="Q6" s="43">
        <v>-2.64</v>
      </c>
      <c r="R6" s="43">
        <f t="shared" si="7"/>
        <v>7.9487551941857832</v>
      </c>
      <c r="S6" s="43">
        <f t="shared" si="8"/>
        <v>970.15576216216209</v>
      </c>
      <c r="T6" s="43">
        <f t="shared" si="9"/>
        <v>1940.3115243243242</v>
      </c>
      <c r="U6" s="43">
        <f t="shared" si="10"/>
        <v>4.8997765765765762E-3</v>
      </c>
      <c r="V6" s="43">
        <f t="shared" si="11"/>
        <v>3.0798595624195621E-4</v>
      </c>
      <c r="W6" s="43">
        <f t="shared" si="12"/>
        <v>3.4998404118404113E-3</v>
      </c>
      <c r="X6" s="43">
        <f t="shared" si="13"/>
        <v>3.4998404118404115E-12</v>
      </c>
      <c r="Y6" s="205">
        <f t="shared" si="14"/>
        <v>2056.5380285871897</v>
      </c>
      <c r="AC6" s="5"/>
    </row>
    <row r="7" spans="1:30">
      <c r="A7" s="45" t="s">
        <v>922</v>
      </c>
      <c r="D7">
        <v>9500</v>
      </c>
      <c r="E7">
        <v>1.5</v>
      </c>
      <c r="F7">
        <v>1</v>
      </c>
      <c r="H7" s="1">
        <f t="shared" si="0"/>
        <v>1.7899999999999999E-4</v>
      </c>
      <c r="I7" s="43">
        <f t="shared" si="1"/>
        <v>6.1644767876447874E-3</v>
      </c>
      <c r="J7" s="1">
        <f t="shared" si="15"/>
        <v>1.33E-6</v>
      </c>
      <c r="K7" s="1">
        <f t="shared" si="16"/>
        <v>2.6600000000000001E-4</v>
      </c>
      <c r="L7" s="43">
        <f t="shared" si="2"/>
        <v>2.272370656370656E-2</v>
      </c>
      <c r="M7" s="43">
        <f t="shared" si="3"/>
        <v>1.1077806949806947E-2</v>
      </c>
      <c r="N7" s="43">
        <f t="shared" si="4"/>
        <v>1.5149137709137708E-4</v>
      </c>
      <c r="O7" s="43">
        <f t="shared" si="5"/>
        <v>1.0903898856840032E-2</v>
      </c>
      <c r="P7" s="43">
        <f t="shared" si="6"/>
        <v>12.406141267317736</v>
      </c>
      <c r="Q7" s="43">
        <v>-1.64</v>
      </c>
      <c r="R7" s="43">
        <f t="shared" si="7"/>
        <v>4.8872677719736544</v>
      </c>
      <c r="S7" s="43">
        <f t="shared" si="8"/>
        <v>596.49729729729734</v>
      </c>
      <c r="T7" s="43">
        <f t="shared" si="9"/>
        <v>1192.9945945945947</v>
      </c>
      <c r="U7" s="43">
        <f t="shared" si="10"/>
        <v>3.0126126126126121E-3</v>
      </c>
      <c r="V7" s="43">
        <f t="shared" si="11"/>
        <v>1.8936422136422136E-4</v>
      </c>
      <c r="W7" s="43">
        <f t="shared" si="12"/>
        <v>2.1518661518661517E-3</v>
      </c>
      <c r="X7" s="43">
        <f t="shared" si="13"/>
        <v>2.1518661518661518E-12</v>
      </c>
      <c r="Y7" s="205">
        <f t="shared" si="14"/>
        <v>1268.7755879655538</v>
      </c>
      <c r="AC7" s="5"/>
    </row>
    <row r="8" spans="1:30">
      <c r="A8" s="45" t="s">
        <v>923</v>
      </c>
      <c r="D8">
        <v>9500</v>
      </c>
      <c r="E8">
        <v>1.5</v>
      </c>
      <c r="F8">
        <v>1</v>
      </c>
      <c r="H8" s="1">
        <f t="shared" si="0"/>
        <v>1.7899999999999999E-4</v>
      </c>
      <c r="I8" s="43">
        <f t="shared" si="1"/>
        <v>6.1644767876447874E-3</v>
      </c>
      <c r="J8" s="1">
        <f t="shared" si="15"/>
        <v>1.33E-6</v>
      </c>
      <c r="K8" s="1">
        <f t="shared" si="16"/>
        <v>2.6600000000000001E-4</v>
      </c>
      <c r="L8" s="43">
        <f t="shared" si="2"/>
        <v>2.272370656370656E-2</v>
      </c>
      <c r="M8" s="43">
        <f t="shared" si="3"/>
        <v>1.1077806949806947E-2</v>
      </c>
      <c r="N8" s="43">
        <f t="shared" si="4"/>
        <v>1.5149137709137708E-4</v>
      </c>
      <c r="O8" s="43">
        <f t="shared" si="5"/>
        <v>1.0903898856840032E-2</v>
      </c>
      <c r="P8" s="43">
        <f t="shared" si="6"/>
        <v>12.406141267317736</v>
      </c>
      <c r="Q8" s="43">
        <v>-0.64</v>
      </c>
      <c r="R8" s="43">
        <f t="shared" si="7"/>
        <v>4.8872677719736544</v>
      </c>
      <c r="S8" s="43">
        <f t="shared" si="8"/>
        <v>596.49729729729734</v>
      </c>
      <c r="T8" s="43">
        <f t="shared" si="9"/>
        <v>1192.9945945945947</v>
      </c>
      <c r="U8" s="43">
        <f t="shared" si="10"/>
        <v>3.0126126126126121E-3</v>
      </c>
      <c r="V8" s="43">
        <f t="shared" si="11"/>
        <v>1.8936422136422136E-4</v>
      </c>
      <c r="W8" s="43">
        <f t="shared" si="12"/>
        <v>2.1518661518661517E-3</v>
      </c>
      <c r="X8" s="43">
        <f t="shared" si="13"/>
        <v>2.1518661518661518E-12</v>
      </c>
      <c r="Y8" s="205">
        <f t="shared" si="14"/>
        <v>1268.8155879655537</v>
      </c>
      <c r="AC8" s="45"/>
    </row>
    <row r="9" spans="1:30">
      <c r="A9" s="45" t="s">
        <v>269</v>
      </c>
      <c r="D9">
        <v>6586</v>
      </c>
      <c r="E9">
        <v>1.2</v>
      </c>
      <c r="F9">
        <v>1</v>
      </c>
      <c r="H9" s="1">
        <f t="shared" si="0"/>
        <v>1.7899999999999999E-4</v>
      </c>
      <c r="I9" s="43">
        <f t="shared" si="1"/>
        <v>4.2736046445714278E-3</v>
      </c>
      <c r="J9" s="1">
        <f t="shared" si="15"/>
        <v>1.33E-6</v>
      </c>
      <c r="K9" s="1">
        <f t="shared" si="16"/>
        <v>2.6600000000000001E-4</v>
      </c>
      <c r="L9" s="43">
        <f t="shared" si="2"/>
        <v>1.5753508571428571E-2</v>
      </c>
      <c r="M9" s="43">
        <f t="shared" si="3"/>
        <v>7.6798354285714269E-3</v>
      </c>
      <c r="N9" s="43">
        <f t="shared" si="4"/>
        <v>1.0502339047619047E-4</v>
      </c>
      <c r="O9" s="43">
        <f t="shared" si="5"/>
        <v>1.0903898856840032E-2</v>
      </c>
      <c r="P9" s="43">
        <f t="shared" si="6"/>
        <v>8.6007206722689062</v>
      </c>
      <c r="Q9" s="43">
        <v>0.36</v>
      </c>
      <c r="R9" s="43">
        <f t="shared" si="7"/>
        <v>3.3881626890756302</v>
      </c>
      <c r="S9" s="43">
        <f t="shared" si="8"/>
        <v>413.52959999999996</v>
      </c>
      <c r="T9" s="43">
        <f t="shared" si="9"/>
        <v>827.05919999999992</v>
      </c>
      <c r="U9" s="43">
        <f t="shared" si="10"/>
        <v>2.0885333333333332E-3</v>
      </c>
      <c r="V9" s="43">
        <f t="shared" si="11"/>
        <v>1.3127923809523809E-4</v>
      </c>
      <c r="W9" s="43">
        <f t="shared" si="12"/>
        <v>1.4918095238095235E-3</v>
      </c>
      <c r="X9" s="43">
        <f t="shared" si="13"/>
        <v>1.4918095238095237E-12</v>
      </c>
      <c r="Y9" s="205">
        <f t="shared" si="14"/>
        <v>883.09583129080181</v>
      </c>
    </row>
    <row r="10" spans="1:30">
      <c r="A10" s="45" t="s">
        <v>270</v>
      </c>
      <c r="D10">
        <v>9615</v>
      </c>
      <c r="E10">
        <v>1.2</v>
      </c>
      <c r="F10">
        <v>1</v>
      </c>
      <c r="H10" s="1">
        <f t="shared" si="0"/>
        <v>1.7899999999999999E-4</v>
      </c>
      <c r="I10" s="43">
        <f t="shared" si="1"/>
        <v>6.2390994013899609E-3</v>
      </c>
      <c r="J10" s="1">
        <f t="shared" si="15"/>
        <v>1.33E-6</v>
      </c>
      <c r="K10" s="1">
        <f t="shared" si="16"/>
        <v>2.6600000000000001E-4</v>
      </c>
      <c r="L10" s="43">
        <f t="shared" si="2"/>
        <v>2.2998783011583007E-2</v>
      </c>
      <c r="M10" s="43">
        <f t="shared" si="3"/>
        <v>1.1211906718146716E-2</v>
      </c>
      <c r="N10" s="43">
        <f t="shared" si="4"/>
        <v>1.5332522007722007E-4</v>
      </c>
      <c r="O10" s="43">
        <f t="shared" si="5"/>
        <v>1.0903898856840032E-2</v>
      </c>
      <c r="P10" s="43">
        <f t="shared" si="6"/>
        <v>12.556320872132634</v>
      </c>
      <c r="Q10" s="43">
        <v>1.36</v>
      </c>
      <c r="R10" s="43">
        <f t="shared" si="7"/>
        <v>4.9464294344764932</v>
      </c>
      <c r="S10" s="43">
        <f t="shared" si="8"/>
        <v>603.71805405405405</v>
      </c>
      <c r="T10" s="43">
        <f t="shared" si="9"/>
        <v>1207.4361081081081</v>
      </c>
      <c r="U10" s="43">
        <f t="shared" si="10"/>
        <v>3.0490810810810806E-3</v>
      </c>
      <c r="V10" s="43">
        <f t="shared" si="11"/>
        <v>1.9165652509652508E-4</v>
      </c>
      <c r="W10" s="43">
        <f t="shared" si="12"/>
        <v>2.1779150579150576E-3</v>
      </c>
      <c r="X10" s="43">
        <f t="shared" si="13"/>
        <v>2.1779150579150575E-12</v>
      </c>
      <c r="Y10" s="205">
        <f t="shared" si="14"/>
        <v>1284.119463057385</v>
      </c>
      <c r="AD10" s="1"/>
    </row>
    <row r="11" spans="1:30">
      <c r="A11" s="45" t="s">
        <v>271</v>
      </c>
      <c r="D11">
        <v>8516</v>
      </c>
      <c r="E11">
        <v>1.2</v>
      </c>
      <c r="F11">
        <v>0.44</v>
      </c>
      <c r="H11" s="1">
        <f t="shared" si="0"/>
        <v>7.8759999999999998E-5</v>
      </c>
      <c r="I11" s="43">
        <f t="shared" si="1"/>
        <v>5.5259667709034741E-3</v>
      </c>
      <c r="J11" s="1">
        <f t="shared" si="15"/>
        <v>5.8520000000000003E-7</v>
      </c>
      <c r="K11" s="1">
        <f t="shared" si="16"/>
        <v>1.1704E-4</v>
      </c>
      <c r="L11" s="43">
        <f t="shared" si="2"/>
        <v>2.0370008957528954E-2</v>
      </c>
      <c r="M11" s="43">
        <f t="shared" si="3"/>
        <v>9.9303793667953645E-3</v>
      </c>
      <c r="N11" s="43">
        <f t="shared" si="4"/>
        <v>1.3580005971685971E-4</v>
      </c>
      <c r="O11" s="43">
        <f t="shared" si="5"/>
        <v>1.0903898856840032E-2</v>
      </c>
      <c r="P11" s="43">
        <f t="shared" si="6"/>
        <v>11.121126213945036</v>
      </c>
      <c r="Q11" s="43">
        <v>2.36</v>
      </c>
      <c r="R11" s="43">
        <f t="shared" si="7"/>
        <v>4.3810497206450147</v>
      </c>
      <c r="S11" s="43">
        <f t="shared" si="8"/>
        <v>534.71273513513506</v>
      </c>
      <c r="T11" s="43">
        <f t="shared" si="9"/>
        <v>1069.4254702702701</v>
      </c>
      <c r="U11" s="43">
        <f t="shared" si="10"/>
        <v>2.7005693693693692E-3</v>
      </c>
      <c r="V11" s="43">
        <f t="shared" si="11"/>
        <v>1.6975007464607465E-4</v>
      </c>
      <c r="W11" s="43">
        <f t="shared" si="12"/>
        <v>1.9289781209781208E-3</v>
      </c>
      <c r="X11" s="43">
        <f t="shared" si="13"/>
        <v>1.9289781209781209E-12</v>
      </c>
      <c r="Y11" s="205">
        <f t="shared" si="14"/>
        <v>1132.3921477884926</v>
      </c>
    </row>
    <row r="12" spans="1:30">
      <c r="A12" s="45" t="s">
        <v>924</v>
      </c>
      <c r="D12">
        <v>9500</v>
      </c>
      <c r="E12">
        <v>1.5</v>
      </c>
      <c r="F12">
        <v>1</v>
      </c>
      <c r="H12" s="1">
        <f t="shared" si="0"/>
        <v>1.7899999999999999E-4</v>
      </c>
      <c r="I12" s="43">
        <f t="shared" si="1"/>
        <v>6.1644767876447874E-3</v>
      </c>
      <c r="J12" s="1">
        <f t="shared" si="15"/>
        <v>1.33E-6</v>
      </c>
      <c r="K12" s="1">
        <f t="shared" si="16"/>
        <v>2.6600000000000001E-4</v>
      </c>
      <c r="L12" s="43">
        <f t="shared" si="2"/>
        <v>2.272370656370656E-2</v>
      </c>
      <c r="M12" s="43">
        <f t="shared" si="3"/>
        <v>1.1077806949806947E-2</v>
      </c>
      <c r="N12" s="43">
        <f t="shared" si="4"/>
        <v>1.5149137709137708E-4</v>
      </c>
      <c r="O12" s="43">
        <f t="shared" si="5"/>
        <v>1.0903898856840032E-2</v>
      </c>
      <c r="P12" s="43">
        <f t="shared" si="6"/>
        <v>12.406141267317736</v>
      </c>
      <c r="Q12" s="43">
        <v>3.36</v>
      </c>
      <c r="R12" s="43">
        <f t="shared" si="7"/>
        <v>4.8872677719736544</v>
      </c>
      <c r="S12" s="43">
        <f t="shared" si="8"/>
        <v>596.49729729729734</v>
      </c>
      <c r="T12" s="43">
        <f t="shared" si="9"/>
        <v>1192.9945945945947</v>
      </c>
      <c r="U12" s="43">
        <f t="shared" si="10"/>
        <v>3.0126126126126121E-3</v>
      </c>
      <c r="V12" s="43">
        <f t="shared" si="11"/>
        <v>1.8936422136422136E-4</v>
      </c>
      <c r="W12" s="43">
        <f t="shared" si="12"/>
        <v>2.1518661518661517E-3</v>
      </c>
      <c r="X12" s="43">
        <f t="shared" si="13"/>
        <v>2.1518661518661518E-12</v>
      </c>
      <c r="Y12" s="205">
        <f t="shared" si="14"/>
        <v>1268.9755879655536</v>
      </c>
    </row>
    <row r="13" spans="1:30">
      <c r="A13" s="45" t="s">
        <v>925</v>
      </c>
      <c r="D13">
        <v>9500</v>
      </c>
      <c r="E13">
        <v>1.5</v>
      </c>
      <c r="F13">
        <v>1</v>
      </c>
      <c r="H13" s="1">
        <f t="shared" si="0"/>
        <v>1.7899999999999999E-4</v>
      </c>
      <c r="I13" s="43">
        <f t="shared" si="1"/>
        <v>6.1644767876447874E-3</v>
      </c>
      <c r="J13" s="1">
        <f t="shared" si="15"/>
        <v>1.33E-6</v>
      </c>
      <c r="K13" s="1">
        <f t="shared" si="16"/>
        <v>2.6600000000000001E-4</v>
      </c>
      <c r="L13" s="43">
        <f t="shared" si="2"/>
        <v>2.272370656370656E-2</v>
      </c>
      <c r="M13" s="43">
        <f t="shared" si="3"/>
        <v>1.1077806949806947E-2</v>
      </c>
      <c r="N13" s="43">
        <f t="shared" si="4"/>
        <v>1.5149137709137708E-4</v>
      </c>
      <c r="O13" s="43">
        <f t="shared" si="5"/>
        <v>1.0903898856840032E-2</v>
      </c>
      <c r="P13" s="43">
        <f t="shared" si="6"/>
        <v>12.406141267317736</v>
      </c>
      <c r="Q13" s="43">
        <v>4.3600000000000003</v>
      </c>
      <c r="R13" s="43">
        <f t="shared" si="7"/>
        <v>4.8872677719736544</v>
      </c>
      <c r="S13" s="43">
        <f t="shared" si="8"/>
        <v>596.49729729729734</v>
      </c>
      <c r="T13" s="43">
        <f t="shared" si="9"/>
        <v>1192.9945945945947</v>
      </c>
      <c r="U13" s="43">
        <f t="shared" si="10"/>
        <v>3.0126126126126121E-3</v>
      </c>
      <c r="V13" s="43">
        <f t="shared" si="11"/>
        <v>1.8936422136422136E-4</v>
      </c>
      <c r="W13" s="43">
        <f t="shared" si="12"/>
        <v>2.1518661518661517E-3</v>
      </c>
      <c r="X13" s="43">
        <f t="shared" si="13"/>
        <v>2.1518661518661518E-12</v>
      </c>
      <c r="Y13" s="205">
        <f t="shared" si="14"/>
        <v>1269.0155879655538</v>
      </c>
      <c r="AC13" s="5"/>
    </row>
    <row r="14" spans="1:30">
      <c r="A14" s="45" t="s">
        <v>926</v>
      </c>
      <c r="D14">
        <v>9500</v>
      </c>
      <c r="E14">
        <v>1.5</v>
      </c>
      <c r="F14">
        <v>1</v>
      </c>
      <c r="H14" s="1">
        <f t="shared" si="0"/>
        <v>1.7899999999999999E-4</v>
      </c>
      <c r="I14" s="43">
        <f t="shared" si="1"/>
        <v>6.1644767876447874E-3</v>
      </c>
      <c r="J14" s="1">
        <f t="shared" si="15"/>
        <v>1.33E-6</v>
      </c>
      <c r="K14" s="1">
        <f t="shared" si="16"/>
        <v>2.6600000000000001E-4</v>
      </c>
      <c r="L14" s="43">
        <f t="shared" si="2"/>
        <v>2.272370656370656E-2</v>
      </c>
      <c r="M14" s="43">
        <f t="shared" si="3"/>
        <v>1.1077806949806947E-2</v>
      </c>
      <c r="N14" s="43">
        <f t="shared" si="4"/>
        <v>1.5149137709137708E-4</v>
      </c>
      <c r="O14" s="43">
        <f t="shared" si="5"/>
        <v>1.0903898856840032E-2</v>
      </c>
      <c r="P14" s="43">
        <f t="shared" si="6"/>
        <v>12.406141267317736</v>
      </c>
      <c r="Q14" s="43">
        <v>5.36</v>
      </c>
      <c r="R14" s="43">
        <f t="shared" si="7"/>
        <v>4.8872677719736544</v>
      </c>
      <c r="S14" s="43">
        <f t="shared" si="8"/>
        <v>596.49729729729734</v>
      </c>
      <c r="T14" s="43">
        <f t="shared" si="9"/>
        <v>1192.9945945945947</v>
      </c>
      <c r="U14" s="43">
        <f t="shared" si="10"/>
        <v>3.0126126126126121E-3</v>
      </c>
      <c r="V14" s="43">
        <f t="shared" si="11"/>
        <v>1.8936422136422136E-4</v>
      </c>
      <c r="W14" s="43">
        <f t="shared" si="12"/>
        <v>2.1518661518661517E-3</v>
      </c>
      <c r="X14" s="43">
        <f t="shared" si="13"/>
        <v>2.1518661518661518E-12</v>
      </c>
      <c r="Y14" s="205">
        <f t="shared" si="14"/>
        <v>1269.0555879655537</v>
      </c>
    </row>
    <row r="15" spans="1:30">
      <c r="A15" s="45" t="s">
        <v>927</v>
      </c>
      <c r="D15">
        <v>9500</v>
      </c>
      <c r="E15">
        <v>1.5</v>
      </c>
      <c r="F15">
        <v>1</v>
      </c>
      <c r="H15" s="1">
        <f t="shared" si="0"/>
        <v>1.7899999999999999E-4</v>
      </c>
      <c r="I15" s="43">
        <f t="shared" si="1"/>
        <v>6.1644767876447874E-3</v>
      </c>
      <c r="J15" s="1">
        <f t="shared" si="15"/>
        <v>1.33E-6</v>
      </c>
      <c r="K15" s="1">
        <f t="shared" si="16"/>
        <v>2.6600000000000001E-4</v>
      </c>
      <c r="L15" s="43">
        <f t="shared" si="2"/>
        <v>2.272370656370656E-2</v>
      </c>
      <c r="M15" s="43">
        <f t="shared" si="3"/>
        <v>1.1077806949806947E-2</v>
      </c>
      <c r="N15" s="43">
        <f t="shared" si="4"/>
        <v>1.5149137709137708E-4</v>
      </c>
      <c r="O15" s="43">
        <f t="shared" si="5"/>
        <v>1.0903898856840032E-2</v>
      </c>
      <c r="P15" s="43">
        <f t="shared" si="6"/>
        <v>12.406141267317736</v>
      </c>
      <c r="Q15" s="43">
        <v>6.36</v>
      </c>
      <c r="R15" s="43">
        <f t="shared" si="7"/>
        <v>4.8872677719736544</v>
      </c>
      <c r="S15" s="43">
        <f t="shared" si="8"/>
        <v>596.49729729729734</v>
      </c>
      <c r="T15" s="43">
        <f t="shared" si="9"/>
        <v>1192.9945945945947</v>
      </c>
      <c r="U15" s="43">
        <f t="shared" si="10"/>
        <v>3.0126126126126121E-3</v>
      </c>
      <c r="V15" s="43">
        <f t="shared" si="11"/>
        <v>1.8936422136422136E-4</v>
      </c>
      <c r="W15" s="43">
        <f t="shared" si="12"/>
        <v>2.1518661518661517E-3</v>
      </c>
      <c r="X15" s="43">
        <f t="shared" si="13"/>
        <v>2.1518661518661518E-12</v>
      </c>
      <c r="Y15" s="205">
        <f t="shared" si="14"/>
        <v>1269.0955879655537</v>
      </c>
    </row>
    <row r="16" spans="1:30">
      <c r="A16" s="45" t="s">
        <v>928</v>
      </c>
      <c r="D16">
        <v>9500</v>
      </c>
      <c r="E16">
        <v>1.5</v>
      </c>
      <c r="F16">
        <v>1</v>
      </c>
      <c r="H16" s="1">
        <f t="shared" si="0"/>
        <v>1.7899999999999999E-4</v>
      </c>
      <c r="I16" s="43">
        <f t="shared" si="1"/>
        <v>6.1644767876447874E-3</v>
      </c>
      <c r="J16" s="1">
        <f t="shared" si="15"/>
        <v>1.33E-6</v>
      </c>
      <c r="K16" s="1">
        <f t="shared" si="16"/>
        <v>2.6600000000000001E-4</v>
      </c>
      <c r="L16" s="43">
        <f t="shared" si="2"/>
        <v>2.272370656370656E-2</v>
      </c>
      <c r="M16" s="43">
        <f t="shared" si="3"/>
        <v>1.1077806949806947E-2</v>
      </c>
      <c r="N16" s="43">
        <f t="shared" si="4"/>
        <v>1.5149137709137708E-4</v>
      </c>
      <c r="O16" s="43">
        <f t="shared" si="5"/>
        <v>1.0903898856840032E-2</v>
      </c>
      <c r="P16" s="43">
        <f t="shared" si="6"/>
        <v>12.406141267317736</v>
      </c>
      <c r="Q16" s="43">
        <v>7.36</v>
      </c>
      <c r="R16" s="43">
        <f t="shared" si="7"/>
        <v>4.8872677719736544</v>
      </c>
      <c r="S16" s="43">
        <f t="shared" si="8"/>
        <v>596.49729729729734</v>
      </c>
      <c r="T16" s="43">
        <f t="shared" si="9"/>
        <v>1192.9945945945947</v>
      </c>
      <c r="U16" s="43">
        <f t="shared" si="10"/>
        <v>3.0126126126126121E-3</v>
      </c>
      <c r="V16" s="43">
        <f t="shared" si="11"/>
        <v>1.8936422136422136E-4</v>
      </c>
      <c r="W16" s="43">
        <f t="shared" si="12"/>
        <v>2.1518661518661517E-3</v>
      </c>
      <c r="X16" s="43">
        <f t="shared" si="13"/>
        <v>2.1518661518661518E-12</v>
      </c>
      <c r="Y16" s="205">
        <f t="shared" si="14"/>
        <v>1269.1355879655537</v>
      </c>
    </row>
    <row r="17" spans="1:29">
      <c r="A17" s="45" t="s">
        <v>929</v>
      </c>
      <c r="D17">
        <v>9500</v>
      </c>
      <c r="E17">
        <v>1.5</v>
      </c>
      <c r="F17">
        <v>1</v>
      </c>
      <c r="H17" s="1">
        <f t="shared" si="0"/>
        <v>1.7899999999999999E-4</v>
      </c>
      <c r="I17" s="43">
        <f t="shared" si="1"/>
        <v>6.1644767876447874E-3</v>
      </c>
      <c r="J17" s="1">
        <f t="shared" si="15"/>
        <v>1.33E-6</v>
      </c>
      <c r="K17" s="1">
        <f t="shared" si="16"/>
        <v>2.6600000000000001E-4</v>
      </c>
      <c r="L17" s="43">
        <f t="shared" si="2"/>
        <v>2.272370656370656E-2</v>
      </c>
      <c r="M17" s="43">
        <f t="shared" si="3"/>
        <v>1.1077806949806947E-2</v>
      </c>
      <c r="N17" s="43">
        <f t="shared" si="4"/>
        <v>1.5149137709137708E-4</v>
      </c>
      <c r="O17" s="43">
        <f t="shared" si="5"/>
        <v>1.0903898856840032E-2</v>
      </c>
      <c r="P17" s="43">
        <f t="shared" si="6"/>
        <v>12.406141267317736</v>
      </c>
      <c r="Q17" s="43">
        <v>8.36</v>
      </c>
      <c r="R17" s="43">
        <f t="shared" si="7"/>
        <v>4.8872677719736544</v>
      </c>
      <c r="S17" s="43">
        <f t="shared" si="8"/>
        <v>596.49729729729734</v>
      </c>
      <c r="T17" s="43">
        <f t="shared" si="9"/>
        <v>1192.9945945945947</v>
      </c>
      <c r="U17" s="43">
        <f t="shared" si="10"/>
        <v>3.0126126126126121E-3</v>
      </c>
      <c r="V17" s="43">
        <f t="shared" si="11"/>
        <v>1.8936422136422136E-4</v>
      </c>
      <c r="W17" s="43">
        <f t="shared" si="12"/>
        <v>2.1518661518661517E-3</v>
      </c>
      <c r="X17" s="43">
        <f t="shared" si="13"/>
        <v>2.1518661518661518E-12</v>
      </c>
      <c r="Y17" s="205">
        <f t="shared" si="14"/>
        <v>1269.1755879655536</v>
      </c>
    </row>
    <row r="18" spans="1:29">
      <c r="A18" s="45" t="s">
        <v>930</v>
      </c>
      <c r="D18">
        <v>9500</v>
      </c>
      <c r="E18">
        <v>1.5</v>
      </c>
      <c r="F18">
        <v>1</v>
      </c>
      <c r="H18" s="1">
        <f t="shared" si="0"/>
        <v>1.7899999999999999E-4</v>
      </c>
      <c r="I18" s="43">
        <f t="shared" si="1"/>
        <v>6.1644767876447874E-3</v>
      </c>
      <c r="J18" s="1">
        <f t="shared" si="15"/>
        <v>1.33E-6</v>
      </c>
      <c r="K18" s="1">
        <f t="shared" si="16"/>
        <v>2.6600000000000001E-4</v>
      </c>
      <c r="L18" s="43">
        <f t="shared" si="2"/>
        <v>2.272370656370656E-2</v>
      </c>
      <c r="M18" s="43">
        <f t="shared" si="3"/>
        <v>1.1077806949806947E-2</v>
      </c>
      <c r="N18" s="43">
        <f t="shared" si="4"/>
        <v>1.5149137709137708E-4</v>
      </c>
      <c r="O18" s="43">
        <f t="shared" si="5"/>
        <v>1.0903898856840032E-2</v>
      </c>
      <c r="P18" s="43">
        <f t="shared" si="6"/>
        <v>12.406141267317736</v>
      </c>
      <c r="Q18" s="43">
        <v>9.36</v>
      </c>
      <c r="R18" s="43">
        <f t="shared" si="7"/>
        <v>4.8872677719736544</v>
      </c>
      <c r="S18" s="43">
        <f t="shared" si="8"/>
        <v>596.49729729729734</v>
      </c>
      <c r="T18" s="43">
        <f t="shared" si="9"/>
        <v>1192.9945945945947</v>
      </c>
      <c r="U18" s="43">
        <f t="shared" si="10"/>
        <v>3.0126126126126121E-3</v>
      </c>
      <c r="V18" s="43">
        <f t="shared" si="11"/>
        <v>1.8936422136422136E-4</v>
      </c>
      <c r="W18" s="43">
        <f t="shared" si="12"/>
        <v>2.1518661518661517E-3</v>
      </c>
      <c r="X18" s="43">
        <f t="shared" si="13"/>
        <v>2.1518661518661518E-12</v>
      </c>
      <c r="Y18" s="205">
        <f t="shared" si="14"/>
        <v>1269.2155879655536</v>
      </c>
    </row>
    <row r="19" spans="1:29">
      <c r="A19" s="132" t="s">
        <v>272</v>
      </c>
      <c r="H19" s="1"/>
      <c r="I19" s="1"/>
      <c r="J19" s="1"/>
      <c r="K19" s="1"/>
      <c r="L19" s="1"/>
      <c r="M19" s="1"/>
      <c r="N19" s="1"/>
      <c r="O19" s="1"/>
      <c r="P19" s="1"/>
      <c r="Q19" s="1"/>
      <c r="R19" s="1"/>
      <c r="S19" s="1"/>
      <c r="T19" s="1"/>
      <c r="U19" s="1"/>
      <c r="V19" s="1"/>
      <c r="W19" s="1"/>
      <c r="X19" s="1"/>
      <c r="Y19" s="197"/>
      <c r="AC19" s="1"/>
    </row>
    <row r="20" spans="1:29">
      <c r="A20" s="48" t="s">
        <v>750</v>
      </c>
      <c r="D20">
        <v>179</v>
      </c>
      <c r="E20">
        <v>1.2</v>
      </c>
      <c r="F20">
        <v>0.04</v>
      </c>
      <c r="H20" s="1">
        <f t="shared" ref="H20:H67" si="17">F20*0.000179</f>
        <v>7.1599999999999992E-6</v>
      </c>
      <c r="I20" s="43">
        <f t="shared" si="1"/>
        <v>1.1615172052509652E-4</v>
      </c>
      <c r="J20" s="1">
        <f t="shared" si="15"/>
        <v>5.32E-8</v>
      </c>
      <c r="K20" s="1">
        <f t="shared" si="16"/>
        <v>1.0640000000000001E-5</v>
      </c>
      <c r="L20" s="43">
        <f t="shared" ref="L20:L51" si="18">CO2_malnutrition_charfact*D20</f>
        <v>4.2816247104247098E-4</v>
      </c>
      <c r="M20" s="43">
        <f t="shared" ref="M20:M51" si="19">CO2_workingcapacity_charfact*D20</f>
        <v>2.0872920463320459E-4</v>
      </c>
      <c r="N20" s="43">
        <f t="shared" ref="N20:N51" si="20">CO2_diarrhea_charfact*D20</f>
        <v>2.8544164736164736E-6</v>
      </c>
      <c r="O20" s="43">
        <f t="shared" ref="O20:O51" si="21">CO2_crop_charfact</f>
        <v>1.0903898856840032E-2</v>
      </c>
      <c r="P20" s="43">
        <f t="shared" ref="P20:P51" si="22">CO2_fruitandveg_charfact*D20</f>
        <v>0.23375781966840786</v>
      </c>
      <c r="Q20" s="43">
        <v>9.36</v>
      </c>
      <c r="R20" s="43">
        <f t="shared" ref="R20:R51" si="23">CO2_meatandfish_charfact*D20</f>
        <v>9.2086413808766754E-2</v>
      </c>
      <c r="S20" s="43">
        <f t="shared" ref="S20:S51" si="24">CO2_drinkingwater_charfact*D20</f>
        <v>11.239264864864865</v>
      </c>
      <c r="T20" s="43">
        <f t="shared" ref="T20:T51" si="25">CO2_irrigationwater_charfact*D20</f>
        <v>22.478529729729729</v>
      </c>
      <c r="U20" s="43">
        <f t="shared" ref="U20:U51" si="26">CO2_energyaccess_charfact*D20</f>
        <v>5.6763963963963954E-5</v>
      </c>
      <c r="V20" s="43">
        <f t="shared" ref="V20:V51" si="27">CO2_housing_charfact*D20</f>
        <v>3.5680205920205919E-6</v>
      </c>
      <c r="W20" s="43">
        <f t="shared" ref="W20:W51" si="28">CO2_separations_charfact*D20</f>
        <v>4.0545688545688543E-5</v>
      </c>
      <c r="X20" s="43">
        <f t="shared" ref="X20:X51" si="29">CO2_NEX_charfact*D20</f>
        <v>4.0545688545688544E-14</v>
      </c>
      <c r="Y20" s="205">
        <f t="shared" ref="Y20:Y51" si="30">(H20+I20)*YOLLvalue+J20*skincancervalue+K20*Lowvisionvalue+L20*malnutrition+M20*working_capacity+N20*diarrhea+O20*cropvalue+P20*Fruitandveg_value+Q20*woodvalue+R20*fishandmeatvalue+S20*drinkingwatervalue+T20*irrigationwatervalue+U20*energy_access+V20*housingvalue+W20*migrationvalue+X20*speciesvalue</f>
        <v>24.521664391990303</v>
      </c>
      <c r="AC20" s="1"/>
    </row>
    <row r="21" spans="1:29">
      <c r="A21" s="48" t="s">
        <v>273</v>
      </c>
      <c r="D21">
        <v>2106</v>
      </c>
      <c r="E21">
        <v>1.2</v>
      </c>
      <c r="F21">
        <v>5.5E-2</v>
      </c>
      <c r="H21" s="1">
        <f t="shared" si="17"/>
        <v>9.8449999999999998E-6</v>
      </c>
      <c r="I21" s="43">
        <f t="shared" si="1"/>
        <v>1.3665671699768338E-3</v>
      </c>
      <c r="J21" s="1">
        <f t="shared" si="15"/>
        <v>7.3150000000000003E-8</v>
      </c>
      <c r="K21" s="1">
        <f t="shared" si="16"/>
        <v>1.4630000000000001E-5</v>
      </c>
      <c r="L21" s="43">
        <f t="shared" si="18"/>
        <v>5.0374869498069491E-3</v>
      </c>
      <c r="M21" s="43">
        <f t="shared" si="19"/>
        <v>2.4557748880308875E-3</v>
      </c>
      <c r="N21" s="43">
        <f t="shared" si="20"/>
        <v>3.3583246332046327E-5</v>
      </c>
      <c r="O21" s="43">
        <f t="shared" si="21"/>
        <v>1.0903898856840032E-2</v>
      </c>
      <c r="P21" s="43">
        <f t="shared" si="22"/>
        <v>2.7502456325232791</v>
      </c>
      <c r="Q21" s="43">
        <v>10.36</v>
      </c>
      <c r="R21" s="43">
        <f t="shared" si="23"/>
        <v>1.0834300976606859</v>
      </c>
      <c r="S21" s="43">
        <f t="shared" si="24"/>
        <v>132.23403243243243</v>
      </c>
      <c r="T21" s="43">
        <f t="shared" si="25"/>
        <v>264.46806486486486</v>
      </c>
      <c r="U21" s="43">
        <f t="shared" si="26"/>
        <v>6.6784864864864854E-4</v>
      </c>
      <c r="V21" s="43">
        <f t="shared" si="27"/>
        <v>4.1979057915057914E-5</v>
      </c>
      <c r="W21" s="43">
        <f t="shared" si="28"/>
        <v>4.7703474903474898E-4</v>
      </c>
      <c r="X21" s="43">
        <f t="shared" si="29"/>
        <v>4.7703474903474894E-13</v>
      </c>
      <c r="Y21" s="205">
        <f t="shared" si="30"/>
        <v>279.82907319706823</v>
      </c>
    </row>
    <row r="22" spans="1:29">
      <c r="A22" s="45" t="s">
        <v>967</v>
      </c>
      <c r="D22">
        <v>700</v>
      </c>
      <c r="F22" s="45">
        <v>0.02</v>
      </c>
      <c r="H22" s="1">
        <f t="shared" si="17"/>
        <v>3.5799999999999996E-6</v>
      </c>
      <c r="I22" s="43">
        <f t="shared" si="1"/>
        <v>4.5422460540540537E-4</v>
      </c>
      <c r="J22" s="1">
        <f t="shared" si="15"/>
        <v>2.66E-8</v>
      </c>
      <c r="K22" s="1">
        <f t="shared" si="16"/>
        <v>5.3200000000000007E-6</v>
      </c>
      <c r="L22" s="43">
        <f t="shared" si="18"/>
        <v>1.6743783783783781E-3</v>
      </c>
      <c r="M22" s="43">
        <f t="shared" si="19"/>
        <v>8.1625945945945936E-4</v>
      </c>
      <c r="N22" s="43">
        <f t="shared" si="20"/>
        <v>1.1162522522522522E-5</v>
      </c>
      <c r="O22" s="43">
        <f t="shared" si="21"/>
        <v>1.0903898856840032E-2</v>
      </c>
      <c r="P22" s="43">
        <f t="shared" si="22"/>
        <v>0.91413672496025422</v>
      </c>
      <c r="Q22" s="43">
        <v>11.36</v>
      </c>
      <c r="R22" s="43">
        <f t="shared" si="23"/>
        <v>0.36011446740858505</v>
      </c>
      <c r="S22" s="43">
        <f t="shared" si="24"/>
        <v>43.952432432432431</v>
      </c>
      <c r="T22" s="43">
        <f t="shared" si="25"/>
        <v>87.904864864864862</v>
      </c>
      <c r="U22" s="43">
        <f t="shared" si="26"/>
        <v>2.2198198198198195E-4</v>
      </c>
      <c r="V22" s="43">
        <f t="shared" si="27"/>
        <v>1.3953153153153152E-5</v>
      </c>
      <c r="W22" s="43">
        <f t="shared" si="28"/>
        <v>1.5855855855855853E-4</v>
      </c>
      <c r="X22" s="43">
        <f t="shared" si="29"/>
        <v>1.5855855855855853E-13</v>
      </c>
      <c r="Y22" s="205">
        <f t="shared" si="30"/>
        <v>93.348151134113124</v>
      </c>
    </row>
    <row r="23" spans="1:29">
      <c r="A23" t="s">
        <v>968</v>
      </c>
      <c r="D23">
        <v>700</v>
      </c>
      <c r="F23" s="45">
        <v>2.5000000000000001E-2</v>
      </c>
      <c r="G23">
        <v>1.5</v>
      </c>
      <c r="H23" s="1">
        <f t="shared" si="17"/>
        <v>4.4749999999999995E-6</v>
      </c>
      <c r="I23" s="43">
        <f t="shared" si="1"/>
        <v>4.5422460540540537E-4</v>
      </c>
      <c r="J23" s="1">
        <f t="shared" si="15"/>
        <v>3.3250000000000003E-8</v>
      </c>
      <c r="K23" s="1">
        <f t="shared" si="16"/>
        <v>6.6500000000000007E-6</v>
      </c>
      <c r="L23" s="43">
        <f t="shared" si="18"/>
        <v>1.6743783783783781E-3</v>
      </c>
      <c r="M23" s="43">
        <f t="shared" si="19"/>
        <v>8.1625945945945936E-4</v>
      </c>
      <c r="N23" s="43">
        <f t="shared" si="20"/>
        <v>1.1162522522522522E-5</v>
      </c>
      <c r="O23" s="43">
        <f t="shared" si="21"/>
        <v>1.0903898856840032E-2</v>
      </c>
      <c r="P23" s="43">
        <f t="shared" si="22"/>
        <v>0.91413672496025422</v>
      </c>
      <c r="Q23" s="43">
        <v>12.36</v>
      </c>
      <c r="R23" s="43">
        <f t="shared" si="23"/>
        <v>0.36011446740858505</v>
      </c>
      <c r="S23" s="43">
        <f t="shared" si="24"/>
        <v>43.952432432432431</v>
      </c>
      <c r="T23" s="43">
        <f t="shared" si="25"/>
        <v>87.904864864864862</v>
      </c>
      <c r="U23" s="43">
        <f t="shared" si="26"/>
        <v>2.2198198198198195E-4</v>
      </c>
      <c r="V23" s="43">
        <f t="shared" si="27"/>
        <v>1.3953153153153152E-5</v>
      </c>
      <c r="W23" s="43">
        <f t="shared" si="28"/>
        <v>1.5855855855855853E-4</v>
      </c>
      <c r="X23" s="43">
        <f t="shared" si="29"/>
        <v>1.5855855855855853E-13</v>
      </c>
      <c r="Y23" s="205">
        <f t="shared" si="30"/>
        <v>93.444222759113103</v>
      </c>
    </row>
    <row r="24" spans="1:29">
      <c r="A24" t="s">
        <v>751</v>
      </c>
      <c r="D24">
        <v>72</v>
      </c>
      <c r="E24">
        <v>1.2</v>
      </c>
      <c r="F24">
        <v>0.05</v>
      </c>
      <c r="G24">
        <v>1.5</v>
      </c>
      <c r="H24" s="1">
        <f t="shared" si="17"/>
        <v>8.949999999999999E-6</v>
      </c>
      <c r="I24" s="43">
        <f t="shared" si="1"/>
        <v>4.6720245127413125E-5</v>
      </c>
      <c r="J24" s="1">
        <f t="shared" si="15"/>
        <v>6.6500000000000007E-8</v>
      </c>
      <c r="K24" s="1">
        <f t="shared" si="16"/>
        <v>1.3300000000000001E-5</v>
      </c>
      <c r="L24" s="43">
        <f t="shared" si="18"/>
        <v>1.7222177606177603E-4</v>
      </c>
      <c r="M24" s="43">
        <f t="shared" si="19"/>
        <v>8.3958115830115815E-5</v>
      </c>
      <c r="N24" s="43">
        <f t="shared" si="20"/>
        <v>1.1481451737451738E-6</v>
      </c>
      <c r="O24" s="43">
        <f t="shared" si="21"/>
        <v>1.0903898856840032E-2</v>
      </c>
      <c r="P24" s="43">
        <f t="shared" si="22"/>
        <v>9.402549171019757E-2</v>
      </c>
      <c r="Q24" s="43">
        <v>13.36</v>
      </c>
      <c r="R24" s="43">
        <f t="shared" si="23"/>
        <v>3.7040345219168748E-2</v>
      </c>
      <c r="S24" s="43">
        <f t="shared" si="24"/>
        <v>4.5208216216216215</v>
      </c>
      <c r="T24" s="43">
        <f t="shared" si="25"/>
        <v>9.041643243243243</v>
      </c>
      <c r="U24" s="43">
        <f t="shared" si="26"/>
        <v>2.283243243243243E-5</v>
      </c>
      <c r="V24" s="43">
        <f t="shared" si="27"/>
        <v>1.4351814671814671E-6</v>
      </c>
      <c r="W24" s="43">
        <f t="shared" si="28"/>
        <v>1.6308880308880306E-5</v>
      </c>
      <c r="X24" s="43">
        <f t="shared" si="29"/>
        <v>1.6308880308880307E-14</v>
      </c>
      <c r="Y24" s="205">
        <f t="shared" si="30"/>
        <v>10.62898473046029</v>
      </c>
    </row>
    <row r="25" spans="1:29">
      <c r="A25" s="45" t="s">
        <v>753</v>
      </c>
      <c r="D25">
        <v>312</v>
      </c>
      <c r="E25">
        <v>1.2</v>
      </c>
      <c r="F25">
        <v>0.05</v>
      </c>
      <c r="G25">
        <v>2</v>
      </c>
      <c r="H25" s="1">
        <f t="shared" si="17"/>
        <v>8.949999999999999E-6</v>
      </c>
      <c r="I25" s="43">
        <f t="shared" si="1"/>
        <v>2.0245439555212352E-4</v>
      </c>
      <c r="J25" s="1">
        <f t="shared" si="15"/>
        <v>6.6500000000000007E-8</v>
      </c>
      <c r="K25" s="1">
        <f t="shared" si="16"/>
        <v>1.3300000000000001E-5</v>
      </c>
      <c r="L25" s="43">
        <f t="shared" si="18"/>
        <v>7.4629436293436279E-4</v>
      </c>
      <c r="M25" s="43">
        <f t="shared" si="19"/>
        <v>3.6381850193050185E-4</v>
      </c>
      <c r="N25" s="43">
        <f t="shared" si="20"/>
        <v>4.9752957528957529E-6</v>
      </c>
      <c r="O25" s="43">
        <f t="shared" si="21"/>
        <v>1.0903898856840032E-2</v>
      </c>
      <c r="P25" s="43">
        <f t="shared" si="22"/>
        <v>0.40744379741085618</v>
      </c>
      <c r="Q25" s="43">
        <v>14.36</v>
      </c>
      <c r="R25" s="43">
        <f t="shared" si="23"/>
        <v>0.16050816261639791</v>
      </c>
      <c r="S25" s="43">
        <f t="shared" si="24"/>
        <v>19.590227027027026</v>
      </c>
      <c r="T25" s="43">
        <f t="shared" si="25"/>
        <v>39.180454054054053</v>
      </c>
      <c r="U25" s="43">
        <f t="shared" si="26"/>
        <v>9.8940540540540521E-5</v>
      </c>
      <c r="V25" s="43">
        <f t="shared" si="27"/>
        <v>6.2191196911196907E-6</v>
      </c>
      <c r="W25" s="43">
        <f t="shared" si="28"/>
        <v>7.0671814671814656E-5</v>
      </c>
      <c r="X25" s="43">
        <f t="shared" si="29"/>
        <v>7.0671814671814664E-14</v>
      </c>
      <c r="Y25" s="205">
        <f t="shared" si="30"/>
        <v>42.440550139499578</v>
      </c>
    </row>
    <row r="26" spans="1:29">
      <c r="A26" s="48" t="s">
        <v>752</v>
      </c>
      <c r="D26">
        <v>96</v>
      </c>
      <c r="E26">
        <v>1.2</v>
      </c>
      <c r="F26">
        <v>0.04</v>
      </c>
      <c r="G26">
        <v>1.5</v>
      </c>
      <c r="H26" s="1">
        <f t="shared" si="17"/>
        <v>7.1599999999999992E-6</v>
      </c>
      <c r="I26" s="43">
        <f t="shared" si="1"/>
        <v>6.2293660169884167E-5</v>
      </c>
      <c r="J26" s="1">
        <f t="shared" si="15"/>
        <v>5.32E-8</v>
      </c>
      <c r="K26" s="1">
        <f t="shared" si="16"/>
        <v>1.0640000000000001E-5</v>
      </c>
      <c r="L26" s="43">
        <f t="shared" si="18"/>
        <v>2.2962903474903472E-4</v>
      </c>
      <c r="M26" s="43">
        <f t="shared" si="19"/>
        <v>1.1194415444015443E-4</v>
      </c>
      <c r="N26" s="43">
        <f t="shared" si="20"/>
        <v>1.5308602316602316E-6</v>
      </c>
      <c r="O26" s="43">
        <f t="shared" si="21"/>
        <v>1.0903898856840032E-2</v>
      </c>
      <c r="P26" s="43">
        <f t="shared" si="22"/>
        <v>0.12536732228026343</v>
      </c>
      <c r="Q26" s="43">
        <v>15.36</v>
      </c>
      <c r="R26" s="43">
        <f t="shared" si="23"/>
        <v>4.9387126958891664E-2</v>
      </c>
      <c r="S26" s="43">
        <f t="shared" si="24"/>
        <v>6.027762162162162</v>
      </c>
      <c r="T26" s="43">
        <f t="shared" si="25"/>
        <v>12.055524324324324</v>
      </c>
      <c r="U26" s="43">
        <f t="shared" si="26"/>
        <v>3.0443243243243239E-5</v>
      </c>
      <c r="V26" s="43">
        <f t="shared" si="27"/>
        <v>1.9135752895752893E-6</v>
      </c>
      <c r="W26" s="43">
        <f t="shared" si="28"/>
        <v>2.1745173745173741E-5</v>
      </c>
      <c r="X26" s="43">
        <f t="shared" si="29"/>
        <v>2.1745173745173744E-14</v>
      </c>
      <c r="Y26" s="205">
        <f t="shared" si="30"/>
        <v>13.773998021364219</v>
      </c>
    </row>
    <row r="27" spans="1:29">
      <c r="A27" t="s">
        <v>755</v>
      </c>
      <c r="D27">
        <v>447</v>
      </c>
      <c r="E27">
        <v>1.2</v>
      </c>
      <c r="F27">
        <v>0.04</v>
      </c>
      <c r="G27">
        <v>2</v>
      </c>
      <c r="H27" s="1">
        <f t="shared" si="17"/>
        <v>7.1599999999999992E-6</v>
      </c>
      <c r="I27" s="43">
        <f t="shared" si="1"/>
        <v>2.9005485516602316E-4</v>
      </c>
      <c r="J27" s="1">
        <f t="shared" si="15"/>
        <v>5.32E-8</v>
      </c>
      <c r="K27" s="1">
        <f t="shared" si="16"/>
        <v>1.0640000000000001E-5</v>
      </c>
      <c r="L27" s="43">
        <f t="shared" si="18"/>
        <v>1.0692101930501929E-3</v>
      </c>
      <c r="M27" s="43">
        <f t="shared" si="19"/>
        <v>5.2123996911196901E-4</v>
      </c>
      <c r="N27" s="43">
        <f t="shared" si="20"/>
        <v>7.1280679536679529E-6</v>
      </c>
      <c r="O27" s="43">
        <f t="shared" si="21"/>
        <v>1.0903898856840032E-2</v>
      </c>
      <c r="P27" s="43">
        <f t="shared" si="22"/>
        <v>0.58374159436747663</v>
      </c>
      <c r="Q27" s="43">
        <v>16.36</v>
      </c>
      <c r="R27" s="43">
        <f t="shared" si="23"/>
        <v>0.22995880990233933</v>
      </c>
      <c r="S27" s="43">
        <f t="shared" si="24"/>
        <v>28.066767567567567</v>
      </c>
      <c r="T27" s="43">
        <f t="shared" si="25"/>
        <v>56.133535135135133</v>
      </c>
      <c r="U27" s="43">
        <f t="shared" si="26"/>
        <v>1.4175135135135133E-4</v>
      </c>
      <c r="V27" s="43">
        <f t="shared" si="27"/>
        <v>8.9100849420849407E-6</v>
      </c>
      <c r="W27" s="43">
        <f t="shared" si="28"/>
        <v>1.0125096525096524E-4</v>
      </c>
      <c r="X27" s="43">
        <f t="shared" si="29"/>
        <v>1.0125096525096524E-13</v>
      </c>
      <c r="Y27" s="205">
        <f t="shared" si="30"/>
        <v>60.279912432084174</v>
      </c>
    </row>
    <row r="28" spans="1:29">
      <c r="A28" s="49" t="s">
        <v>754</v>
      </c>
      <c r="D28">
        <v>635</v>
      </c>
      <c r="E28">
        <v>1.2</v>
      </c>
      <c r="F28">
        <v>0.03</v>
      </c>
      <c r="G28">
        <v>1.3</v>
      </c>
      <c r="H28" s="1">
        <f t="shared" si="17"/>
        <v>5.3699999999999994E-6</v>
      </c>
      <c r="I28" s="43">
        <f t="shared" si="1"/>
        <v>4.1204660633204632E-4</v>
      </c>
      <c r="J28" s="1">
        <f t="shared" si="15"/>
        <v>3.99E-8</v>
      </c>
      <c r="K28" s="1">
        <f t="shared" si="16"/>
        <v>7.9799999999999998E-6</v>
      </c>
      <c r="L28" s="43">
        <f t="shared" si="18"/>
        <v>1.5189003861003859E-3</v>
      </c>
      <c r="M28" s="43">
        <f t="shared" si="19"/>
        <v>7.4046393822393812E-4</v>
      </c>
      <c r="N28" s="43">
        <f t="shared" si="20"/>
        <v>1.0126002574002573E-5</v>
      </c>
      <c r="O28" s="43">
        <f t="shared" si="21"/>
        <v>1.0903898856840032E-2</v>
      </c>
      <c r="P28" s="43">
        <f t="shared" si="22"/>
        <v>0.82925260049965921</v>
      </c>
      <c r="Q28" s="43">
        <v>17.36</v>
      </c>
      <c r="R28" s="43">
        <f t="shared" si="23"/>
        <v>0.32667526686350218</v>
      </c>
      <c r="S28" s="43">
        <f t="shared" si="24"/>
        <v>39.871135135135134</v>
      </c>
      <c r="T28" s="43">
        <f t="shared" si="25"/>
        <v>79.742270270270268</v>
      </c>
      <c r="U28" s="43">
        <f t="shared" si="26"/>
        <v>2.0136936936936934E-4</v>
      </c>
      <c r="V28" s="43">
        <f t="shared" si="27"/>
        <v>1.2657503217503216E-5</v>
      </c>
      <c r="W28" s="43">
        <f t="shared" si="28"/>
        <v>1.4383526383526381E-4</v>
      </c>
      <c r="X28" s="43">
        <f t="shared" si="29"/>
        <v>1.4383526383526382E-13</v>
      </c>
      <c r="Y28" s="205">
        <f t="shared" si="30"/>
        <v>85.095495419164976</v>
      </c>
    </row>
    <row r="29" spans="1:29">
      <c r="A29" s="49" t="s">
        <v>969</v>
      </c>
      <c r="D29">
        <v>700</v>
      </c>
      <c r="F29">
        <v>2.8000000000000001E-2</v>
      </c>
      <c r="G29">
        <v>2</v>
      </c>
      <c r="H29" s="1">
        <f t="shared" si="17"/>
        <v>5.0119999999999996E-6</v>
      </c>
      <c r="I29" s="43">
        <f t="shared" si="1"/>
        <v>4.5422460540540537E-4</v>
      </c>
      <c r="J29" s="1">
        <f t="shared" si="15"/>
        <v>3.7240000000000001E-8</v>
      </c>
      <c r="K29" s="1">
        <f t="shared" si="16"/>
        <v>7.4480000000000005E-6</v>
      </c>
      <c r="L29" s="43">
        <f t="shared" si="18"/>
        <v>1.6743783783783781E-3</v>
      </c>
      <c r="M29" s="43">
        <f t="shared" si="19"/>
        <v>8.1625945945945936E-4</v>
      </c>
      <c r="N29" s="43">
        <f t="shared" si="20"/>
        <v>1.1162522522522522E-5</v>
      </c>
      <c r="O29" s="43">
        <f t="shared" si="21"/>
        <v>1.0903898856840032E-2</v>
      </c>
      <c r="P29" s="43">
        <f t="shared" si="22"/>
        <v>0.91413672496025422</v>
      </c>
      <c r="Q29" s="43">
        <v>18.36</v>
      </c>
      <c r="R29" s="43">
        <f t="shared" si="23"/>
        <v>0.36011446740858505</v>
      </c>
      <c r="S29" s="43">
        <f t="shared" si="24"/>
        <v>43.952432432432431</v>
      </c>
      <c r="T29" s="43">
        <f t="shared" si="25"/>
        <v>87.904864864864862</v>
      </c>
      <c r="U29" s="43">
        <f t="shared" si="26"/>
        <v>2.2198198198198195E-4</v>
      </c>
      <c r="V29" s="43">
        <f t="shared" si="27"/>
        <v>1.3953153153153152E-5</v>
      </c>
      <c r="W29" s="43">
        <f t="shared" si="28"/>
        <v>1.5855855855855853E-4</v>
      </c>
      <c r="X29" s="43">
        <f t="shared" si="29"/>
        <v>1.5855855855855853E-13</v>
      </c>
      <c r="Y29" s="205">
        <f t="shared" si="30"/>
        <v>93.717865734113104</v>
      </c>
    </row>
    <row r="30" spans="1:29">
      <c r="A30" t="s">
        <v>756</v>
      </c>
      <c r="D30">
        <v>409</v>
      </c>
      <c r="E30">
        <v>1.2</v>
      </c>
      <c r="F30">
        <v>2.9000000000000001E-2</v>
      </c>
      <c r="G30">
        <v>2</v>
      </c>
      <c r="H30" s="1">
        <f t="shared" si="17"/>
        <v>5.1909999999999999E-6</v>
      </c>
      <c r="I30" s="43">
        <f t="shared" si="1"/>
        <v>2.6539694801544397E-4</v>
      </c>
      <c r="J30" s="1">
        <f t="shared" si="15"/>
        <v>3.8570000000000001E-8</v>
      </c>
      <c r="K30" s="1">
        <f t="shared" si="16"/>
        <v>7.714000000000001E-6</v>
      </c>
      <c r="L30" s="43">
        <f t="shared" si="18"/>
        <v>9.7831536679536665E-4</v>
      </c>
      <c r="M30" s="43">
        <f t="shared" si="19"/>
        <v>4.7692874131274123E-4</v>
      </c>
      <c r="N30" s="43">
        <f t="shared" si="20"/>
        <v>6.522102445302445E-6</v>
      </c>
      <c r="O30" s="43">
        <f t="shared" si="21"/>
        <v>1.0903898856840032E-2</v>
      </c>
      <c r="P30" s="43">
        <f t="shared" si="22"/>
        <v>0.5341170292982057</v>
      </c>
      <c r="Q30" s="43">
        <v>19.36</v>
      </c>
      <c r="R30" s="43">
        <f t="shared" si="23"/>
        <v>0.21040973881444472</v>
      </c>
      <c r="S30" s="43">
        <f t="shared" si="24"/>
        <v>25.680778378378378</v>
      </c>
      <c r="T30" s="43">
        <f t="shared" si="25"/>
        <v>51.361556756756755</v>
      </c>
      <c r="U30" s="43">
        <f t="shared" si="26"/>
        <v>1.2970090090090087E-4</v>
      </c>
      <c r="V30" s="43">
        <f t="shared" si="27"/>
        <v>8.1526280566280561E-6</v>
      </c>
      <c r="W30" s="43">
        <f t="shared" si="28"/>
        <v>9.2643500643500628E-5</v>
      </c>
      <c r="X30" s="43">
        <f t="shared" si="29"/>
        <v>9.2643500643500634E-14</v>
      </c>
      <c r="Y30" s="205">
        <f t="shared" si="30"/>
        <v>55.246057000652961</v>
      </c>
    </row>
    <row r="31" spans="1:29">
      <c r="A31" s="45" t="s">
        <v>970</v>
      </c>
      <c r="D31">
        <v>700</v>
      </c>
      <c r="F31">
        <v>0.04</v>
      </c>
      <c r="G31">
        <v>1.5</v>
      </c>
      <c r="H31" s="1">
        <f t="shared" si="17"/>
        <v>7.1599999999999992E-6</v>
      </c>
      <c r="I31" s="43">
        <f t="shared" si="1"/>
        <v>4.5422460540540537E-4</v>
      </c>
      <c r="J31" s="1">
        <f t="shared" si="15"/>
        <v>5.32E-8</v>
      </c>
      <c r="K31" s="1">
        <f t="shared" si="16"/>
        <v>1.0640000000000001E-5</v>
      </c>
      <c r="L31" s="43">
        <f t="shared" si="18"/>
        <v>1.6743783783783781E-3</v>
      </c>
      <c r="M31" s="43">
        <f t="shared" si="19"/>
        <v>8.1625945945945936E-4</v>
      </c>
      <c r="N31" s="43">
        <f t="shared" si="20"/>
        <v>1.1162522522522522E-5</v>
      </c>
      <c r="O31" s="43">
        <f t="shared" si="21"/>
        <v>1.0903898856840032E-2</v>
      </c>
      <c r="P31" s="43">
        <f t="shared" si="22"/>
        <v>0.91413672496025422</v>
      </c>
      <c r="Q31" s="43">
        <v>20.36</v>
      </c>
      <c r="R31" s="43">
        <f t="shared" si="23"/>
        <v>0.36011446740858505</v>
      </c>
      <c r="S31" s="43">
        <f t="shared" si="24"/>
        <v>43.952432432432431</v>
      </c>
      <c r="T31" s="43">
        <f t="shared" si="25"/>
        <v>87.904864864864862</v>
      </c>
      <c r="U31" s="43">
        <f t="shared" si="26"/>
        <v>2.2198198198198195E-4</v>
      </c>
      <c r="V31" s="43">
        <f t="shared" si="27"/>
        <v>1.3953153153153152E-5</v>
      </c>
      <c r="W31" s="43">
        <f t="shared" si="28"/>
        <v>1.5855855855855853E-4</v>
      </c>
      <c r="X31" s="43">
        <f t="shared" si="29"/>
        <v>1.5855855855855853E-13</v>
      </c>
      <c r="Y31" s="205">
        <f t="shared" si="30"/>
        <v>93.932437634113114</v>
      </c>
    </row>
    <row r="32" spans="1:29">
      <c r="A32" s="45" t="s">
        <v>971</v>
      </c>
      <c r="D32">
        <v>700</v>
      </c>
      <c r="F32">
        <v>3.6999999999999998E-2</v>
      </c>
      <c r="G32">
        <v>2.5</v>
      </c>
      <c r="H32" s="1">
        <f t="shared" si="17"/>
        <v>6.6229999999999991E-6</v>
      </c>
      <c r="I32" s="43">
        <f t="shared" si="1"/>
        <v>4.5422460540540537E-4</v>
      </c>
      <c r="J32" s="1">
        <f t="shared" si="15"/>
        <v>4.9209999999999995E-8</v>
      </c>
      <c r="K32" s="1">
        <f t="shared" si="16"/>
        <v>9.842E-6</v>
      </c>
      <c r="L32" s="43">
        <f t="shared" si="18"/>
        <v>1.6743783783783781E-3</v>
      </c>
      <c r="M32" s="43">
        <f t="shared" si="19"/>
        <v>8.1625945945945936E-4</v>
      </c>
      <c r="N32" s="43">
        <f t="shared" si="20"/>
        <v>1.1162522522522522E-5</v>
      </c>
      <c r="O32" s="43">
        <f t="shared" si="21"/>
        <v>1.0903898856840032E-2</v>
      </c>
      <c r="P32" s="43">
        <f t="shared" si="22"/>
        <v>0.91413672496025422</v>
      </c>
      <c r="Q32" s="43">
        <v>21.36</v>
      </c>
      <c r="R32" s="43">
        <f t="shared" si="23"/>
        <v>0.36011446740858505</v>
      </c>
      <c r="S32" s="43">
        <f t="shared" si="24"/>
        <v>43.952432432432431</v>
      </c>
      <c r="T32" s="43">
        <f t="shared" si="25"/>
        <v>87.904864864864862</v>
      </c>
      <c r="U32" s="43">
        <f t="shared" si="26"/>
        <v>2.2198198198198195E-4</v>
      </c>
      <c r="V32" s="43">
        <f t="shared" si="27"/>
        <v>1.3953153153153152E-5</v>
      </c>
      <c r="W32" s="43">
        <f t="shared" si="28"/>
        <v>1.5855855855855853E-4</v>
      </c>
      <c r="X32" s="43">
        <f t="shared" si="29"/>
        <v>1.5855855855855853E-13</v>
      </c>
      <c r="Y32" s="205">
        <f t="shared" si="30"/>
        <v>93.9387946591131</v>
      </c>
    </row>
    <row r="33" spans="1:25">
      <c r="A33" s="45" t="s">
        <v>757</v>
      </c>
      <c r="D33">
        <v>938</v>
      </c>
      <c r="E33">
        <v>1.2</v>
      </c>
      <c r="F33">
        <v>0.11</v>
      </c>
      <c r="G33">
        <v>1.1000000000000001</v>
      </c>
      <c r="H33" s="1">
        <f t="shared" si="17"/>
        <v>1.969E-5</v>
      </c>
      <c r="I33" s="43">
        <f t="shared" si="1"/>
        <v>6.0866097124324318E-4</v>
      </c>
      <c r="J33" s="1">
        <f t="shared" si="15"/>
        <v>1.4630000000000001E-7</v>
      </c>
      <c r="K33" s="1">
        <f t="shared" si="16"/>
        <v>2.9260000000000001E-5</v>
      </c>
      <c r="L33" s="43">
        <f t="shared" si="18"/>
        <v>2.2436670270270269E-3</v>
      </c>
      <c r="M33" s="43">
        <f t="shared" si="19"/>
        <v>1.0937876756756755E-3</v>
      </c>
      <c r="N33" s="43">
        <f t="shared" si="20"/>
        <v>1.4957780180180179E-5</v>
      </c>
      <c r="O33" s="43">
        <f t="shared" si="21"/>
        <v>1.0903898856840032E-2</v>
      </c>
      <c r="P33" s="43">
        <f t="shared" si="22"/>
        <v>1.2249432114467407</v>
      </c>
      <c r="Q33" s="43">
        <v>22.36</v>
      </c>
      <c r="R33" s="43">
        <f t="shared" si="23"/>
        <v>0.482553386327504</v>
      </c>
      <c r="S33" s="43">
        <f t="shared" si="24"/>
        <v>58.896259459459458</v>
      </c>
      <c r="T33" s="43">
        <f t="shared" si="25"/>
        <v>117.79251891891892</v>
      </c>
      <c r="U33" s="43">
        <f t="shared" si="26"/>
        <v>2.9745585585585582E-4</v>
      </c>
      <c r="V33" s="43">
        <f t="shared" si="27"/>
        <v>1.8697225225225223E-5</v>
      </c>
      <c r="W33" s="43">
        <f t="shared" si="28"/>
        <v>2.1246846846846844E-4</v>
      </c>
      <c r="X33" s="43">
        <f t="shared" si="29"/>
        <v>2.1246846846846844E-13</v>
      </c>
      <c r="Y33" s="205">
        <f t="shared" si="30"/>
        <v>126.30424274807706</v>
      </c>
    </row>
    <row r="34" spans="1:25">
      <c r="A34" s="45" t="s">
        <v>972</v>
      </c>
      <c r="D34">
        <v>700</v>
      </c>
      <c r="F34">
        <v>3.9E-2</v>
      </c>
      <c r="G34">
        <v>2</v>
      </c>
      <c r="H34" s="1">
        <f t="shared" si="17"/>
        <v>6.9809999999999997E-6</v>
      </c>
      <c r="I34" s="43">
        <f t="shared" si="1"/>
        <v>4.5422460540540537E-4</v>
      </c>
      <c r="J34" s="1">
        <f t="shared" si="15"/>
        <v>5.1870000000000001E-8</v>
      </c>
      <c r="K34" s="1">
        <f t="shared" si="16"/>
        <v>1.0374000000000001E-5</v>
      </c>
      <c r="L34" s="43">
        <f t="shared" si="18"/>
        <v>1.6743783783783781E-3</v>
      </c>
      <c r="M34" s="43">
        <f t="shared" si="19"/>
        <v>8.1625945945945936E-4</v>
      </c>
      <c r="N34" s="43">
        <f t="shared" si="20"/>
        <v>1.1162522522522522E-5</v>
      </c>
      <c r="O34" s="43">
        <f t="shared" si="21"/>
        <v>1.0903898856840032E-2</v>
      </c>
      <c r="P34" s="43">
        <f t="shared" si="22"/>
        <v>0.91413672496025422</v>
      </c>
      <c r="Q34" s="43">
        <v>23.36</v>
      </c>
      <c r="R34" s="43">
        <f t="shared" si="23"/>
        <v>0.36011446740858505</v>
      </c>
      <c r="S34" s="43">
        <f t="shared" si="24"/>
        <v>43.952432432432431</v>
      </c>
      <c r="T34" s="43">
        <f t="shared" si="25"/>
        <v>87.904864864864862</v>
      </c>
      <c r="U34" s="43">
        <f t="shared" si="26"/>
        <v>2.2198198198198195E-4</v>
      </c>
      <c r="V34" s="43">
        <f t="shared" si="27"/>
        <v>1.3953153153153152E-5</v>
      </c>
      <c r="W34" s="43">
        <f t="shared" si="28"/>
        <v>1.5855855855855853E-4</v>
      </c>
      <c r="X34" s="43">
        <f t="shared" si="29"/>
        <v>1.5855855855855853E-13</v>
      </c>
      <c r="Y34" s="205">
        <f t="shared" si="30"/>
        <v>94.041223309113107</v>
      </c>
    </row>
    <row r="35" spans="1:25">
      <c r="A35" t="s">
        <v>758</v>
      </c>
      <c r="D35">
        <v>2345</v>
      </c>
      <c r="E35">
        <v>1.2</v>
      </c>
      <c r="F35">
        <v>6.5000000000000002E-2</v>
      </c>
      <c r="G35">
        <v>1.1000000000000001</v>
      </c>
      <c r="H35" s="1">
        <f t="shared" si="17"/>
        <v>1.1635E-5</v>
      </c>
      <c r="I35" s="43">
        <f t="shared" si="1"/>
        <v>1.5216524281081081E-3</v>
      </c>
      <c r="J35" s="1">
        <f t="shared" si="15"/>
        <v>8.6449999999999997E-8</v>
      </c>
      <c r="K35" s="1">
        <f t="shared" si="16"/>
        <v>1.7290000000000002E-5</v>
      </c>
      <c r="L35" s="43">
        <f t="shared" si="18"/>
        <v>5.6091675675675667E-3</v>
      </c>
      <c r="M35" s="43">
        <f t="shared" si="19"/>
        <v>2.7344691891891888E-3</v>
      </c>
      <c r="N35" s="43">
        <f t="shared" si="20"/>
        <v>3.7394450450450447E-5</v>
      </c>
      <c r="O35" s="43">
        <f t="shared" si="21"/>
        <v>1.0903898856840032E-2</v>
      </c>
      <c r="P35" s="43">
        <f t="shared" si="22"/>
        <v>3.0623580286168517</v>
      </c>
      <c r="Q35" s="43">
        <v>24.36</v>
      </c>
      <c r="R35" s="43">
        <f t="shared" si="23"/>
        <v>1.20638346581876</v>
      </c>
      <c r="S35" s="43">
        <f t="shared" si="24"/>
        <v>147.24064864864863</v>
      </c>
      <c r="T35" s="43">
        <f t="shared" si="25"/>
        <v>294.48129729729726</v>
      </c>
      <c r="U35" s="43">
        <f t="shared" si="26"/>
        <v>7.4363963963963958E-4</v>
      </c>
      <c r="V35" s="43">
        <f t="shared" si="27"/>
        <v>4.6743063063063062E-5</v>
      </c>
      <c r="W35" s="43">
        <f t="shared" si="28"/>
        <v>5.3117117117117108E-4</v>
      </c>
      <c r="X35" s="43">
        <f t="shared" si="29"/>
        <v>5.311711711711711E-13</v>
      </c>
      <c r="Y35" s="205">
        <f t="shared" si="30"/>
        <v>312.1404003335698</v>
      </c>
    </row>
    <row r="36" spans="1:25">
      <c r="A36" s="45" t="s">
        <v>973</v>
      </c>
      <c r="D36">
        <v>700</v>
      </c>
      <c r="F36">
        <v>0.04</v>
      </c>
      <c r="G36">
        <v>1.2</v>
      </c>
      <c r="H36" s="1">
        <f t="shared" si="17"/>
        <v>7.1599999999999992E-6</v>
      </c>
      <c r="I36" s="43">
        <f t="shared" si="1"/>
        <v>4.5422460540540537E-4</v>
      </c>
      <c r="J36" s="1">
        <f t="shared" si="15"/>
        <v>5.32E-8</v>
      </c>
      <c r="K36" s="1">
        <f t="shared" si="16"/>
        <v>1.0640000000000001E-5</v>
      </c>
      <c r="L36" s="43">
        <f t="shared" si="18"/>
        <v>1.6743783783783781E-3</v>
      </c>
      <c r="M36" s="43">
        <f t="shared" si="19"/>
        <v>8.1625945945945936E-4</v>
      </c>
      <c r="N36" s="43">
        <f t="shared" si="20"/>
        <v>1.1162522522522522E-5</v>
      </c>
      <c r="O36" s="43">
        <f t="shared" si="21"/>
        <v>1.0903898856840032E-2</v>
      </c>
      <c r="P36" s="43">
        <f t="shared" si="22"/>
        <v>0.91413672496025422</v>
      </c>
      <c r="Q36" s="43">
        <v>25.36</v>
      </c>
      <c r="R36" s="43">
        <f t="shared" si="23"/>
        <v>0.36011446740858505</v>
      </c>
      <c r="S36" s="43">
        <f t="shared" si="24"/>
        <v>43.952432432432431</v>
      </c>
      <c r="T36" s="43">
        <f t="shared" si="25"/>
        <v>87.904864864864862</v>
      </c>
      <c r="U36" s="43">
        <f t="shared" si="26"/>
        <v>2.2198198198198195E-4</v>
      </c>
      <c r="V36" s="43">
        <f t="shared" si="27"/>
        <v>1.3953153153153152E-5</v>
      </c>
      <c r="W36" s="43">
        <f t="shared" si="28"/>
        <v>1.5855855855855853E-4</v>
      </c>
      <c r="X36" s="43">
        <f t="shared" si="29"/>
        <v>1.5855855855855853E-13</v>
      </c>
      <c r="Y36" s="205">
        <f t="shared" si="30"/>
        <v>94.132437634113103</v>
      </c>
    </row>
    <row r="37" spans="1:25">
      <c r="A37" s="45" t="s">
        <v>974</v>
      </c>
      <c r="D37">
        <v>700</v>
      </c>
      <c r="F37">
        <v>4.2000000000000003E-2</v>
      </c>
      <c r="G37">
        <v>2</v>
      </c>
      <c r="H37" s="1">
        <f t="shared" si="17"/>
        <v>7.5179999999999998E-6</v>
      </c>
      <c r="I37" s="43">
        <f t="shared" si="1"/>
        <v>4.5422460540540537E-4</v>
      </c>
      <c r="J37" s="1">
        <f t="shared" si="15"/>
        <v>5.5860000000000005E-8</v>
      </c>
      <c r="K37" s="1">
        <f t="shared" si="16"/>
        <v>1.1172000000000001E-5</v>
      </c>
      <c r="L37" s="43">
        <f t="shared" si="18"/>
        <v>1.6743783783783781E-3</v>
      </c>
      <c r="M37" s="43">
        <f t="shared" si="19"/>
        <v>8.1625945945945936E-4</v>
      </c>
      <c r="N37" s="43">
        <f t="shared" si="20"/>
        <v>1.1162522522522522E-5</v>
      </c>
      <c r="O37" s="43">
        <f t="shared" si="21"/>
        <v>1.0903898856840032E-2</v>
      </c>
      <c r="P37" s="43">
        <f t="shared" si="22"/>
        <v>0.91413672496025422</v>
      </c>
      <c r="Q37" s="43">
        <v>26.36</v>
      </c>
      <c r="R37" s="43">
        <f t="shared" si="23"/>
        <v>0.36011446740858505</v>
      </c>
      <c r="S37" s="43">
        <f t="shared" si="24"/>
        <v>43.952432432432431</v>
      </c>
      <c r="T37" s="43">
        <f t="shared" si="25"/>
        <v>87.904864864864862</v>
      </c>
      <c r="U37" s="43">
        <f t="shared" si="26"/>
        <v>2.2198198198198195E-4</v>
      </c>
      <c r="V37" s="43">
        <f t="shared" si="27"/>
        <v>1.3953153153153152E-5</v>
      </c>
      <c r="W37" s="43">
        <f t="shared" si="28"/>
        <v>1.5855855855855853E-4</v>
      </c>
      <c r="X37" s="43">
        <f t="shared" si="29"/>
        <v>1.5855855855855853E-13</v>
      </c>
      <c r="Y37" s="205">
        <f t="shared" si="30"/>
        <v>94.194866284113118</v>
      </c>
    </row>
    <row r="38" spans="1:25">
      <c r="A38" s="45" t="s">
        <v>975</v>
      </c>
      <c r="D38">
        <v>700</v>
      </c>
      <c r="F38">
        <v>0.05</v>
      </c>
      <c r="G38">
        <v>2</v>
      </c>
      <c r="H38" s="1">
        <f t="shared" si="17"/>
        <v>8.949999999999999E-6</v>
      </c>
      <c r="I38" s="43">
        <f t="shared" si="1"/>
        <v>4.5422460540540537E-4</v>
      </c>
      <c r="J38" s="1">
        <f t="shared" si="15"/>
        <v>6.6500000000000007E-8</v>
      </c>
      <c r="K38" s="1">
        <f t="shared" si="16"/>
        <v>1.3300000000000001E-5</v>
      </c>
      <c r="L38" s="43">
        <f t="shared" si="18"/>
        <v>1.6743783783783781E-3</v>
      </c>
      <c r="M38" s="43">
        <f t="shared" si="19"/>
        <v>8.1625945945945936E-4</v>
      </c>
      <c r="N38" s="43">
        <f t="shared" si="20"/>
        <v>1.1162522522522522E-5</v>
      </c>
      <c r="O38" s="43">
        <f t="shared" si="21"/>
        <v>1.0903898856840032E-2</v>
      </c>
      <c r="P38" s="43">
        <f t="shared" si="22"/>
        <v>0.91413672496025422</v>
      </c>
      <c r="Q38" s="43">
        <v>27.36</v>
      </c>
      <c r="R38" s="43">
        <f t="shared" si="23"/>
        <v>0.36011446740858505</v>
      </c>
      <c r="S38" s="43">
        <f t="shared" si="24"/>
        <v>43.952432432432431</v>
      </c>
      <c r="T38" s="43">
        <f t="shared" si="25"/>
        <v>87.904864864864862</v>
      </c>
      <c r="U38" s="43">
        <f t="shared" si="26"/>
        <v>2.2198198198198195E-4</v>
      </c>
      <c r="V38" s="43">
        <f t="shared" si="27"/>
        <v>1.3953153153153152E-5</v>
      </c>
      <c r="W38" s="43">
        <f t="shared" si="28"/>
        <v>1.5855855855855853E-4</v>
      </c>
      <c r="X38" s="43">
        <f t="shared" si="29"/>
        <v>1.5855855855855853E-13</v>
      </c>
      <c r="Y38" s="205">
        <f t="shared" si="30"/>
        <v>94.324580884113104</v>
      </c>
    </row>
    <row r="39" spans="1:25">
      <c r="A39" s="45" t="s">
        <v>976</v>
      </c>
      <c r="D39">
        <v>700</v>
      </c>
      <c r="F39">
        <v>0.04</v>
      </c>
      <c r="G39">
        <v>2</v>
      </c>
      <c r="H39" s="1">
        <f t="shared" si="17"/>
        <v>7.1599999999999992E-6</v>
      </c>
      <c r="I39" s="43">
        <f t="shared" si="1"/>
        <v>4.5422460540540537E-4</v>
      </c>
      <c r="J39" s="1">
        <f t="shared" si="15"/>
        <v>5.32E-8</v>
      </c>
      <c r="K39" s="1">
        <f t="shared" si="16"/>
        <v>1.0640000000000001E-5</v>
      </c>
      <c r="L39" s="43">
        <f t="shared" si="18"/>
        <v>1.6743783783783781E-3</v>
      </c>
      <c r="M39" s="43">
        <f t="shared" si="19"/>
        <v>8.1625945945945936E-4</v>
      </c>
      <c r="N39" s="43">
        <f t="shared" si="20"/>
        <v>1.1162522522522522E-5</v>
      </c>
      <c r="O39" s="43">
        <f t="shared" si="21"/>
        <v>1.0903898856840032E-2</v>
      </c>
      <c r="P39" s="43">
        <f t="shared" si="22"/>
        <v>0.91413672496025422</v>
      </c>
      <c r="Q39" s="43">
        <v>28.36</v>
      </c>
      <c r="R39" s="43">
        <f t="shared" si="23"/>
        <v>0.36011446740858505</v>
      </c>
      <c r="S39" s="43">
        <f t="shared" si="24"/>
        <v>43.952432432432431</v>
      </c>
      <c r="T39" s="43">
        <f t="shared" si="25"/>
        <v>87.904864864864862</v>
      </c>
      <c r="U39" s="43">
        <f t="shared" si="26"/>
        <v>2.2198198198198195E-4</v>
      </c>
      <c r="V39" s="43">
        <f t="shared" si="27"/>
        <v>1.3953153153153152E-5</v>
      </c>
      <c r="W39" s="43">
        <f t="shared" si="28"/>
        <v>1.5855855855855853E-4</v>
      </c>
      <c r="X39" s="43">
        <f t="shared" si="29"/>
        <v>1.5855855855855853E-13</v>
      </c>
      <c r="Y39" s="205">
        <f t="shared" si="30"/>
        <v>94.252437634113107</v>
      </c>
    </row>
    <row r="40" spans="1:25">
      <c r="A40" s="45" t="s">
        <v>977</v>
      </c>
      <c r="D40">
        <v>700</v>
      </c>
      <c r="F40">
        <v>0.05</v>
      </c>
      <c r="G40">
        <v>2</v>
      </c>
      <c r="H40" s="1">
        <f t="shared" si="17"/>
        <v>8.949999999999999E-6</v>
      </c>
      <c r="I40" s="43">
        <f t="shared" si="1"/>
        <v>4.5422460540540537E-4</v>
      </c>
      <c r="J40" s="1">
        <f t="shared" si="15"/>
        <v>6.6500000000000007E-8</v>
      </c>
      <c r="K40" s="1">
        <f t="shared" si="16"/>
        <v>1.3300000000000001E-5</v>
      </c>
      <c r="L40" s="43">
        <f t="shared" si="18"/>
        <v>1.6743783783783781E-3</v>
      </c>
      <c r="M40" s="43">
        <f t="shared" si="19"/>
        <v>8.1625945945945936E-4</v>
      </c>
      <c r="N40" s="43">
        <f t="shared" si="20"/>
        <v>1.1162522522522522E-5</v>
      </c>
      <c r="O40" s="43">
        <f t="shared" si="21"/>
        <v>1.0903898856840032E-2</v>
      </c>
      <c r="P40" s="43">
        <f t="shared" si="22"/>
        <v>0.91413672496025422</v>
      </c>
      <c r="Q40" s="43">
        <v>29.36</v>
      </c>
      <c r="R40" s="43">
        <f t="shared" si="23"/>
        <v>0.36011446740858505</v>
      </c>
      <c r="S40" s="43">
        <f t="shared" si="24"/>
        <v>43.952432432432431</v>
      </c>
      <c r="T40" s="43">
        <f t="shared" si="25"/>
        <v>87.904864864864862</v>
      </c>
      <c r="U40" s="43">
        <f t="shared" si="26"/>
        <v>2.2198198198198195E-4</v>
      </c>
      <c r="V40" s="43">
        <f t="shared" si="27"/>
        <v>1.3953153153153152E-5</v>
      </c>
      <c r="W40" s="43">
        <f t="shared" si="28"/>
        <v>1.5855855855855853E-4</v>
      </c>
      <c r="X40" s="43">
        <f t="shared" si="29"/>
        <v>1.5855855855855853E-13</v>
      </c>
      <c r="Y40" s="205">
        <f t="shared" si="30"/>
        <v>94.404580884113116</v>
      </c>
    </row>
    <row r="41" spans="1:25">
      <c r="A41" s="45" t="s">
        <v>978</v>
      </c>
      <c r="D41">
        <v>700</v>
      </c>
      <c r="F41">
        <v>0.04</v>
      </c>
      <c r="G41">
        <v>1.5</v>
      </c>
      <c r="H41" s="1">
        <f t="shared" si="17"/>
        <v>7.1599999999999992E-6</v>
      </c>
      <c r="I41" s="43">
        <f t="shared" si="1"/>
        <v>4.5422460540540537E-4</v>
      </c>
      <c r="J41" s="1">
        <f t="shared" si="15"/>
        <v>5.32E-8</v>
      </c>
      <c r="K41" s="1">
        <f t="shared" si="16"/>
        <v>1.0640000000000001E-5</v>
      </c>
      <c r="L41" s="43">
        <f t="shared" si="18"/>
        <v>1.6743783783783781E-3</v>
      </c>
      <c r="M41" s="43">
        <f t="shared" si="19"/>
        <v>8.1625945945945936E-4</v>
      </c>
      <c r="N41" s="43">
        <f t="shared" si="20"/>
        <v>1.1162522522522522E-5</v>
      </c>
      <c r="O41" s="43">
        <f t="shared" si="21"/>
        <v>1.0903898856840032E-2</v>
      </c>
      <c r="P41" s="43">
        <f t="shared" si="22"/>
        <v>0.91413672496025422</v>
      </c>
      <c r="Q41" s="43">
        <v>30.36</v>
      </c>
      <c r="R41" s="43">
        <f t="shared" si="23"/>
        <v>0.36011446740858505</v>
      </c>
      <c r="S41" s="43">
        <f t="shared" si="24"/>
        <v>43.952432432432431</v>
      </c>
      <c r="T41" s="43">
        <f t="shared" si="25"/>
        <v>87.904864864864862</v>
      </c>
      <c r="U41" s="43">
        <f t="shared" si="26"/>
        <v>2.2198198198198195E-4</v>
      </c>
      <c r="V41" s="43">
        <f t="shared" si="27"/>
        <v>1.3953153153153152E-5</v>
      </c>
      <c r="W41" s="43">
        <f t="shared" si="28"/>
        <v>1.5855855855855853E-4</v>
      </c>
      <c r="X41" s="43">
        <f t="shared" si="29"/>
        <v>1.5855855855855853E-13</v>
      </c>
      <c r="Y41" s="205">
        <f t="shared" si="30"/>
        <v>94.332437634113106</v>
      </c>
    </row>
    <row r="42" spans="1:25">
      <c r="A42" s="45" t="s">
        <v>759</v>
      </c>
      <c r="D42">
        <v>155</v>
      </c>
      <c r="E42">
        <v>1.2</v>
      </c>
      <c r="F42">
        <v>2.5000000000000001E-2</v>
      </c>
      <c r="G42">
        <v>1.1000000000000001</v>
      </c>
      <c r="H42" s="1">
        <f t="shared" si="17"/>
        <v>4.4749999999999995E-6</v>
      </c>
      <c r="I42" s="43">
        <f t="shared" si="1"/>
        <v>1.0057830548262547E-4</v>
      </c>
      <c r="J42" s="1">
        <f t="shared" si="15"/>
        <v>3.3250000000000003E-8</v>
      </c>
      <c r="K42" s="1">
        <f t="shared" si="16"/>
        <v>6.6500000000000007E-6</v>
      </c>
      <c r="L42" s="43">
        <f t="shared" si="18"/>
        <v>3.7075521235521231E-4</v>
      </c>
      <c r="M42" s="43">
        <f t="shared" si="19"/>
        <v>1.80743166023166E-4</v>
      </c>
      <c r="N42" s="43">
        <f t="shared" si="20"/>
        <v>2.4717014157014154E-6</v>
      </c>
      <c r="O42" s="43">
        <f t="shared" si="21"/>
        <v>1.0903898856840032E-2</v>
      </c>
      <c r="P42" s="43">
        <f t="shared" si="22"/>
        <v>0.20241598909834199</v>
      </c>
      <c r="Q42" s="43">
        <v>31.36</v>
      </c>
      <c r="R42" s="43">
        <f t="shared" si="23"/>
        <v>7.9739632069043845E-2</v>
      </c>
      <c r="S42" s="43">
        <f t="shared" si="24"/>
        <v>9.732324324324324</v>
      </c>
      <c r="T42" s="43">
        <f t="shared" si="25"/>
        <v>19.464648648648648</v>
      </c>
      <c r="U42" s="43">
        <f t="shared" si="26"/>
        <v>4.9153153153153146E-5</v>
      </c>
      <c r="V42" s="43">
        <f t="shared" si="27"/>
        <v>3.0896267696267693E-6</v>
      </c>
      <c r="W42" s="43">
        <f t="shared" si="28"/>
        <v>3.5109395109395104E-5</v>
      </c>
      <c r="X42" s="43">
        <f t="shared" si="29"/>
        <v>3.5109395109395106E-14</v>
      </c>
      <c r="Y42" s="205">
        <f t="shared" si="30"/>
        <v>22.056292976086375</v>
      </c>
    </row>
    <row r="43" spans="1:25">
      <c r="A43" s="45" t="s">
        <v>760</v>
      </c>
      <c r="D43">
        <v>633</v>
      </c>
      <c r="E43">
        <v>1.2</v>
      </c>
      <c r="F43">
        <v>3.3000000000000002E-2</v>
      </c>
      <c r="G43">
        <v>1.1000000000000001</v>
      </c>
      <c r="H43" s="1">
        <f t="shared" si="17"/>
        <v>5.9069999999999995E-6</v>
      </c>
      <c r="I43" s="43">
        <f t="shared" si="1"/>
        <v>4.107488217451737E-4</v>
      </c>
      <c r="J43" s="1">
        <f t="shared" si="15"/>
        <v>4.3889999999999998E-8</v>
      </c>
      <c r="K43" s="1">
        <f t="shared" si="16"/>
        <v>8.7780000000000013E-6</v>
      </c>
      <c r="L43" s="43">
        <f t="shared" si="18"/>
        <v>1.5141164478764475E-3</v>
      </c>
      <c r="M43" s="43">
        <f t="shared" si="19"/>
        <v>7.3813176833976827E-4</v>
      </c>
      <c r="N43" s="43">
        <f t="shared" si="20"/>
        <v>1.0094109652509652E-5</v>
      </c>
      <c r="O43" s="43">
        <f t="shared" si="21"/>
        <v>1.0903898856840032E-2</v>
      </c>
      <c r="P43" s="43">
        <f t="shared" si="22"/>
        <v>0.82664078128548701</v>
      </c>
      <c r="Q43" s="43">
        <v>32.36</v>
      </c>
      <c r="R43" s="43">
        <f t="shared" si="23"/>
        <v>0.32564636838519195</v>
      </c>
      <c r="S43" s="43">
        <f t="shared" si="24"/>
        <v>39.745556756756756</v>
      </c>
      <c r="T43" s="43">
        <f t="shared" si="25"/>
        <v>79.491113513513511</v>
      </c>
      <c r="U43" s="43">
        <f t="shared" si="26"/>
        <v>2.0073513513513511E-4</v>
      </c>
      <c r="V43" s="43">
        <f t="shared" si="27"/>
        <v>1.2617637065637065E-5</v>
      </c>
      <c r="W43" s="43">
        <f t="shared" si="28"/>
        <v>1.4338223938223938E-4</v>
      </c>
      <c r="X43" s="43">
        <f t="shared" si="29"/>
        <v>1.4338223938223936E-13</v>
      </c>
      <c r="Y43" s="205">
        <f t="shared" si="30"/>
        <v>85.464375349089622</v>
      </c>
    </row>
    <row r="44" spans="1:25">
      <c r="A44" s="45" t="s">
        <v>979</v>
      </c>
      <c r="D44">
        <v>700</v>
      </c>
      <c r="F44">
        <v>0.06</v>
      </c>
      <c r="G44">
        <v>1.8</v>
      </c>
      <c r="H44" s="1">
        <f t="shared" si="17"/>
        <v>1.0739999999999999E-5</v>
      </c>
      <c r="I44" s="43">
        <f t="shared" si="1"/>
        <v>4.5422460540540537E-4</v>
      </c>
      <c r="J44" s="1">
        <f t="shared" si="15"/>
        <v>7.98E-8</v>
      </c>
      <c r="K44" s="1">
        <f t="shared" si="16"/>
        <v>1.596E-5</v>
      </c>
      <c r="L44" s="43">
        <f t="shared" si="18"/>
        <v>1.6743783783783781E-3</v>
      </c>
      <c r="M44" s="43">
        <f t="shared" si="19"/>
        <v>8.1625945945945936E-4</v>
      </c>
      <c r="N44" s="43">
        <f t="shared" si="20"/>
        <v>1.1162522522522522E-5</v>
      </c>
      <c r="O44" s="43">
        <f t="shared" si="21"/>
        <v>1.0903898856840032E-2</v>
      </c>
      <c r="P44" s="43">
        <f t="shared" si="22"/>
        <v>0.91413672496025422</v>
      </c>
      <c r="Q44" s="43">
        <v>33.36</v>
      </c>
      <c r="R44" s="43">
        <f t="shared" si="23"/>
        <v>0.36011446740858505</v>
      </c>
      <c r="S44" s="43">
        <f t="shared" si="24"/>
        <v>43.952432432432431</v>
      </c>
      <c r="T44" s="43">
        <f t="shared" si="25"/>
        <v>87.904864864864862</v>
      </c>
      <c r="U44" s="43">
        <f t="shared" si="26"/>
        <v>2.2198198198198195E-4</v>
      </c>
      <c r="V44" s="43">
        <f t="shared" si="27"/>
        <v>1.3953153153153152E-5</v>
      </c>
      <c r="W44" s="43">
        <f t="shared" si="28"/>
        <v>1.5855855855855853E-4</v>
      </c>
      <c r="X44" s="43">
        <f t="shared" si="29"/>
        <v>1.5855855855855853E-13</v>
      </c>
      <c r="Y44" s="205">
        <f t="shared" si="30"/>
        <v>94.676724134113115</v>
      </c>
    </row>
    <row r="45" spans="1:25">
      <c r="A45" s="45" t="s">
        <v>980</v>
      </c>
      <c r="D45">
        <v>700</v>
      </c>
      <c r="F45">
        <v>7.0000000000000007E-2</v>
      </c>
      <c r="G45">
        <v>1.2</v>
      </c>
      <c r="H45" s="1">
        <f t="shared" si="17"/>
        <v>1.253E-5</v>
      </c>
      <c r="I45" s="43">
        <f t="shared" si="1"/>
        <v>4.5422460540540537E-4</v>
      </c>
      <c r="J45" s="1">
        <f t="shared" si="15"/>
        <v>9.3100000000000006E-8</v>
      </c>
      <c r="K45" s="1">
        <f t="shared" si="16"/>
        <v>1.8620000000000001E-5</v>
      </c>
      <c r="L45" s="43">
        <f t="shared" si="18"/>
        <v>1.6743783783783781E-3</v>
      </c>
      <c r="M45" s="43">
        <f t="shared" si="19"/>
        <v>8.1625945945945936E-4</v>
      </c>
      <c r="N45" s="43">
        <f t="shared" si="20"/>
        <v>1.1162522522522522E-5</v>
      </c>
      <c r="O45" s="43">
        <f t="shared" si="21"/>
        <v>1.0903898856840032E-2</v>
      </c>
      <c r="P45" s="43">
        <f t="shared" si="22"/>
        <v>0.91413672496025422</v>
      </c>
      <c r="Q45" s="43">
        <v>34.36</v>
      </c>
      <c r="R45" s="43">
        <f t="shared" si="23"/>
        <v>0.36011446740858505</v>
      </c>
      <c r="S45" s="43">
        <f t="shared" si="24"/>
        <v>43.952432432432431</v>
      </c>
      <c r="T45" s="43">
        <f t="shared" si="25"/>
        <v>87.904864864864862</v>
      </c>
      <c r="U45" s="43">
        <f t="shared" si="26"/>
        <v>2.2198198198198195E-4</v>
      </c>
      <c r="V45" s="43">
        <f t="shared" si="27"/>
        <v>1.3953153153153152E-5</v>
      </c>
      <c r="W45" s="43">
        <f t="shared" si="28"/>
        <v>1.5855855855855853E-4</v>
      </c>
      <c r="X45" s="43">
        <f t="shared" si="29"/>
        <v>1.5855855855855853E-13</v>
      </c>
      <c r="Y45" s="205">
        <f t="shared" si="30"/>
        <v>94.828867384113096</v>
      </c>
    </row>
    <row r="46" spans="1:25">
      <c r="A46" s="45" t="s">
        <v>981</v>
      </c>
      <c r="D46">
        <v>700</v>
      </c>
      <c r="F46">
        <v>5.3999999999999999E-2</v>
      </c>
      <c r="G46">
        <v>2.5</v>
      </c>
      <c r="H46" s="1">
        <f t="shared" si="17"/>
        <v>9.6659999999999986E-6</v>
      </c>
      <c r="I46" s="43">
        <f t="shared" si="1"/>
        <v>4.5422460540540537E-4</v>
      </c>
      <c r="J46" s="1">
        <f t="shared" si="15"/>
        <v>7.1820000000000004E-8</v>
      </c>
      <c r="K46" s="1">
        <f t="shared" si="16"/>
        <v>1.4364E-5</v>
      </c>
      <c r="L46" s="43">
        <f t="shared" si="18"/>
        <v>1.6743783783783781E-3</v>
      </c>
      <c r="M46" s="43">
        <f t="shared" si="19"/>
        <v>8.1625945945945936E-4</v>
      </c>
      <c r="N46" s="43">
        <f t="shared" si="20"/>
        <v>1.1162522522522522E-5</v>
      </c>
      <c r="O46" s="43">
        <f t="shared" si="21"/>
        <v>1.0903898856840032E-2</v>
      </c>
      <c r="P46" s="43">
        <f t="shared" si="22"/>
        <v>0.91413672496025422</v>
      </c>
      <c r="Q46" s="43">
        <v>35.36</v>
      </c>
      <c r="R46" s="43">
        <f t="shared" si="23"/>
        <v>0.36011446740858505</v>
      </c>
      <c r="S46" s="43">
        <f t="shared" si="24"/>
        <v>43.952432432432431</v>
      </c>
      <c r="T46" s="43">
        <f t="shared" si="25"/>
        <v>87.904864864864862</v>
      </c>
      <c r="U46" s="43">
        <f t="shared" si="26"/>
        <v>2.2198198198198195E-4</v>
      </c>
      <c r="V46" s="43">
        <f t="shared" si="27"/>
        <v>1.3953153153153152E-5</v>
      </c>
      <c r="W46" s="43">
        <f t="shared" si="28"/>
        <v>1.5855855855855853E-4</v>
      </c>
      <c r="X46" s="43">
        <f t="shared" si="29"/>
        <v>1.5855855855855853E-13</v>
      </c>
      <c r="Y46" s="205">
        <f t="shared" si="30"/>
        <v>94.689438184113115</v>
      </c>
    </row>
    <row r="47" spans="1:25">
      <c r="A47" s="45" t="s">
        <v>982</v>
      </c>
      <c r="D47">
        <v>700</v>
      </c>
      <c r="F47">
        <v>0.11799999999999999</v>
      </c>
      <c r="G47">
        <v>2.5</v>
      </c>
      <c r="H47" s="1">
        <f t="shared" si="17"/>
        <v>2.1121999999999999E-5</v>
      </c>
      <c r="I47" s="43">
        <f t="shared" si="1"/>
        <v>4.5422460540540537E-4</v>
      </c>
      <c r="J47" s="1">
        <f t="shared" si="15"/>
        <v>1.5694E-7</v>
      </c>
      <c r="K47" s="1">
        <f t="shared" si="16"/>
        <v>3.1387999999999998E-5</v>
      </c>
      <c r="L47" s="43">
        <f t="shared" si="18"/>
        <v>1.6743783783783781E-3</v>
      </c>
      <c r="M47" s="43">
        <f t="shared" si="19"/>
        <v>8.1625945945945936E-4</v>
      </c>
      <c r="N47" s="43">
        <f t="shared" si="20"/>
        <v>1.1162522522522522E-5</v>
      </c>
      <c r="O47" s="43">
        <f t="shared" si="21"/>
        <v>1.0903898856840032E-2</v>
      </c>
      <c r="P47" s="43">
        <f t="shared" si="22"/>
        <v>0.91413672496025422</v>
      </c>
      <c r="Q47" s="43">
        <v>36.36</v>
      </c>
      <c r="R47" s="43">
        <f t="shared" si="23"/>
        <v>0.36011446740858505</v>
      </c>
      <c r="S47" s="43">
        <f t="shared" si="24"/>
        <v>43.952432432432431</v>
      </c>
      <c r="T47" s="43">
        <f t="shared" si="25"/>
        <v>87.904864864864862</v>
      </c>
      <c r="U47" s="43">
        <f t="shared" si="26"/>
        <v>2.2198198198198195E-4</v>
      </c>
      <c r="V47" s="43">
        <f t="shared" si="27"/>
        <v>1.3953153153153152E-5</v>
      </c>
      <c r="W47" s="43">
        <f t="shared" si="28"/>
        <v>1.5855855855855853E-4</v>
      </c>
      <c r="X47" s="43">
        <f t="shared" si="29"/>
        <v>1.5855855855855853E-13</v>
      </c>
      <c r="Y47" s="205">
        <f t="shared" si="30"/>
        <v>95.447154984113112</v>
      </c>
    </row>
    <row r="48" spans="1:25">
      <c r="A48" s="45" t="s">
        <v>983</v>
      </c>
      <c r="D48">
        <v>700</v>
      </c>
      <c r="F48">
        <v>0.14000000000000001</v>
      </c>
      <c r="G48">
        <v>2.5</v>
      </c>
      <c r="H48" s="1">
        <f t="shared" si="17"/>
        <v>2.5060000000000001E-5</v>
      </c>
      <c r="I48" s="43">
        <f t="shared" si="1"/>
        <v>4.5422460540540537E-4</v>
      </c>
      <c r="J48" s="1">
        <f t="shared" si="15"/>
        <v>1.8620000000000001E-7</v>
      </c>
      <c r="K48" s="1">
        <f t="shared" si="16"/>
        <v>3.7240000000000003E-5</v>
      </c>
      <c r="L48" s="43">
        <f t="shared" si="18"/>
        <v>1.6743783783783781E-3</v>
      </c>
      <c r="M48" s="43">
        <f t="shared" si="19"/>
        <v>8.1625945945945936E-4</v>
      </c>
      <c r="N48" s="43">
        <f t="shared" si="20"/>
        <v>1.1162522522522522E-5</v>
      </c>
      <c r="O48" s="43">
        <f t="shared" si="21"/>
        <v>1.0903898856840032E-2</v>
      </c>
      <c r="P48" s="43">
        <f t="shared" si="22"/>
        <v>0.91413672496025422</v>
      </c>
      <c r="Q48" s="43">
        <v>37.36</v>
      </c>
      <c r="R48" s="43">
        <f t="shared" si="23"/>
        <v>0.36011446740858505</v>
      </c>
      <c r="S48" s="43">
        <f t="shared" si="24"/>
        <v>43.952432432432431</v>
      </c>
      <c r="T48" s="43">
        <f t="shared" si="25"/>
        <v>87.904864864864862</v>
      </c>
      <c r="U48" s="43">
        <f t="shared" si="26"/>
        <v>2.2198198198198195E-4</v>
      </c>
      <c r="V48" s="43">
        <f t="shared" si="27"/>
        <v>1.3953153153153152E-5</v>
      </c>
      <c r="W48" s="43">
        <f t="shared" si="28"/>
        <v>1.5855855855855853E-4</v>
      </c>
      <c r="X48" s="43">
        <f t="shared" si="29"/>
        <v>1.5855855855855853E-13</v>
      </c>
      <c r="Y48" s="205">
        <f t="shared" si="30"/>
        <v>95.733870134113104</v>
      </c>
    </row>
    <row r="49" spans="1:27">
      <c r="A49" s="45" t="s">
        <v>984</v>
      </c>
      <c r="D49">
        <v>700</v>
      </c>
      <c r="F49">
        <v>0.27</v>
      </c>
      <c r="G49">
        <v>2.5</v>
      </c>
      <c r="H49" s="1">
        <f t="shared" si="17"/>
        <v>4.833E-5</v>
      </c>
      <c r="I49" s="43">
        <f t="shared" si="1"/>
        <v>4.5422460540540537E-4</v>
      </c>
      <c r="J49" s="1">
        <f t="shared" si="15"/>
        <v>3.5910000000000003E-7</v>
      </c>
      <c r="K49" s="1">
        <f t="shared" si="16"/>
        <v>7.1820000000000014E-5</v>
      </c>
      <c r="L49" s="43">
        <f t="shared" si="18"/>
        <v>1.6743783783783781E-3</v>
      </c>
      <c r="M49" s="43">
        <f t="shared" si="19"/>
        <v>8.1625945945945936E-4</v>
      </c>
      <c r="N49" s="43">
        <f t="shared" si="20"/>
        <v>1.1162522522522522E-5</v>
      </c>
      <c r="O49" s="43">
        <f t="shared" si="21"/>
        <v>1.0903898856840032E-2</v>
      </c>
      <c r="P49" s="43">
        <f t="shared" si="22"/>
        <v>0.91413672496025422</v>
      </c>
      <c r="Q49" s="43">
        <v>38.36</v>
      </c>
      <c r="R49" s="43">
        <f t="shared" si="23"/>
        <v>0.36011446740858505</v>
      </c>
      <c r="S49" s="43">
        <f t="shared" si="24"/>
        <v>43.952432432432431</v>
      </c>
      <c r="T49" s="43">
        <f t="shared" si="25"/>
        <v>87.904864864864862</v>
      </c>
      <c r="U49" s="43">
        <f t="shared" si="26"/>
        <v>2.2198198198198195E-4</v>
      </c>
      <c r="V49" s="43">
        <f t="shared" si="27"/>
        <v>1.3953153153153152E-5</v>
      </c>
      <c r="W49" s="43">
        <f t="shared" si="28"/>
        <v>1.5855855855855853E-4</v>
      </c>
      <c r="X49" s="43">
        <f t="shared" si="29"/>
        <v>1.5855855855855853E-13</v>
      </c>
      <c r="Y49" s="205">
        <f t="shared" si="30"/>
        <v>97.231732384113116</v>
      </c>
    </row>
    <row r="50" spans="1:27">
      <c r="A50" s="45" t="s">
        <v>985</v>
      </c>
      <c r="D50">
        <v>700</v>
      </c>
      <c r="F50">
        <v>4.7E-2</v>
      </c>
      <c r="G50">
        <v>2.5</v>
      </c>
      <c r="H50" s="1">
        <f t="shared" si="17"/>
        <v>8.4129999999999989E-6</v>
      </c>
      <c r="I50" s="43">
        <f t="shared" si="1"/>
        <v>4.5422460540540537E-4</v>
      </c>
      <c r="J50" s="1">
        <f t="shared" si="15"/>
        <v>6.2509999999999995E-8</v>
      </c>
      <c r="K50" s="1">
        <f t="shared" si="16"/>
        <v>1.2502E-5</v>
      </c>
      <c r="L50" s="43">
        <f t="shared" si="18"/>
        <v>1.6743783783783781E-3</v>
      </c>
      <c r="M50" s="43">
        <f t="shared" si="19"/>
        <v>8.1625945945945936E-4</v>
      </c>
      <c r="N50" s="43">
        <f t="shared" si="20"/>
        <v>1.1162522522522522E-5</v>
      </c>
      <c r="O50" s="43">
        <f t="shared" si="21"/>
        <v>1.0903898856840032E-2</v>
      </c>
      <c r="P50" s="43">
        <f t="shared" si="22"/>
        <v>0.91413672496025422</v>
      </c>
      <c r="Q50" s="43">
        <v>39.36</v>
      </c>
      <c r="R50" s="43">
        <f t="shared" si="23"/>
        <v>0.36011446740858505</v>
      </c>
      <c r="S50" s="43">
        <f t="shared" si="24"/>
        <v>43.952432432432431</v>
      </c>
      <c r="T50" s="43">
        <f t="shared" si="25"/>
        <v>87.904864864864862</v>
      </c>
      <c r="U50" s="43">
        <f t="shared" si="26"/>
        <v>2.2198198198198195E-4</v>
      </c>
      <c r="V50" s="43">
        <f t="shared" si="27"/>
        <v>1.3953153153153152E-5</v>
      </c>
      <c r="W50" s="43">
        <f t="shared" si="28"/>
        <v>1.5855855855855853E-4</v>
      </c>
      <c r="X50" s="43">
        <f t="shared" si="29"/>
        <v>1.5855855855855853E-13</v>
      </c>
      <c r="Y50" s="205">
        <f t="shared" si="30"/>
        <v>94.770937909113101</v>
      </c>
    </row>
    <row r="51" spans="1:27">
      <c r="A51" s="45" t="s">
        <v>986</v>
      </c>
      <c r="D51">
        <v>700</v>
      </c>
      <c r="F51">
        <v>6.7000000000000004E-2</v>
      </c>
      <c r="G51">
        <v>2.5</v>
      </c>
      <c r="H51" s="1">
        <f t="shared" si="17"/>
        <v>1.1993E-5</v>
      </c>
      <c r="I51" s="43">
        <f t="shared" si="1"/>
        <v>4.5422460540540537E-4</v>
      </c>
      <c r="J51" s="1">
        <f t="shared" si="15"/>
        <v>8.9110000000000008E-8</v>
      </c>
      <c r="K51" s="1">
        <f t="shared" si="16"/>
        <v>1.7822000000000003E-5</v>
      </c>
      <c r="L51" s="43">
        <f t="shared" si="18"/>
        <v>1.6743783783783781E-3</v>
      </c>
      <c r="M51" s="43">
        <f t="shared" si="19"/>
        <v>8.1625945945945936E-4</v>
      </c>
      <c r="N51" s="43">
        <f t="shared" si="20"/>
        <v>1.1162522522522522E-5</v>
      </c>
      <c r="O51" s="43">
        <f t="shared" si="21"/>
        <v>1.0903898856840032E-2</v>
      </c>
      <c r="P51" s="43">
        <f t="shared" si="22"/>
        <v>0.91413672496025422</v>
      </c>
      <c r="Q51" s="43">
        <v>40.36</v>
      </c>
      <c r="R51" s="43">
        <f t="shared" si="23"/>
        <v>0.36011446740858505</v>
      </c>
      <c r="S51" s="43">
        <f t="shared" si="24"/>
        <v>43.952432432432431</v>
      </c>
      <c r="T51" s="43">
        <f t="shared" si="25"/>
        <v>87.904864864864862</v>
      </c>
      <c r="U51" s="43">
        <f t="shared" si="26"/>
        <v>2.2198198198198195E-4</v>
      </c>
      <c r="V51" s="43">
        <f t="shared" si="27"/>
        <v>1.3953153153153152E-5</v>
      </c>
      <c r="W51" s="43">
        <f t="shared" si="28"/>
        <v>1.5855855855855853E-4</v>
      </c>
      <c r="X51" s="43">
        <f t="shared" si="29"/>
        <v>1.5855855855855853E-13</v>
      </c>
      <c r="Y51" s="205">
        <f t="shared" si="30"/>
        <v>95.035224409113113</v>
      </c>
    </row>
    <row r="52" spans="1:27">
      <c r="A52" s="45" t="s">
        <v>987</v>
      </c>
      <c r="D52">
        <v>700</v>
      </c>
      <c r="F52">
        <v>0.63</v>
      </c>
      <c r="G52">
        <v>2.5</v>
      </c>
      <c r="H52" s="1">
        <f t="shared" si="17"/>
        <v>1.1276999999999999E-4</v>
      </c>
      <c r="I52" s="43">
        <f t="shared" si="1"/>
        <v>4.5422460540540537E-4</v>
      </c>
      <c r="J52" s="1">
        <f t="shared" si="15"/>
        <v>8.3789999999999995E-7</v>
      </c>
      <c r="K52" s="1">
        <f t="shared" si="16"/>
        <v>1.6758000000000002E-4</v>
      </c>
      <c r="L52" s="43">
        <f t="shared" ref="L52:L83" si="31">CO2_malnutrition_charfact*D52</f>
        <v>1.6743783783783781E-3</v>
      </c>
      <c r="M52" s="43">
        <f t="shared" ref="M52:M83" si="32">CO2_workingcapacity_charfact*D52</f>
        <v>8.1625945945945936E-4</v>
      </c>
      <c r="N52" s="43">
        <f t="shared" ref="N52:N83" si="33">CO2_diarrhea_charfact*D52</f>
        <v>1.1162522522522522E-5</v>
      </c>
      <c r="O52" s="43">
        <f t="shared" ref="O52:O83" si="34">CO2_crop_charfact</f>
        <v>1.0903898856840032E-2</v>
      </c>
      <c r="P52" s="43">
        <f t="shared" ref="P52:P83" si="35">CO2_fruitandveg_charfact*D52</f>
        <v>0.91413672496025422</v>
      </c>
      <c r="Q52" s="43">
        <v>41.36</v>
      </c>
      <c r="R52" s="43">
        <f t="shared" ref="R52:R83" si="36">CO2_meatandfish_charfact*D52</f>
        <v>0.36011446740858505</v>
      </c>
      <c r="S52" s="43">
        <f t="shared" ref="S52:S83" si="37">CO2_drinkingwater_charfact*D52</f>
        <v>43.952432432432431</v>
      </c>
      <c r="T52" s="43">
        <f t="shared" ref="T52:T83" si="38">CO2_irrigationwater_charfact*D52</f>
        <v>87.904864864864862</v>
      </c>
      <c r="U52" s="43">
        <f t="shared" ref="U52:U83" si="39">CO2_energyaccess_charfact*D52</f>
        <v>2.2198198198198195E-4</v>
      </c>
      <c r="V52" s="43">
        <f t="shared" ref="V52:V83" si="40">CO2_housing_charfact*D52</f>
        <v>1.3953153153153152E-5</v>
      </c>
      <c r="W52" s="43">
        <f t="shared" ref="W52:W83" si="41">CO2_separations_charfact*D52</f>
        <v>1.5855855855855853E-4</v>
      </c>
      <c r="X52" s="43">
        <f t="shared" ref="X52:X83" si="42">CO2_NEX_charfact*D52</f>
        <v>1.5855855855855853E-13</v>
      </c>
      <c r="Y52" s="205">
        <f t="shared" ref="Y52:Y83" si="43">(H52+I52)*YOLLvalue+J52*skincancervalue+K52*Lowvisionvalue+L52*malnutrition+M52*working_capacity+N52*diarrhea+O52*cropvalue+P52*Fruitandveg_value+Q52*woodvalue+R52*fishandmeatvalue+S52*drinkingwatervalue+T52*irrigationwatervalue+U52*energy_access+V52*housingvalue+W52*migrationvalue+X52*speciesvalue</f>
        <v>101.3888893841131</v>
      </c>
    </row>
    <row r="53" spans="1:27">
      <c r="A53" s="45" t="s">
        <v>988</v>
      </c>
      <c r="D53">
        <v>700</v>
      </c>
      <c r="F53">
        <v>7.3999999999999996E-2</v>
      </c>
      <c r="G53">
        <v>2.5</v>
      </c>
      <c r="H53" s="1">
        <f t="shared" si="17"/>
        <v>1.3245999999999998E-5</v>
      </c>
      <c r="I53" s="43">
        <f t="shared" si="1"/>
        <v>4.5422460540540537E-4</v>
      </c>
      <c r="J53" s="1">
        <f t="shared" si="15"/>
        <v>9.8419999999999991E-8</v>
      </c>
      <c r="K53" s="1">
        <f t="shared" si="16"/>
        <v>1.9684E-5</v>
      </c>
      <c r="L53" s="43">
        <f t="shared" si="31"/>
        <v>1.6743783783783781E-3</v>
      </c>
      <c r="M53" s="43">
        <f t="shared" si="32"/>
        <v>8.1625945945945936E-4</v>
      </c>
      <c r="N53" s="43">
        <f t="shared" si="33"/>
        <v>1.1162522522522522E-5</v>
      </c>
      <c r="O53" s="43">
        <f t="shared" si="34"/>
        <v>1.0903898856840032E-2</v>
      </c>
      <c r="P53" s="43">
        <f t="shared" si="35"/>
        <v>0.91413672496025422</v>
      </c>
      <c r="Q53" s="43">
        <v>42.36</v>
      </c>
      <c r="R53" s="43">
        <f t="shared" si="36"/>
        <v>0.36011446740858505</v>
      </c>
      <c r="S53" s="43">
        <f t="shared" si="37"/>
        <v>43.952432432432431</v>
      </c>
      <c r="T53" s="43">
        <f t="shared" si="38"/>
        <v>87.904864864864862</v>
      </c>
      <c r="U53" s="43">
        <f t="shared" si="39"/>
        <v>2.2198198198198195E-4</v>
      </c>
      <c r="V53" s="43">
        <f t="shared" si="40"/>
        <v>1.3953153153153152E-5</v>
      </c>
      <c r="W53" s="43">
        <f t="shared" si="41"/>
        <v>1.5855855855855853E-4</v>
      </c>
      <c r="X53" s="43">
        <f t="shared" si="42"/>
        <v>1.5855855855855853E-13</v>
      </c>
      <c r="Y53" s="205">
        <f t="shared" si="43"/>
        <v>95.193724684113121</v>
      </c>
    </row>
    <row r="54" spans="1:27">
      <c r="A54" s="45" t="s">
        <v>989</v>
      </c>
      <c r="D54">
        <v>700</v>
      </c>
      <c r="F54">
        <v>5.0000000000000001E-3</v>
      </c>
      <c r="G54">
        <v>2</v>
      </c>
      <c r="H54" s="1">
        <f t="shared" si="17"/>
        <v>8.949999999999999E-7</v>
      </c>
      <c r="I54" s="43">
        <f t="shared" si="1"/>
        <v>4.5422460540540537E-4</v>
      </c>
      <c r="J54" s="1">
        <f t="shared" si="15"/>
        <v>6.65E-9</v>
      </c>
      <c r="K54" s="1">
        <f t="shared" si="16"/>
        <v>1.3300000000000002E-6</v>
      </c>
      <c r="L54" s="43">
        <f t="shared" si="31"/>
        <v>1.6743783783783781E-3</v>
      </c>
      <c r="M54" s="43">
        <f t="shared" si="32"/>
        <v>8.1625945945945936E-4</v>
      </c>
      <c r="N54" s="43">
        <f t="shared" si="33"/>
        <v>1.1162522522522522E-5</v>
      </c>
      <c r="O54" s="43">
        <f t="shared" si="34"/>
        <v>1.0903898856840032E-2</v>
      </c>
      <c r="P54" s="43">
        <f t="shared" si="35"/>
        <v>0.91413672496025422</v>
      </c>
      <c r="Q54" s="43">
        <v>43.36</v>
      </c>
      <c r="R54" s="43">
        <f t="shared" si="36"/>
        <v>0.36011446740858505</v>
      </c>
      <c r="S54" s="43">
        <f t="shared" si="37"/>
        <v>43.952432432432431</v>
      </c>
      <c r="T54" s="43">
        <f t="shared" si="38"/>
        <v>87.904864864864862</v>
      </c>
      <c r="U54" s="43">
        <f t="shared" si="39"/>
        <v>2.2198198198198195E-4</v>
      </c>
      <c r="V54" s="43">
        <f t="shared" si="40"/>
        <v>1.3953153153153152E-5</v>
      </c>
      <c r="W54" s="43">
        <f t="shared" si="41"/>
        <v>1.5855855855855853E-4</v>
      </c>
      <c r="X54" s="43">
        <f t="shared" si="42"/>
        <v>1.5855855855855853E-13</v>
      </c>
      <c r="Y54" s="205">
        <f t="shared" si="43"/>
        <v>94.459936259113093</v>
      </c>
    </row>
    <row r="55" spans="1:27">
      <c r="A55" s="45" t="s">
        <v>990</v>
      </c>
      <c r="D55">
        <v>700</v>
      </c>
      <c r="F55">
        <v>2.1999999999999999E-2</v>
      </c>
      <c r="G55">
        <v>2</v>
      </c>
      <c r="H55" s="1">
        <f t="shared" si="17"/>
        <v>3.9379999999999994E-6</v>
      </c>
      <c r="I55" s="43">
        <f t="shared" si="1"/>
        <v>4.5422460540540537E-4</v>
      </c>
      <c r="J55" s="1">
        <f t="shared" si="15"/>
        <v>2.9259999999999999E-8</v>
      </c>
      <c r="K55" s="1">
        <f t="shared" si="16"/>
        <v>5.852E-6</v>
      </c>
      <c r="L55" s="43">
        <f t="shared" si="31"/>
        <v>1.6743783783783781E-3</v>
      </c>
      <c r="M55" s="43">
        <f t="shared" si="32"/>
        <v>8.1625945945945936E-4</v>
      </c>
      <c r="N55" s="43">
        <f t="shared" si="33"/>
        <v>1.1162522522522522E-5</v>
      </c>
      <c r="O55" s="43">
        <f t="shared" si="34"/>
        <v>1.0903898856840032E-2</v>
      </c>
      <c r="P55" s="43">
        <f t="shared" si="35"/>
        <v>0.91413672496025422</v>
      </c>
      <c r="Q55" s="43">
        <v>44.36</v>
      </c>
      <c r="R55" s="43">
        <f t="shared" si="36"/>
        <v>0.36011446740858505</v>
      </c>
      <c r="S55" s="43">
        <f t="shared" si="37"/>
        <v>43.952432432432431</v>
      </c>
      <c r="T55" s="43">
        <f t="shared" si="38"/>
        <v>87.904864864864862</v>
      </c>
      <c r="U55" s="43">
        <f t="shared" si="39"/>
        <v>2.2198198198198195E-4</v>
      </c>
      <c r="V55" s="43">
        <f t="shared" si="40"/>
        <v>1.3953153153153152E-5</v>
      </c>
      <c r="W55" s="43">
        <f t="shared" si="41"/>
        <v>1.5855855855855853E-4</v>
      </c>
      <c r="X55" s="43">
        <f t="shared" si="42"/>
        <v>1.5855855855855853E-13</v>
      </c>
      <c r="Y55" s="205">
        <f t="shared" si="43"/>
        <v>94.690579784113112</v>
      </c>
    </row>
    <row r="56" spans="1:27">
      <c r="A56" s="45" t="s">
        <v>991</v>
      </c>
      <c r="D56">
        <v>700</v>
      </c>
      <c r="F56">
        <v>1.6E-2</v>
      </c>
      <c r="G56">
        <v>2</v>
      </c>
      <c r="H56" s="1">
        <f t="shared" si="17"/>
        <v>2.864E-6</v>
      </c>
      <c r="I56" s="43">
        <f t="shared" si="1"/>
        <v>4.5422460540540537E-4</v>
      </c>
      <c r="J56" s="1">
        <f t="shared" si="15"/>
        <v>2.1279999999999999E-8</v>
      </c>
      <c r="K56" s="1">
        <f t="shared" si="16"/>
        <v>4.2560000000000004E-6</v>
      </c>
      <c r="L56" s="43">
        <f t="shared" si="31"/>
        <v>1.6743783783783781E-3</v>
      </c>
      <c r="M56" s="43">
        <f t="shared" si="32"/>
        <v>8.1625945945945936E-4</v>
      </c>
      <c r="N56" s="43">
        <f t="shared" si="33"/>
        <v>1.1162522522522522E-5</v>
      </c>
      <c r="O56" s="43">
        <f t="shared" si="34"/>
        <v>1.0903898856840032E-2</v>
      </c>
      <c r="P56" s="43">
        <f t="shared" si="35"/>
        <v>0.91413672496025422</v>
      </c>
      <c r="Q56" s="43">
        <v>45.36</v>
      </c>
      <c r="R56" s="43">
        <f t="shared" si="36"/>
        <v>0.36011446740858505</v>
      </c>
      <c r="S56" s="43">
        <f t="shared" si="37"/>
        <v>43.952432432432431</v>
      </c>
      <c r="T56" s="43">
        <f t="shared" si="38"/>
        <v>87.904864864864862</v>
      </c>
      <c r="U56" s="43">
        <f t="shared" si="39"/>
        <v>2.2198198198198195E-4</v>
      </c>
      <c r="V56" s="43">
        <f t="shared" si="40"/>
        <v>1.3953153153153152E-5</v>
      </c>
      <c r="W56" s="43">
        <f t="shared" si="41"/>
        <v>1.5855855855855853E-4</v>
      </c>
      <c r="X56" s="43">
        <f t="shared" si="42"/>
        <v>1.5855855855855853E-13</v>
      </c>
      <c r="Y56" s="205">
        <f t="shared" si="43"/>
        <v>94.663293834113105</v>
      </c>
    </row>
    <row r="57" spans="1:27">
      <c r="A57" s="45" t="s">
        <v>992</v>
      </c>
      <c r="D57">
        <v>700</v>
      </c>
      <c r="F57">
        <v>1.0999999999999999E-2</v>
      </c>
      <c r="G57">
        <v>2</v>
      </c>
      <c r="H57" s="1">
        <f t="shared" si="17"/>
        <v>1.9689999999999997E-6</v>
      </c>
      <c r="I57" s="43">
        <f t="shared" si="1"/>
        <v>4.5422460540540537E-4</v>
      </c>
      <c r="J57" s="1">
        <f t="shared" si="15"/>
        <v>1.4629999999999999E-8</v>
      </c>
      <c r="K57" s="1">
        <f t="shared" si="16"/>
        <v>2.926E-6</v>
      </c>
      <c r="L57" s="43">
        <f t="shared" si="31"/>
        <v>1.6743783783783781E-3</v>
      </c>
      <c r="M57" s="43">
        <f t="shared" si="32"/>
        <v>8.1625945945945936E-4</v>
      </c>
      <c r="N57" s="43">
        <f t="shared" si="33"/>
        <v>1.1162522522522522E-5</v>
      </c>
      <c r="O57" s="43">
        <f t="shared" si="34"/>
        <v>1.0903898856840032E-2</v>
      </c>
      <c r="P57" s="43">
        <f t="shared" si="35"/>
        <v>0.91413672496025422</v>
      </c>
      <c r="Q57" s="43">
        <v>46.36</v>
      </c>
      <c r="R57" s="43">
        <f t="shared" si="36"/>
        <v>0.36011446740858505</v>
      </c>
      <c r="S57" s="43">
        <f t="shared" si="37"/>
        <v>43.952432432432431</v>
      </c>
      <c r="T57" s="43">
        <f t="shared" si="38"/>
        <v>87.904864864864862</v>
      </c>
      <c r="U57" s="43">
        <f t="shared" si="39"/>
        <v>2.2198198198198195E-4</v>
      </c>
      <c r="V57" s="43">
        <f t="shared" si="40"/>
        <v>1.3953153153153152E-5</v>
      </c>
      <c r="W57" s="43">
        <f t="shared" si="41"/>
        <v>1.5855855855855853E-4</v>
      </c>
      <c r="X57" s="43">
        <f t="shared" si="42"/>
        <v>1.5855855855855853E-13</v>
      </c>
      <c r="Y57" s="205">
        <f t="shared" si="43"/>
        <v>94.64722220911311</v>
      </c>
    </row>
    <row r="58" spans="1:27">
      <c r="A58" s="45" t="s">
        <v>993</v>
      </c>
      <c r="D58">
        <v>700</v>
      </c>
      <c r="F58">
        <v>1.0999999999999999E-2</v>
      </c>
      <c r="G58">
        <v>2</v>
      </c>
      <c r="H58" s="1">
        <f t="shared" si="17"/>
        <v>1.9689999999999997E-6</v>
      </c>
      <c r="I58" s="43">
        <f t="shared" si="1"/>
        <v>4.5422460540540537E-4</v>
      </c>
      <c r="J58" s="1">
        <f t="shared" si="15"/>
        <v>1.4629999999999999E-8</v>
      </c>
      <c r="K58" s="1">
        <f t="shared" si="16"/>
        <v>2.926E-6</v>
      </c>
      <c r="L58" s="43">
        <f t="shared" si="31"/>
        <v>1.6743783783783781E-3</v>
      </c>
      <c r="M58" s="43">
        <f t="shared" si="32"/>
        <v>8.1625945945945936E-4</v>
      </c>
      <c r="N58" s="43">
        <f t="shared" si="33"/>
        <v>1.1162522522522522E-5</v>
      </c>
      <c r="O58" s="43">
        <f t="shared" si="34"/>
        <v>1.0903898856840032E-2</v>
      </c>
      <c r="P58" s="43">
        <f t="shared" si="35"/>
        <v>0.91413672496025422</v>
      </c>
      <c r="Q58" s="43">
        <v>47.36</v>
      </c>
      <c r="R58" s="43">
        <f t="shared" si="36"/>
        <v>0.36011446740858505</v>
      </c>
      <c r="S58" s="43">
        <f t="shared" si="37"/>
        <v>43.952432432432431</v>
      </c>
      <c r="T58" s="43">
        <f t="shared" si="38"/>
        <v>87.904864864864862</v>
      </c>
      <c r="U58" s="43">
        <f t="shared" si="39"/>
        <v>2.2198198198198195E-4</v>
      </c>
      <c r="V58" s="43">
        <f t="shared" si="40"/>
        <v>1.3953153153153152E-5</v>
      </c>
      <c r="W58" s="43">
        <f t="shared" si="41"/>
        <v>1.5855855855855853E-4</v>
      </c>
      <c r="X58" s="43">
        <f t="shared" si="42"/>
        <v>1.5855855855855853E-13</v>
      </c>
      <c r="Y58" s="205">
        <f t="shared" si="43"/>
        <v>94.687222209113116</v>
      </c>
    </row>
    <row r="59" spans="1:27">
      <c r="A59" s="45" t="s">
        <v>966</v>
      </c>
      <c r="D59">
        <v>700</v>
      </c>
      <c r="F59">
        <v>1.4999999999999999E-2</v>
      </c>
      <c r="G59">
        <v>2.5</v>
      </c>
      <c r="H59" s="1">
        <f t="shared" si="17"/>
        <v>2.6849999999999997E-6</v>
      </c>
      <c r="I59" s="43">
        <f t="shared" si="1"/>
        <v>4.5422460540540537E-4</v>
      </c>
      <c r="J59" s="1">
        <f t="shared" si="15"/>
        <v>1.995E-8</v>
      </c>
      <c r="K59" s="1">
        <f t="shared" si="16"/>
        <v>3.9899999999999999E-6</v>
      </c>
      <c r="L59" s="43">
        <f t="shared" si="31"/>
        <v>1.6743783783783781E-3</v>
      </c>
      <c r="M59" s="43">
        <f t="shared" si="32"/>
        <v>8.1625945945945936E-4</v>
      </c>
      <c r="N59" s="43">
        <f t="shared" si="33"/>
        <v>1.1162522522522522E-5</v>
      </c>
      <c r="O59" s="43">
        <f t="shared" si="34"/>
        <v>1.0903898856840032E-2</v>
      </c>
      <c r="P59" s="43">
        <f t="shared" si="35"/>
        <v>0.91413672496025422</v>
      </c>
      <c r="Q59" s="43">
        <v>48.36</v>
      </c>
      <c r="R59" s="43">
        <f t="shared" si="36"/>
        <v>0.36011446740858505</v>
      </c>
      <c r="S59" s="43">
        <f t="shared" si="37"/>
        <v>43.952432432432431</v>
      </c>
      <c r="T59" s="43">
        <f t="shared" si="38"/>
        <v>87.904864864864862</v>
      </c>
      <c r="U59" s="43">
        <f t="shared" si="39"/>
        <v>2.2198198198198195E-4</v>
      </c>
      <c r="V59" s="43">
        <f t="shared" si="40"/>
        <v>1.3953153153153152E-5</v>
      </c>
      <c r="W59" s="43">
        <f t="shared" si="41"/>
        <v>1.5855855855855853E-4</v>
      </c>
      <c r="X59" s="43">
        <f t="shared" si="42"/>
        <v>1.5855855855855853E-13</v>
      </c>
      <c r="Y59" s="205">
        <f t="shared" si="43"/>
        <v>94.772079509113098</v>
      </c>
    </row>
    <row r="60" spans="1:27" s="8" customFormat="1">
      <c r="A60" s="8" t="s">
        <v>491</v>
      </c>
      <c r="B60"/>
      <c r="C60"/>
      <c r="D60" s="8">
        <v>93</v>
      </c>
      <c r="E60" s="8">
        <v>1.3</v>
      </c>
      <c r="F60" s="8">
        <v>0.02</v>
      </c>
      <c r="H60" s="1">
        <f t="shared" si="17"/>
        <v>3.5799999999999996E-6</v>
      </c>
      <c r="I60" s="43">
        <f t="shared" si="1"/>
        <v>6.0346983289575286E-5</v>
      </c>
      <c r="J60" s="1">
        <f t="shared" si="15"/>
        <v>2.66E-8</v>
      </c>
      <c r="K60" s="1">
        <f t="shared" si="16"/>
        <v>5.3200000000000007E-6</v>
      </c>
      <c r="L60" s="43">
        <f t="shared" si="31"/>
        <v>2.2245312741312736E-4</v>
      </c>
      <c r="M60" s="43">
        <f t="shared" si="32"/>
        <v>1.0844589961389959E-4</v>
      </c>
      <c r="N60" s="43">
        <f t="shared" si="33"/>
        <v>1.4830208494208493E-6</v>
      </c>
      <c r="O60" s="43">
        <f t="shared" si="34"/>
        <v>1.0903898856840032E-2</v>
      </c>
      <c r="P60" s="43">
        <f t="shared" si="35"/>
        <v>0.1214495934590052</v>
      </c>
      <c r="Q60" s="43">
        <v>49.36</v>
      </c>
      <c r="R60" s="43">
        <f t="shared" si="36"/>
        <v>4.7843779241426306E-2</v>
      </c>
      <c r="S60" s="43">
        <f t="shared" si="37"/>
        <v>5.8393945945945944</v>
      </c>
      <c r="T60" s="43">
        <f t="shared" si="38"/>
        <v>11.678789189189189</v>
      </c>
      <c r="U60" s="43">
        <f t="shared" si="39"/>
        <v>2.9491891891891887E-5</v>
      </c>
      <c r="V60" s="43">
        <f t="shared" si="40"/>
        <v>1.8537760617760616E-6</v>
      </c>
      <c r="W60" s="43">
        <f t="shared" si="41"/>
        <v>2.1065637065637062E-5</v>
      </c>
      <c r="X60" s="43">
        <f t="shared" si="42"/>
        <v>2.1065637065637063E-14</v>
      </c>
      <c r="Y60" s="205">
        <f t="shared" si="43"/>
        <v>14.512566953751225</v>
      </c>
      <c r="AA60" s="144"/>
    </row>
    <row r="61" spans="1:27" s="8" customFormat="1">
      <c r="A61" s="8" t="s">
        <v>492</v>
      </c>
      <c r="B61"/>
      <c r="C61"/>
      <c r="D61" s="8">
        <v>480</v>
      </c>
      <c r="E61" s="8">
        <v>1.3</v>
      </c>
      <c r="F61" s="8">
        <v>2.1999999999999999E-2</v>
      </c>
      <c r="H61" s="1">
        <f t="shared" si="17"/>
        <v>3.9379999999999994E-6</v>
      </c>
      <c r="I61" s="43">
        <f t="shared" si="1"/>
        <v>3.1146830084942081E-4</v>
      </c>
      <c r="J61" s="1">
        <f t="shared" si="15"/>
        <v>2.9259999999999999E-8</v>
      </c>
      <c r="K61" s="1">
        <f t="shared" si="16"/>
        <v>5.852E-6</v>
      </c>
      <c r="L61" s="43">
        <f t="shared" si="31"/>
        <v>1.1481451737451736E-3</v>
      </c>
      <c r="M61" s="43">
        <f t="shared" si="32"/>
        <v>5.5972077220077206E-4</v>
      </c>
      <c r="N61" s="43">
        <f t="shared" si="33"/>
        <v>7.6543011583011574E-6</v>
      </c>
      <c r="O61" s="43">
        <f t="shared" si="34"/>
        <v>1.0903898856840032E-2</v>
      </c>
      <c r="P61" s="43">
        <f t="shared" si="35"/>
        <v>0.62683661140131719</v>
      </c>
      <c r="Q61" s="43">
        <v>50.36</v>
      </c>
      <c r="R61" s="43">
        <f t="shared" si="36"/>
        <v>0.24693563479445835</v>
      </c>
      <c r="S61" s="43">
        <f t="shared" si="37"/>
        <v>30.13881081081081</v>
      </c>
      <c r="T61" s="43">
        <f t="shared" si="38"/>
        <v>60.27762162162162</v>
      </c>
      <c r="U61" s="43">
        <f t="shared" si="39"/>
        <v>1.522162162162162E-4</v>
      </c>
      <c r="V61" s="43">
        <f t="shared" si="40"/>
        <v>9.567876447876448E-6</v>
      </c>
      <c r="W61" s="43">
        <f t="shared" si="41"/>
        <v>1.0872586872586871E-4</v>
      </c>
      <c r="X61" s="43">
        <f t="shared" si="42"/>
        <v>1.0872586872586871E-13</v>
      </c>
      <c r="Y61" s="205">
        <f t="shared" si="43"/>
        <v>65.806644825827078</v>
      </c>
      <c r="AA61" s="144"/>
    </row>
    <row r="62" spans="1:27" s="8" customFormat="1">
      <c r="A62" s="8" t="s">
        <v>493</v>
      </c>
      <c r="B62"/>
      <c r="C62"/>
      <c r="D62" s="8">
        <v>630</v>
      </c>
      <c r="E62" s="8">
        <v>1.3</v>
      </c>
      <c r="F62" s="8">
        <v>0.11</v>
      </c>
      <c r="H62" s="1">
        <f t="shared" si="17"/>
        <v>1.969E-5</v>
      </c>
      <c r="I62" s="43">
        <f t="shared" si="1"/>
        <v>4.0880214486486483E-4</v>
      </c>
      <c r="J62" s="1">
        <f t="shared" si="15"/>
        <v>1.4630000000000001E-7</v>
      </c>
      <c r="K62" s="1">
        <f t="shared" si="16"/>
        <v>2.9260000000000001E-5</v>
      </c>
      <c r="L62" s="43">
        <f t="shared" si="31"/>
        <v>1.5069405405405403E-3</v>
      </c>
      <c r="M62" s="43">
        <f t="shared" si="32"/>
        <v>7.3463351351351345E-4</v>
      </c>
      <c r="N62" s="43">
        <f t="shared" si="33"/>
        <v>1.004627027027027E-5</v>
      </c>
      <c r="O62" s="43">
        <f t="shared" si="34"/>
        <v>1.0903898856840032E-2</v>
      </c>
      <c r="P62" s="43">
        <f t="shared" si="35"/>
        <v>0.82272305246422883</v>
      </c>
      <c r="Q62" s="43">
        <v>51.36</v>
      </c>
      <c r="R62" s="43">
        <f t="shared" si="36"/>
        <v>0.32410302066772656</v>
      </c>
      <c r="S62" s="43">
        <f t="shared" si="37"/>
        <v>39.557189189189188</v>
      </c>
      <c r="T62" s="43">
        <f t="shared" si="38"/>
        <v>79.114378378378376</v>
      </c>
      <c r="U62" s="43">
        <f t="shared" si="39"/>
        <v>1.9978378378378376E-4</v>
      </c>
      <c r="V62" s="43">
        <f t="shared" si="40"/>
        <v>1.2557837837837837E-5</v>
      </c>
      <c r="W62" s="43">
        <f t="shared" si="41"/>
        <v>1.4270270270270267E-4</v>
      </c>
      <c r="X62" s="43">
        <f t="shared" si="42"/>
        <v>1.427027027027027E-13</v>
      </c>
      <c r="Y62" s="205">
        <f t="shared" si="43"/>
        <v>86.690733806476644</v>
      </c>
      <c r="AA62" s="144"/>
    </row>
    <row r="63" spans="1:27" s="8" customFormat="1">
      <c r="A63" s="8" t="s">
        <v>494</v>
      </c>
      <c r="B63"/>
      <c r="C63"/>
      <c r="D63" s="8">
        <v>2000</v>
      </c>
      <c r="E63" s="8">
        <v>1.3</v>
      </c>
      <c r="F63" s="8">
        <v>6.5000000000000002E-2</v>
      </c>
      <c r="H63" s="1">
        <f t="shared" si="17"/>
        <v>1.1635E-5</v>
      </c>
      <c r="I63" s="43">
        <f t="shared" si="1"/>
        <v>1.2977845868725867E-3</v>
      </c>
      <c r="J63" s="1">
        <f t="shared" si="15"/>
        <v>8.6449999999999997E-8</v>
      </c>
      <c r="K63" s="1">
        <f t="shared" si="16"/>
        <v>1.7290000000000002E-5</v>
      </c>
      <c r="L63" s="43">
        <f t="shared" si="31"/>
        <v>4.7839382239382227E-3</v>
      </c>
      <c r="M63" s="43">
        <f t="shared" si="32"/>
        <v>2.3321698841698838E-3</v>
      </c>
      <c r="N63" s="43">
        <f t="shared" si="33"/>
        <v>3.1892921492921491E-5</v>
      </c>
      <c r="O63" s="43">
        <f t="shared" si="34"/>
        <v>1.0903898856840032E-2</v>
      </c>
      <c r="P63" s="43">
        <f t="shared" si="35"/>
        <v>2.6118192141721548</v>
      </c>
      <c r="Q63" s="43">
        <v>52.36</v>
      </c>
      <c r="R63" s="43">
        <f t="shared" si="36"/>
        <v>1.0288984783102431</v>
      </c>
      <c r="S63" s="43">
        <f t="shared" si="37"/>
        <v>125.57837837837837</v>
      </c>
      <c r="T63" s="43">
        <f t="shared" si="38"/>
        <v>251.15675675675675</v>
      </c>
      <c r="U63" s="43">
        <f t="shared" si="39"/>
        <v>6.3423423423423413E-4</v>
      </c>
      <c r="V63" s="43">
        <f t="shared" si="40"/>
        <v>3.9866151866151864E-5</v>
      </c>
      <c r="W63" s="43">
        <f t="shared" si="41"/>
        <v>4.5302445302445297E-4</v>
      </c>
      <c r="X63" s="43">
        <f t="shared" si="42"/>
        <v>4.5302445302445299E-13</v>
      </c>
      <c r="Y63" s="205">
        <f t="shared" si="43"/>
        <v>267.58877505807584</v>
      </c>
      <c r="AA63" s="144"/>
    </row>
    <row r="64" spans="1:27" s="8" customFormat="1">
      <c r="A64" s="8" t="s">
        <v>495</v>
      </c>
      <c r="B64"/>
      <c r="C64"/>
      <c r="D64" s="8">
        <v>170</v>
      </c>
      <c r="E64" s="8">
        <v>1.3</v>
      </c>
      <c r="F64" s="8">
        <v>2.5000000000000001E-2</v>
      </c>
      <c r="H64" s="1">
        <f t="shared" si="17"/>
        <v>4.4749999999999995E-6</v>
      </c>
      <c r="I64" s="43">
        <f t="shared" si="1"/>
        <v>1.1031168988416987E-4</v>
      </c>
      <c r="J64" s="1">
        <f t="shared" si="15"/>
        <v>3.3250000000000003E-8</v>
      </c>
      <c r="K64" s="1">
        <f t="shared" si="16"/>
        <v>6.6500000000000007E-6</v>
      </c>
      <c r="L64" s="43">
        <f t="shared" si="31"/>
        <v>4.0663474903474895E-4</v>
      </c>
      <c r="M64" s="43">
        <f t="shared" si="32"/>
        <v>1.9823444015444012E-4</v>
      </c>
      <c r="N64" s="43">
        <f t="shared" si="33"/>
        <v>2.7108983268983265E-6</v>
      </c>
      <c r="O64" s="43">
        <f t="shared" si="34"/>
        <v>1.0903898856840032E-2</v>
      </c>
      <c r="P64" s="43">
        <f t="shared" si="35"/>
        <v>0.22200463320463315</v>
      </c>
      <c r="Q64" s="43">
        <v>53.36</v>
      </c>
      <c r="R64" s="43">
        <f t="shared" si="36"/>
        <v>8.7456370656370658E-2</v>
      </c>
      <c r="S64" s="43">
        <f t="shared" si="37"/>
        <v>10.674162162162162</v>
      </c>
      <c r="T64" s="43">
        <f t="shared" si="38"/>
        <v>21.348324324324324</v>
      </c>
      <c r="U64" s="43">
        <f t="shared" si="39"/>
        <v>5.3909909909909899E-5</v>
      </c>
      <c r="V64" s="43">
        <f t="shared" si="40"/>
        <v>3.3886229086229086E-6</v>
      </c>
      <c r="W64" s="43">
        <f t="shared" si="41"/>
        <v>3.8507078507078499E-5</v>
      </c>
      <c r="X64" s="43">
        <f t="shared" si="42"/>
        <v>3.8507078507078503E-14</v>
      </c>
      <c r="Y64" s="205">
        <f t="shared" si="43"/>
        <v>24.922015814151333</v>
      </c>
      <c r="AA64" s="144"/>
    </row>
    <row r="65" spans="1:27" s="8" customFormat="1">
      <c r="A65" s="8" t="s">
        <v>496</v>
      </c>
      <c r="B65"/>
      <c r="C65"/>
      <c r="D65" s="8">
        <v>530</v>
      </c>
      <c r="E65" s="8">
        <v>1.3</v>
      </c>
      <c r="F65" s="8">
        <v>3.3000000000000002E-2</v>
      </c>
      <c r="H65" s="1">
        <f t="shared" si="17"/>
        <v>5.9069999999999995E-6</v>
      </c>
      <c r="I65" s="43">
        <f t="shared" si="1"/>
        <v>3.4391291552123547E-4</v>
      </c>
      <c r="J65" s="1">
        <f t="shared" si="15"/>
        <v>4.3889999999999998E-8</v>
      </c>
      <c r="K65" s="1">
        <f t="shared" si="16"/>
        <v>8.7780000000000013E-6</v>
      </c>
      <c r="L65" s="43">
        <f t="shared" si="31"/>
        <v>1.2677436293436291E-3</v>
      </c>
      <c r="M65" s="43">
        <f t="shared" si="32"/>
        <v>6.1802501930501919E-4</v>
      </c>
      <c r="N65" s="43">
        <f t="shared" si="33"/>
        <v>8.451624195624195E-6</v>
      </c>
      <c r="O65" s="43">
        <f t="shared" si="34"/>
        <v>1.0903898856840032E-2</v>
      </c>
      <c r="P65" s="43">
        <f t="shared" si="35"/>
        <v>0.69213209175562107</v>
      </c>
      <c r="Q65" s="43">
        <v>54.36</v>
      </c>
      <c r="R65" s="43">
        <f t="shared" si="36"/>
        <v>0.27265809675221442</v>
      </c>
      <c r="S65" s="43">
        <f t="shared" si="37"/>
        <v>33.278270270270269</v>
      </c>
      <c r="T65" s="43">
        <f t="shared" si="38"/>
        <v>66.556540540540539</v>
      </c>
      <c r="U65" s="43">
        <f t="shared" si="39"/>
        <v>1.6807207207207204E-4</v>
      </c>
      <c r="V65" s="43">
        <f t="shared" si="40"/>
        <v>1.0564530244530244E-5</v>
      </c>
      <c r="W65" s="43">
        <f t="shared" si="41"/>
        <v>1.2005148005148003E-4</v>
      </c>
      <c r="X65" s="43">
        <f t="shared" si="42"/>
        <v>1.2005148005148004E-13</v>
      </c>
      <c r="Y65" s="205">
        <f t="shared" si="43"/>
        <v>72.709078527710275</v>
      </c>
      <c r="AA65" s="144"/>
    </row>
    <row r="66" spans="1:27" s="8" customFormat="1">
      <c r="A66" s="48" t="s">
        <v>966</v>
      </c>
      <c r="B66"/>
      <c r="C66"/>
      <c r="D66">
        <v>700</v>
      </c>
      <c r="F66" s="8">
        <v>1.4999999999999999E-2</v>
      </c>
      <c r="H66" s="1">
        <f t="shared" si="17"/>
        <v>2.6849999999999997E-6</v>
      </c>
      <c r="I66" s="43">
        <f t="shared" si="1"/>
        <v>4.5422460540540537E-4</v>
      </c>
      <c r="J66" s="1">
        <f t="shared" si="15"/>
        <v>1.995E-8</v>
      </c>
      <c r="K66" s="1">
        <f t="shared" si="16"/>
        <v>3.9899999999999999E-6</v>
      </c>
      <c r="L66" s="43">
        <f t="shared" si="31"/>
        <v>1.6743783783783781E-3</v>
      </c>
      <c r="M66" s="43">
        <f t="shared" si="32"/>
        <v>8.1625945945945936E-4</v>
      </c>
      <c r="N66" s="43">
        <f t="shared" si="33"/>
        <v>1.1162522522522522E-5</v>
      </c>
      <c r="O66" s="43">
        <f t="shared" si="34"/>
        <v>1.0903898856840032E-2</v>
      </c>
      <c r="P66" s="43">
        <f t="shared" si="35"/>
        <v>0.91413672496025422</v>
      </c>
      <c r="Q66" s="43">
        <v>55.36</v>
      </c>
      <c r="R66" s="43">
        <f t="shared" si="36"/>
        <v>0.36011446740858505</v>
      </c>
      <c r="S66" s="43">
        <f t="shared" si="37"/>
        <v>43.952432432432431</v>
      </c>
      <c r="T66" s="43">
        <f t="shared" si="38"/>
        <v>87.904864864864862</v>
      </c>
      <c r="U66" s="43">
        <f t="shared" si="39"/>
        <v>2.2198198198198195E-4</v>
      </c>
      <c r="V66" s="43">
        <f t="shared" si="40"/>
        <v>1.3953153153153152E-5</v>
      </c>
      <c r="W66" s="43">
        <f t="shared" si="41"/>
        <v>1.5855855855855853E-4</v>
      </c>
      <c r="X66" s="43">
        <f t="shared" si="42"/>
        <v>1.5855855855855853E-13</v>
      </c>
      <c r="Y66" s="205">
        <f t="shared" si="43"/>
        <v>95.052079509113099</v>
      </c>
      <c r="AA66" s="144"/>
    </row>
    <row r="67" spans="1:27">
      <c r="A67" t="s">
        <v>761</v>
      </c>
      <c r="D67">
        <v>2</v>
      </c>
      <c r="E67">
        <v>1.2</v>
      </c>
      <c r="H67" s="1">
        <f t="shared" si="17"/>
        <v>0</v>
      </c>
      <c r="I67" s="43">
        <f t="shared" si="1"/>
        <v>1.2977845868725867E-6</v>
      </c>
      <c r="J67" s="1">
        <f t="shared" si="15"/>
        <v>0</v>
      </c>
      <c r="K67" s="1">
        <f t="shared" si="16"/>
        <v>0</v>
      </c>
      <c r="L67" s="43">
        <f t="shared" si="31"/>
        <v>4.7839382239382231E-6</v>
      </c>
      <c r="M67" s="43">
        <f t="shared" si="32"/>
        <v>2.3321698841698838E-6</v>
      </c>
      <c r="N67" s="43">
        <f t="shared" si="33"/>
        <v>3.1892921492921491E-8</v>
      </c>
      <c r="O67" s="43">
        <f t="shared" si="34"/>
        <v>1.0903898856840032E-2</v>
      </c>
      <c r="P67" s="43">
        <f t="shared" si="35"/>
        <v>2.6118192141721549E-3</v>
      </c>
      <c r="Q67" s="43">
        <v>56.36</v>
      </c>
      <c r="R67" s="43">
        <f t="shared" si="36"/>
        <v>1.0288984783102431E-3</v>
      </c>
      <c r="S67" s="43">
        <f t="shared" si="37"/>
        <v>0.12557837837837837</v>
      </c>
      <c r="T67" s="43">
        <f t="shared" si="38"/>
        <v>0.25115675675675675</v>
      </c>
      <c r="U67" s="43">
        <f t="shared" si="39"/>
        <v>6.3423423423423414E-7</v>
      </c>
      <c r="V67" s="43">
        <f t="shared" si="40"/>
        <v>3.9866151866151864E-8</v>
      </c>
      <c r="W67" s="43">
        <f t="shared" si="41"/>
        <v>4.5302445302445296E-7</v>
      </c>
      <c r="X67" s="43">
        <f t="shared" si="42"/>
        <v>4.5302445302445297E-16</v>
      </c>
      <c r="Y67" s="205">
        <f t="shared" si="43"/>
        <v>2.5215619028238323</v>
      </c>
    </row>
    <row r="68" spans="1:27">
      <c r="A68" s="45" t="s">
        <v>276</v>
      </c>
      <c r="D68">
        <v>13856</v>
      </c>
      <c r="E68">
        <v>1.2</v>
      </c>
      <c r="H68" s="1">
        <f t="shared" ref="H68:H109" si="44">F68*0.000179</f>
        <v>0</v>
      </c>
      <c r="I68" s="43">
        <f t="shared" ref="I68:I131" si="45">charco2yoll*D68</f>
        <v>8.9910516178532806E-3</v>
      </c>
      <c r="J68" s="1">
        <f t="shared" si="15"/>
        <v>0</v>
      </c>
      <c r="K68" s="1">
        <f t="shared" si="16"/>
        <v>0</v>
      </c>
      <c r="L68" s="43">
        <f t="shared" si="31"/>
        <v>3.314312401544401E-2</v>
      </c>
      <c r="M68" s="43">
        <f t="shared" si="32"/>
        <v>1.6157272957528956E-2</v>
      </c>
      <c r="N68" s="43">
        <f t="shared" si="33"/>
        <v>2.2095416010296009E-4</v>
      </c>
      <c r="O68" s="43">
        <f t="shared" si="34"/>
        <v>1.0903898856840032E-2</v>
      </c>
      <c r="P68" s="43">
        <f t="shared" si="35"/>
        <v>18.094683515784688</v>
      </c>
      <c r="Q68" s="43">
        <v>57.36</v>
      </c>
      <c r="R68" s="43">
        <f t="shared" si="36"/>
        <v>7.1282086577333637</v>
      </c>
      <c r="S68" s="43">
        <f t="shared" si="37"/>
        <v>870.00700540540538</v>
      </c>
      <c r="T68" s="43">
        <f t="shared" si="38"/>
        <v>1740.0140108108108</v>
      </c>
      <c r="U68" s="43">
        <f t="shared" si="39"/>
        <v>4.393974774774774E-3</v>
      </c>
      <c r="V68" s="43">
        <f t="shared" si="40"/>
        <v>2.7619270012870011E-4</v>
      </c>
      <c r="W68" s="43">
        <f t="shared" si="41"/>
        <v>3.1385534105534099E-3</v>
      </c>
      <c r="X68" s="43">
        <f t="shared" si="42"/>
        <v>3.1385534105534103E-12</v>
      </c>
      <c r="Y68" s="205">
        <f t="shared" si="43"/>
        <v>1836.5751751396169</v>
      </c>
    </row>
    <row r="69" spans="1:27">
      <c r="A69" s="45" t="s">
        <v>277</v>
      </c>
      <c r="D69">
        <v>817</v>
      </c>
      <c r="E69">
        <v>1.2</v>
      </c>
      <c r="H69" s="1">
        <f t="shared" si="44"/>
        <v>0</v>
      </c>
      <c r="I69" s="43">
        <f t="shared" si="45"/>
        <v>5.3014500373745163E-4</v>
      </c>
      <c r="J69" s="1">
        <f t="shared" ref="J69:J132" si="46">F69*0.00000133</f>
        <v>0</v>
      </c>
      <c r="K69" s="1">
        <f t="shared" ref="K69:K132" si="47">F69*0.000266</f>
        <v>0</v>
      </c>
      <c r="L69" s="43">
        <f t="shared" si="31"/>
        <v>1.9542387644787642E-3</v>
      </c>
      <c r="M69" s="43">
        <f t="shared" si="32"/>
        <v>9.5269139768339758E-4</v>
      </c>
      <c r="N69" s="43">
        <f t="shared" si="33"/>
        <v>1.3028258429858428E-5</v>
      </c>
      <c r="O69" s="43">
        <f t="shared" si="34"/>
        <v>1.0903898856840032E-2</v>
      </c>
      <c r="P69" s="43">
        <f t="shared" si="35"/>
        <v>1.0669281489893252</v>
      </c>
      <c r="Q69" s="43">
        <v>58.36</v>
      </c>
      <c r="R69" s="43">
        <f t="shared" si="36"/>
        <v>0.42030502838973427</v>
      </c>
      <c r="S69" s="43">
        <f t="shared" si="37"/>
        <v>51.298767567567566</v>
      </c>
      <c r="T69" s="43">
        <f t="shared" si="38"/>
        <v>102.59753513513513</v>
      </c>
      <c r="U69" s="43">
        <f t="shared" si="39"/>
        <v>2.5908468468468463E-4</v>
      </c>
      <c r="V69" s="43">
        <f t="shared" si="40"/>
        <v>1.6285323037323037E-5</v>
      </c>
      <c r="W69" s="43">
        <f t="shared" si="41"/>
        <v>1.8506048906048904E-4</v>
      </c>
      <c r="X69" s="43">
        <f t="shared" si="42"/>
        <v>1.8506048906048905E-13</v>
      </c>
      <c r="Y69" s="205">
        <f t="shared" si="43"/>
        <v>110.49250277101972</v>
      </c>
    </row>
    <row r="70" spans="1:27">
      <c r="A70" s="45" t="s">
        <v>762</v>
      </c>
      <c r="D70">
        <v>141</v>
      </c>
      <c r="E70">
        <v>1.2</v>
      </c>
      <c r="H70" s="1">
        <f t="shared" si="44"/>
        <v>0</v>
      </c>
      <c r="I70" s="43">
        <f t="shared" si="45"/>
        <v>9.149381337451737E-5</v>
      </c>
      <c r="J70" s="1">
        <f t="shared" si="46"/>
        <v>0</v>
      </c>
      <c r="K70" s="1">
        <f t="shared" si="47"/>
        <v>0</v>
      </c>
      <c r="L70" s="43">
        <f t="shared" si="31"/>
        <v>3.3726764478764475E-4</v>
      </c>
      <c r="M70" s="43">
        <f t="shared" si="32"/>
        <v>1.6441797683397681E-4</v>
      </c>
      <c r="N70" s="43">
        <f t="shared" si="33"/>
        <v>2.2484509652509649E-6</v>
      </c>
      <c r="O70" s="43">
        <f t="shared" si="34"/>
        <v>1.0903898856840032E-2</v>
      </c>
      <c r="P70" s="43">
        <f t="shared" si="35"/>
        <v>0.18413325459913693</v>
      </c>
      <c r="Q70" s="43">
        <v>59.36</v>
      </c>
      <c r="R70" s="43">
        <f t="shared" si="36"/>
        <v>7.2537342720872131E-2</v>
      </c>
      <c r="S70" s="43">
        <f t="shared" si="37"/>
        <v>8.8532756756756754</v>
      </c>
      <c r="T70" s="43">
        <f t="shared" si="38"/>
        <v>17.706551351351351</v>
      </c>
      <c r="U70" s="43">
        <f t="shared" si="39"/>
        <v>4.4713513513513508E-5</v>
      </c>
      <c r="V70" s="43">
        <f t="shared" si="40"/>
        <v>2.8105637065637064E-6</v>
      </c>
      <c r="W70" s="43">
        <f t="shared" si="41"/>
        <v>3.1938223938223933E-5</v>
      </c>
      <c r="X70" s="43">
        <f t="shared" si="42"/>
        <v>3.1938223938223935E-14</v>
      </c>
      <c r="Y70" s="205">
        <f t="shared" si="43"/>
        <v>21.042593535559092</v>
      </c>
    </row>
    <row r="71" spans="1:27" s="8" customFormat="1">
      <c r="A71" s="48" t="s">
        <v>278</v>
      </c>
      <c r="B71"/>
      <c r="C71"/>
      <c r="D71" s="8">
        <v>1600</v>
      </c>
      <c r="E71" s="8">
        <v>1.3</v>
      </c>
      <c r="H71" s="1">
        <f t="shared" si="44"/>
        <v>0</v>
      </c>
      <c r="I71" s="43">
        <f t="shared" si="45"/>
        <v>1.0382276694980695E-3</v>
      </c>
      <c r="J71" s="1">
        <f t="shared" si="46"/>
        <v>0</v>
      </c>
      <c r="K71" s="1">
        <f t="shared" si="47"/>
        <v>0</v>
      </c>
      <c r="L71" s="43">
        <f t="shared" si="31"/>
        <v>3.8271505791505787E-3</v>
      </c>
      <c r="M71" s="43">
        <f t="shared" si="32"/>
        <v>1.865735907335907E-3</v>
      </c>
      <c r="N71" s="43">
        <f t="shared" si="33"/>
        <v>2.5514337194337193E-5</v>
      </c>
      <c r="O71" s="43">
        <f t="shared" si="34"/>
        <v>1.0903898856840032E-2</v>
      </c>
      <c r="P71" s="43">
        <f t="shared" si="35"/>
        <v>2.0894553713377237</v>
      </c>
      <c r="Q71" s="43">
        <v>60.36</v>
      </c>
      <c r="R71" s="43">
        <f t="shared" si="36"/>
        <v>0.82311878264819449</v>
      </c>
      <c r="S71" s="43">
        <f t="shared" si="37"/>
        <v>100.4627027027027</v>
      </c>
      <c r="T71" s="43">
        <f t="shared" si="38"/>
        <v>200.9254054054054</v>
      </c>
      <c r="U71" s="43">
        <f t="shared" si="39"/>
        <v>5.0738738738738734E-4</v>
      </c>
      <c r="V71" s="43">
        <f t="shared" si="40"/>
        <v>3.1892921492921491E-5</v>
      </c>
      <c r="W71" s="43">
        <f t="shared" si="41"/>
        <v>3.6241956241956237E-4</v>
      </c>
      <c r="X71" s="43">
        <f t="shared" si="42"/>
        <v>3.6241956241956237E-13</v>
      </c>
      <c r="Y71" s="205">
        <f t="shared" si="43"/>
        <v>214.22723491801045</v>
      </c>
      <c r="AA71" s="144" t="s">
        <v>1047</v>
      </c>
    </row>
    <row r="72" spans="1:27">
      <c r="A72" s="45" t="s">
        <v>279</v>
      </c>
      <c r="D72">
        <v>3691</v>
      </c>
      <c r="E72">
        <v>1.2</v>
      </c>
      <c r="H72" s="1">
        <f t="shared" si="44"/>
        <v>0</v>
      </c>
      <c r="I72" s="43">
        <f t="shared" si="45"/>
        <v>2.3950614550733587E-3</v>
      </c>
      <c r="J72" s="1">
        <f t="shared" si="46"/>
        <v>0</v>
      </c>
      <c r="K72" s="1">
        <f t="shared" si="47"/>
        <v>0</v>
      </c>
      <c r="L72" s="43">
        <f t="shared" si="31"/>
        <v>8.8287579922779903E-3</v>
      </c>
      <c r="M72" s="43">
        <f t="shared" si="32"/>
        <v>4.304019521235521E-3</v>
      </c>
      <c r="N72" s="43">
        <f t="shared" si="33"/>
        <v>5.8858386615186613E-5</v>
      </c>
      <c r="O72" s="43">
        <f t="shared" si="34"/>
        <v>1.0903898856840032E-2</v>
      </c>
      <c r="P72" s="43">
        <f t="shared" si="35"/>
        <v>4.8201123597547122</v>
      </c>
      <c r="Q72" s="43">
        <v>61.36</v>
      </c>
      <c r="R72" s="43">
        <f t="shared" si="36"/>
        <v>1.8988321417215537</v>
      </c>
      <c r="S72" s="43">
        <f t="shared" si="37"/>
        <v>231.7548972972973</v>
      </c>
      <c r="T72" s="43">
        <f t="shared" si="38"/>
        <v>463.50979459459461</v>
      </c>
      <c r="U72" s="43">
        <f t="shared" si="39"/>
        <v>1.1704792792792791E-3</v>
      </c>
      <c r="V72" s="43">
        <f t="shared" si="40"/>
        <v>7.3572983268983263E-5</v>
      </c>
      <c r="W72" s="43">
        <f t="shared" si="41"/>
        <v>8.3605662805662792E-4</v>
      </c>
      <c r="X72" s="43">
        <f t="shared" si="42"/>
        <v>8.36056628056628E-13</v>
      </c>
      <c r="Y72" s="205">
        <f t="shared" si="43"/>
        <v>491.07699854426528</v>
      </c>
    </row>
    <row r="73" spans="1:27">
      <c r="A73" s="45" t="s">
        <v>280</v>
      </c>
      <c r="D73">
        <v>1337</v>
      </c>
      <c r="E73">
        <v>1.2</v>
      </c>
      <c r="H73" s="1">
        <f t="shared" si="44"/>
        <v>0</v>
      </c>
      <c r="I73" s="43">
        <f t="shared" si="45"/>
        <v>8.6756899632432424E-4</v>
      </c>
      <c r="J73" s="1">
        <f t="shared" si="46"/>
        <v>0</v>
      </c>
      <c r="K73" s="1">
        <f t="shared" si="47"/>
        <v>0</v>
      </c>
      <c r="L73" s="43">
        <f t="shared" si="31"/>
        <v>3.1980627027027022E-3</v>
      </c>
      <c r="M73" s="43">
        <f t="shared" si="32"/>
        <v>1.5590555675675673E-3</v>
      </c>
      <c r="N73" s="43">
        <f t="shared" si="33"/>
        <v>2.1320418018018016E-5</v>
      </c>
      <c r="O73" s="43">
        <f t="shared" si="34"/>
        <v>1.0903898856840032E-2</v>
      </c>
      <c r="P73" s="43">
        <f t="shared" si="35"/>
        <v>1.7460011446740855</v>
      </c>
      <c r="Q73" s="43">
        <v>62.36</v>
      </c>
      <c r="R73" s="43">
        <f t="shared" si="36"/>
        <v>0.68781863275039745</v>
      </c>
      <c r="S73" s="43">
        <f t="shared" si="37"/>
        <v>83.949145945945943</v>
      </c>
      <c r="T73" s="43">
        <f t="shared" si="38"/>
        <v>167.89829189189189</v>
      </c>
      <c r="U73" s="43">
        <f t="shared" si="39"/>
        <v>4.2398558558558554E-4</v>
      </c>
      <c r="V73" s="43">
        <f t="shared" si="40"/>
        <v>2.6650522522522521E-5</v>
      </c>
      <c r="W73" s="43">
        <f t="shared" si="41"/>
        <v>3.0284684684684683E-4</v>
      </c>
      <c r="X73" s="43">
        <f t="shared" si="42"/>
        <v>3.0284684684684679E-13</v>
      </c>
      <c r="Y73" s="205">
        <f t="shared" si="43"/>
        <v>179.49089449060492</v>
      </c>
    </row>
    <row r="74" spans="1:27">
      <c r="A74" s="45" t="s">
        <v>281</v>
      </c>
      <c r="D74">
        <v>1549</v>
      </c>
      <c r="E74">
        <v>1.2</v>
      </c>
      <c r="H74" s="1">
        <f t="shared" si="44"/>
        <v>0</v>
      </c>
      <c r="I74" s="43">
        <f t="shared" si="45"/>
        <v>1.0051341625328183E-3</v>
      </c>
      <c r="J74" s="1">
        <f t="shared" si="46"/>
        <v>0</v>
      </c>
      <c r="K74" s="1">
        <f t="shared" si="47"/>
        <v>0</v>
      </c>
      <c r="L74" s="43">
        <f t="shared" si="31"/>
        <v>3.7051601544401537E-3</v>
      </c>
      <c r="M74" s="43">
        <f t="shared" si="32"/>
        <v>1.8062655752895749E-3</v>
      </c>
      <c r="N74" s="43">
        <f t="shared" si="33"/>
        <v>2.4701067696267696E-5</v>
      </c>
      <c r="O74" s="43">
        <f t="shared" si="34"/>
        <v>1.0903898856840032E-2</v>
      </c>
      <c r="P74" s="43">
        <f t="shared" si="35"/>
        <v>2.022853981376334</v>
      </c>
      <c r="Q74" s="43">
        <v>63.36</v>
      </c>
      <c r="R74" s="43">
        <f t="shared" si="36"/>
        <v>0.79688187145128331</v>
      </c>
      <c r="S74" s="43">
        <f t="shared" si="37"/>
        <v>97.260454054054051</v>
      </c>
      <c r="T74" s="43">
        <f t="shared" si="38"/>
        <v>194.5209081081081</v>
      </c>
      <c r="U74" s="43">
        <f t="shared" si="39"/>
        <v>4.9121441441441437E-4</v>
      </c>
      <c r="V74" s="43">
        <f t="shared" si="40"/>
        <v>3.0876334620334615E-5</v>
      </c>
      <c r="W74" s="43">
        <f t="shared" si="41"/>
        <v>3.508674388674388E-4</v>
      </c>
      <c r="X74" s="43">
        <f t="shared" si="42"/>
        <v>3.5086743886743884E-13</v>
      </c>
      <c r="Y74" s="205">
        <f t="shared" si="43"/>
        <v>207.59577726858959</v>
      </c>
    </row>
    <row r="75" spans="1:27">
      <c r="A75" s="45" t="s">
        <v>283</v>
      </c>
      <c r="D75">
        <v>397</v>
      </c>
      <c r="E75">
        <v>1.2</v>
      </c>
      <c r="H75" s="1">
        <f t="shared" si="44"/>
        <v>0</v>
      </c>
      <c r="I75" s="43">
        <f t="shared" si="45"/>
        <v>2.5761024049420845E-4</v>
      </c>
      <c r="J75" s="1">
        <f t="shared" si="46"/>
        <v>0</v>
      </c>
      <c r="K75" s="1">
        <f t="shared" si="47"/>
        <v>0</v>
      </c>
      <c r="L75" s="43">
        <f t="shared" si="31"/>
        <v>9.4961173745173732E-4</v>
      </c>
      <c r="M75" s="43">
        <f t="shared" si="32"/>
        <v>4.6293572200772193E-4</v>
      </c>
      <c r="N75" s="43">
        <f t="shared" si="33"/>
        <v>6.3307449163449162E-6</v>
      </c>
      <c r="O75" s="43">
        <f t="shared" si="34"/>
        <v>1.0903898856840032E-2</v>
      </c>
      <c r="P75" s="43">
        <f t="shared" si="35"/>
        <v>0.51844611401317275</v>
      </c>
      <c r="Q75" s="43">
        <v>64.36</v>
      </c>
      <c r="R75" s="43">
        <f t="shared" si="36"/>
        <v>0.20423634794458326</v>
      </c>
      <c r="S75" s="43">
        <f t="shared" si="37"/>
        <v>24.927308108108107</v>
      </c>
      <c r="T75" s="43">
        <f t="shared" si="38"/>
        <v>49.854616216216215</v>
      </c>
      <c r="U75" s="43">
        <f t="shared" si="39"/>
        <v>1.2589549549549546E-4</v>
      </c>
      <c r="V75" s="43">
        <f t="shared" si="40"/>
        <v>7.913431145431145E-6</v>
      </c>
      <c r="W75" s="43">
        <f t="shared" si="41"/>
        <v>8.9925353925353912E-5</v>
      </c>
      <c r="X75" s="43">
        <f t="shared" si="42"/>
        <v>8.9925353925353909E-14</v>
      </c>
      <c r="Y75" s="205">
        <f t="shared" si="43"/>
        <v>55.132263305200993</v>
      </c>
    </row>
    <row r="76" spans="1:27">
      <c r="A76" s="45" t="s">
        <v>284</v>
      </c>
      <c r="D76">
        <v>5508</v>
      </c>
      <c r="E76">
        <v>1.2</v>
      </c>
      <c r="H76" s="1">
        <f t="shared" si="44"/>
        <v>0</v>
      </c>
      <c r="I76" s="43">
        <f t="shared" si="45"/>
        <v>3.574098752247104E-3</v>
      </c>
      <c r="J76" s="1">
        <f t="shared" si="46"/>
        <v>0</v>
      </c>
      <c r="K76" s="1">
        <f t="shared" si="47"/>
        <v>0</v>
      </c>
      <c r="L76" s="43">
        <f t="shared" si="31"/>
        <v>1.3174965868725866E-2</v>
      </c>
      <c r="M76" s="43">
        <f t="shared" si="32"/>
        <v>6.4227958610038596E-3</v>
      </c>
      <c r="N76" s="43">
        <f t="shared" si="33"/>
        <v>8.7833105791505789E-5</v>
      </c>
      <c r="O76" s="43">
        <f t="shared" si="34"/>
        <v>1.0903898856840032E-2</v>
      </c>
      <c r="P76" s="43">
        <f t="shared" si="35"/>
        <v>7.1929501158301141</v>
      </c>
      <c r="Q76" s="43">
        <v>65.36</v>
      </c>
      <c r="R76" s="43">
        <f t="shared" si="36"/>
        <v>2.8335864092664096</v>
      </c>
      <c r="S76" s="43">
        <f t="shared" si="37"/>
        <v>345.84285405405404</v>
      </c>
      <c r="T76" s="43">
        <f t="shared" si="38"/>
        <v>691.68570810810809</v>
      </c>
      <c r="U76" s="43">
        <f t="shared" si="39"/>
        <v>1.7466810810810808E-3</v>
      </c>
      <c r="V76" s="43">
        <f t="shared" si="40"/>
        <v>1.0979138223938223E-4</v>
      </c>
      <c r="W76" s="43">
        <f t="shared" si="41"/>
        <v>1.2476293436293434E-3</v>
      </c>
      <c r="X76" s="43">
        <f t="shared" si="42"/>
        <v>1.2476293436293435E-12</v>
      </c>
      <c r="Y76" s="205">
        <f t="shared" si="43"/>
        <v>731.77422499520026</v>
      </c>
    </row>
    <row r="77" spans="1:27">
      <c r="A77" s="45" t="s">
        <v>764</v>
      </c>
      <c r="D77">
        <v>20</v>
      </c>
      <c r="E77">
        <v>1.2</v>
      </c>
      <c r="H77" s="1">
        <f t="shared" si="44"/>
        <v>0</v>
      </c>
      <c r="I77" s="43">
        <f t="shared" si="45"/>
        <v>1.2977845868725867E-5</v>
      </c>
      <c r="J77" s="1">
        <f t="shared" si="46"/>
        <v>0</v>
      </c>
      <c r="K77" s="1">
        <f t="shared" si="47"/>
        <v>0</v>
      </c>
      <c r="L77" s="43">
        <f t="shared" si="31"/>
        <v>4.783938223938223E-5</v>
      </c>
      <c r="M77" s="43">
        <f t="shared" si="32"/>
        <v>2.3321698841698837E-5</v>
      </c>
      <c r="N77" s="43">
        <f t="shared" si="33"/>
        <v>3.1892921492921491E-7</v>
      </c>
      <c r="O77" s="43">
        <f t="shared" si="34"/>
        <v>1.0903898856840032E-2</v>
      </c>
      <c r="P77" s="43">
        <f t="shared" si="35"/>
        <v>2.611819214172155E-2</v>
      </c>
      <c r="Q77" s="43">
        <v>66.36</v>
      </c>
      <c r="R77" s="43">
        <f t="shared" si="36"/>
        <v>1.0288984783102431E-2</v>
      </c>
      <c r="S77" s="43">
        <f t="shared" si="37"/>
        <v>1.2557837837837837</v>
      </c>
      <c r="T77" s="43">
        <f t="shared" si="38"/>
        <v>2.5115675675675675</v>
      </c>
      <c r="U77" s="43">
        <f t="shared" si="39"/>
        <v>6.3423423423423418E-6</v>
      </c>
      <c r="V77" s="43">
        <f t="shared" si="40"/>
        <v>3.9866151866151865E-7</v>
      </c>
      <c r="W77" s="43">
        <f t="shared" si="41"/>
        <v>4.5302445302445297E-6</v>
      </c>
      <c r="X77" s="43">
        <f t="shared" si="42"/>
        <v>4.5302445302445295E-15</v>
      </c>
      <c r="Y77" s="205">
        <f t="shared" si="43"/>
        <v>5.3044293085017769</v>
      </c>
    </row>
    <row r="78" spans="1:27">
      <c r="A78" s="45" t="s">
        <v>282</v>
      </c>
      <c r="D78">
        <v>167</v>
      </c>
      <c r="E78">
        <v>1.2</v>
      </c>
      <c r="H78" s="1">
        <f t="shared" si="44"/>
        <v>0</v>
      </c>
      <c r="I78" s="43">
        <f t="shared" si="45"/>
        <v>1.0836501300386099E-4</v>
      </c>
      <c r="J78" s="1">
        <f t="shared" si="46"/>
        <v>0</v>
      </c>
      <c r="K78" s="1">
        <f t="shared" si="47"/>
        <v>0</v>
      </c>
      <c r="L78" s="43">
        <f t="shared" si="31"/>
        <v>3.9945884169884164E-4</v>
      </c>
      <c r="M78" s="43">
        <f t="shared" si="32"/>
        <v>1.9473618532818529E-4</v>
      </c>
      <c r="N78" s="43">
        <f t="shared" si="33"/>
        <v>2.6630589446589443E-6</v>
      </c>
      <c r="O78" s="43">
        <f t="shared" si="34"/>
        <v>1.0903898856840032E-2</v>
      </c>
      <c r="P78" s="43">
        <f t="shared" si="35"/>
        <v>0.21808690438337494</v>
      </c>
      <c r="Q78" s="43">
        <v>67.36</v>
      </c>
      <c r="R78" s="43">
        <f t="shared" si="36"/>
        <v>8.5913022938905292E-2</v>
      </c>
      <c r="S78" s="43">
        <f t="shared" si="37"/>
        <v>10.485794594594594</v>
      </c>
      <c r="T78" s="43">
        <f t="shared" si="38"/>
        <v>20.971589189189189</v>
      </c>
      <c r="U78" s="43">
        <f t="shared" si="39"/>
        <v>5.2958558558558553E-5</v>
      </c>
      <c r="V78" s="43">
        <f t="shared" si="40"/>
        <v>3.3288236808236808E-6</v>
      </c>
      <c r="W78" s="43">
        <f t="shared" si="41"/>
        <v>3.782754182754182E-5</v>
      </c>
      <c r="X78" s="43">
        <f t="shared" si="42"/>
        <v>3.7827541827541825E-14</v>
      </c>
      <c r="Y78" s="205">
        <f t="shared" si="43"/>
        <v>24.804513121538342</v>
      </c>
    </row>
    <row r="79" spans="1:27">
      <c r="A79" s="45" t="s">
        <v>765</v>
      </c>
      <c r="D79">
        <v>4</v>
      </c>
      <c r="E79">
        <v>1.2</v>
      </c>
      <c r="H79" s="1">
        <f t="shared" si="44"/>
        <v>0</v>
      </c>
      <c r="I79" s="43">
        <f t="shared" si="45"/>
        <v>2.5955691737451735E-6</v>
      </c>
      <c r="J79" s="1">
        <f t="shared" si="46"/>
        <v>0</v>
      </c>
      <c r="K79" s="1">
        <f t="shared" si="47"/>
        <v>0</v>
      </c>
      <c r="L79" s="43">
        <f t="shared" si="31"/>
        <v>9.5678764478764463E-6</v>
      </c>
      <c r="M79" s="43">
        <f t="shared" si="32"/>
        <v>4.6643397683397676E-6</v>
      </c>
      <c r="N79" s="43">
        <f t="shared" si="33"/>
        <v>6.3785842985842982E-8</v>
      </c>
      <c r="O79" s="43">
        <f t="shared" si="34"/>
        <v>1.0903898856840032E-2</v>
      </c>
      <c r="P79" s="43">
        <f t="shared" si="35"/>
        <v>5.2236384283443097E-3</v>
      </c>
      <c r="Q79" s="43">
        <v>68.36</v>
      </c>
      <c r="R79" s="43">
        <f t="shared" si="36"/>
        <v>2.0577969566204861E-3</v>
      </c>
      <c r="S79" s="43">
        <f t="shared" si="37"/>
        <v>0.25115675675675675</v>
      </c>
      <c r="T79" s="43">
        <f t="shared" si="38"/>
        <v>0.5023135135135135</v>
      </c>
      <c r="U79" s="43">
        <f t="shared" si="39"/>
        <v>1.2684684684684683E-6</v>
      </c>
      <c r="V79" s="43">
        <f t="shared" si="40"/>
        <v>7.9732303732303727E-8</v>
      </c>
      <c r="W79" s="43">
        <f t="shared" si="41"/>
        <v>9.0604890604890593E-7</v>
      </c>
      <c r="X79" s="43">
        <f t="shared" si="42"/>
        <v>9.0604890604890594E-16</v>
      </c>
      <c r="Y79" s="205">
        <f t="shared" si="43"/>
        <v>3.2663249478991592</v>
      </c>
    </row>
    <row r="80" spans="1:27">
      <c r="A80" s="45" t="s">
        <v>766</v>
      </c>
      <c r="D80">
        <v>3077</v>
      </c>
      <c r="E80">
        <v>1.2</v>
      </c>
      <c r="H80" s="1">
        <f t="shared" si="44"/>
        <v>0</v>
      </c>
      <c r="I80" s="43">
        <f t="shared" si="45"/>
        <v>1.9966415869034746E-3</v>
      </c>
      <c r="J80" s="1">
        <f t="shared" si="46"/>
        <v>0</v>
      </c>
      <c r="K80" s="1">
        <f t="shared" si="47"/>
        <v>0</v>
      </c>
      <c r="L80" s="43">
        <f t="shared" si="31"/>
        <v>7.3600889575289562E-3</v>
      </c>
      <c r="M80" s="43">
        <f t="shared" si="32"/>
        <v>3.5880433667953662E-3</v>
      </c>
      <c r="N80" s="43">
        <f t="shared" si="33"/>
        <v>4.9067259716859716E-5</v>
      </c>
      <c r="O80" s="43">
        <f t="shared" si="34"/>
        <v>1.0903898856840032E-2</v>
      </c>
      <c r="P80" s="43">
        <f t="shared" si="35"/>
        <v>4.0182838610038605</v>
      </c>
      <c r="Q80" s="43">
        <v>69.36</v>
      </c>
      <c r="R80" s="43">
        <f t="shared" si="36"/>
        <v>1.582960308880309</v>
      </c>
      <c r="S80" s="43">
        <f t="shared" si="37"/>
        <v>193.20233513513512</v>
      </c>
      <c r="T80" s="43">
        <f t="shared" si="38"/>
        <v>386.40467027027023</v>
      </c>
      <c r="U80" s="43">
        <f t="shared" si="39"/>
        <v>9.7576936936936921E-4</v>
      </c>
      <c r="V80" s="43">
        <f t="shared" si="40"/>
        <v>6.1334074646074647E-5</v>
      </c>
      <c r="W80" s="43">
        <f t="shared" si="41"/>
        <v>6.9697812097812087E-4</v>
      </c>
      <c r="X80" s="43">
        <f t="shared" si="42"/>
        <v>6.9697812097812089E-13</v>
      </c>
      <c r="Y80" s="205">
        <f t="shared" si="43"/>
        <v>410.11474370613979</v>
      </c>
    </row>
    <row r="81" spans="1:27">
      <c r="A81" s="45" t="s">
        <v>285</v>
      </c>
      <c r="D81">
        <v>3860</v>
      </c>
      <c r="E81">
        <v>1.2</v>
      </c>
      <c r="H81" s="1">
        <f t="shared" si="44"/>
        <v>0</v>
      </c>
      <c r="I81" s="43">
        <f t="shared" si="45"/>
        <v>2.5047242526640926E-3</v>
      </c>
      <c r="J81" s="1">
        <f t="shared" si="46"/>
        <v>0</v>
      </c>
      <c r="K81" s="1">
        <f t="shared" si="47"/>
        <v>0</v>
      </c>
      <c r="L81" s="43">
        <f t="shared" si="31"/>
        <v>9.2330007722007702E-3</v>
      </c>
      <c r="M81" s="43">
        <f t="shared" si="32"/>
        <v>4.5010878764478761E-3</v>
      </c>
      <c r="N81" s="43">
        <f t="shared" si="33"/>
        <v>6.1553338481338483E-5</v>
      </c>
      <c r="O81" s="43">
        <f t="shared" si="34"/>
        <v>1.0903898856840032E-2</v>
      </c>
      <c r="P81" s="43">
        <f t="shared" si="35"/>
        <v>5.040811083352259</v>
      </c>
      <c r="Q81" s="43">
        <v>70.36</v>
      </c>
      <c r="R81" s="43">
        <f t="shared" si="36"/>
        <v>1.985774063138769</v>
      </c>
      <c r="S81" s="43">
        <f t="shared" si="37"/>
        <v>242.36627027027026</v>
      </c>
      <c r="T81" s="43">
        <f t="shared" si="38"/>
        <v>484.73254054054053</v>
      </c>
      <c r="U81" s="43">
        <f t="shared" si="39"/>
        <v>1.2240720720720719E-3</v>
      </c>
      <c r="V81" s="43">
        <f t="shared" si="40"/>
        <v>7.6941673101673093E-5</v>
      </c>
      <c r="W81" s="43">
        <f t="shared" si="41"/>
        <v>8.7433719433719422E-4</v>
      </c>
      <c r="X81" s="43">
        <f t="shared" si="42"/>
        <v>8.7433719433719422E-13</v>
      </c>
      <c r="Y81" s="205">
        <f t="shared" si="43"/>
        <v>513.80947585313049</v>
      </c>
    </row>
    <row r="82" spans="1:27">
      <c r="A82" s="45" t="s">
        <v>767</v>
      </c>
      <c r="D82">
        <v>1438</v>
      </c>
      <c r="E82">
        <v>1.2</v>
      </c>
      <c r="H82" s="1">
        <f t="shared" si="44"/>
        <v>0</v>
      </c>
      <c r="I82" s="43">
        <f t="shared" si="45"/>
        <v>9.3310711796138987E-4</v>
      </c>
      <c r="J82" s="1">
        <f t="shared" si="46"/>
        <v>0</v>
      </c>
      <c r="K82" s="1">
        <f t="shared" si="47"/>
        <v>0</v>
      </c>
      <c r="L82" s="43">
        <f t="shared" si="31"/>
        <v>3.4396515830115823E-3</v>
      </c>
      <c r="M82" s="43">
        <f t="shared" si="32"/>
        <v>1.6768301467181463E-3</v>
      </c>
      <c r="N82" s="43">
        <f t="shared" si="33"/>
        <v>2.2931010553410553E-5</v>
      </c>
      <c r="O82" s="43">
        <f t="shared" si="34"/>
        <v>1.0903898856840032E-2</v>
      </c>
      <c r="P82" s="43">
        <f t="shared" si="35"/>
        <v>1.8778980149897793</v>
      </c>
      <c r="Q82" s="43">
        <v>71.36</v>
      </c>
      <c r="R82" s="43">
        <f t="shared" si="36"/>
        <v>0.73977800590506482</v>
      </c>
      <c r="S82" s="43">
        <f t="shared" si="37"/>
        <v>90.290854054054051</v>
      </c>
      <c r="T82" s="43">
        <f t="shared" si="38"/>
        <v>180.5817081081081</v>
      </c>
      <c r="U82" s="43">
        <f t="shared" si="39"/>
        <v>4.5601441441441433E-4</v>
      </c>
      <c r="V82" s="43">
        <f t="shared" si="40"/>
        <v>2.8663763191763191E-5</v>
      </c>
      <c r="W82" s="43">
        <f t="shared" si="41"/>
        <v>3.257245817245817E-4</v>
      </c>
      <c r="X82" s="43">
        <f t="shared" si="42"/>
        <v>3.2572458172458167E-13</v>
      </c>
      <c r="Y82" s="205">
        <f t="shared" si="43"/>
        <v>193.2214282669089</v>
      </c>
    </row>
    <row r="83" spans="1:27">
      <c r="A83" s="45" t="s">
        <v>768</v>
      </c>
      <c r="D83">
        <v>1596</v>
      </c>
      <c r="E83">
        <v>1.2</v>
      </c>
      <c r="H83" s="1">
        <f t="shared" si="44"/>
        <v>0</v>
      </c>
      <c r="I83" s="43">
        <f t="shared" si="45"/>
        <v>1.0356321003243242E-3</v>
      </c>
      <c r="J83" s="1">
        <f t="shared" si="46"/>
        <v>0</v>
      </c>
      <c r="K83" s="1">
        <f t="shared" si="47"/>
        <v>0</v>
      </c>
      <c r="L83" s="43">
        <f t="shared" si="31"/>
        <v>3.8175827027027019E-3</v>
      </c>
      <c r="M83" s="43">
        <f t="shared" si="32"/>
        <v>1.8610715675675673E-3</v>
      </c>
      <c r="N83" s="43">
        <f t="shared" si="33"/>
        <v>2.5450551351351349E-5</v>
      </c>
      <c r="O83" s="43">
        <f t="shared" si="34"/>
        <v>1.0903898856840032E-2</v>
      </c>
      <c r="P83" s="43">
        <f t="shared" si="35"/>
        <v>2.0842317329093798</v>
      </c>
      <c r="Q83" s="43">
        <v>72.36</v>
      </c>
      <c r="R83" s="43">
        <f t="shared" si="36"/>
        <v>0.82106098569157393</v>
      </c>
      <c r="S83" s="43">
        <f t="shared" si="37"/>
        <v>100.21154594594594</v>
      </c>
      <c r="T83" s="43">
        <f t="shared" si="38"/>
        <v>200.42309189189189</v>
      </c>
      <c r="U83" s="43">
        <f t="shared" si="39"/>
        <v>5.0611891891891888E-4</v>
      </c>
      <c r="V83" s="43">
        <f t="shared" si="40"/>
        <v>3.1813189189189185E-5</v>
      </c>
      <c r="W83" s="43">
        <f t="shared" si="41"/>
        <v>3.6151351351351344E-4</v>
      </c>
      <c r="X83" s="43">
        <f t="shared" si="42"/>
        <v>3.615135135135135E-13</v>
      </c>
      <c r="Y83" s="205">
        <f t="shared" si="43"/>
        <v>214.17770882785979</v>
      </c>
    </row>
    <row r="84" spans="1:27">
      <c r="A84" s="45" t="s">
        <v>286</v>
      </c>
      <c r="D84">
        <v>8998</v>
      </c>
      <c r="E84">
        <v>1.2</v>
      </c>
      <c r="H84" s="1">
        <f t="shared" si="44"/>
        <v>0</v>
      </c>
      <c r="I84" s="43">
        <f t="shared" si="45"/>
        <v>5.8387328563397674E-3</v>
      </c>
      <c r="J84" s="1">
        <f t="shared" si="46"/>
        <v>0</v>
      </c>
      <c r="K84" s="1">
        <f t="shared" si="47"/>
        <v>0</v>
      </c>
      <c r="L84" s="43">
        <f t="shared" ref="L84:L109" si="48">CO2_malnutrition_charfact*D84</f>
        <v>2.1522938069498065E-2</v>
      </c>
      <c r="M84" s="43">
        <f t="shared" ref="M84:M109" si="49">CO2_workingcapacity_charfact*D84</f>
        <v>1.0492432308880308E-2</v>
      </c>
      <c r="N84" s="43">
        <f t="shared" ref="N84:N109" si="50">CO2_diarrhea_charfact*D84</f>
        <v>1.4348625379665379E-4</v>
      </c>
      <c r="O84" s="43">
        <f t="shared" ref="O84:O109" si="51">CO2_crop_charfact</f>
        <v>1.0903898856840032E-2</v>
      </c>
      <c r="P84" s="43">
        <f t="shared" ref="P84:P109" si="52">CO2_fruitandveg_charfact*D84</f>
        <v>11.750574644560524</v>
      </c>
      <c r="Q84" s="43">
        <v>73.36</v>
      </c>
      <c r="R84" s="43">
        <f t="shared" ref="R84:R109" si="53">CO2_meatandfish_charfact*D84</f>
        <v>4.6290142539177834</v>
      </c>
      <c r="S84" s="43">
        <f t="shared" ref="S84:S109" si="54">CO2_drinkingwater_charfact*D84</f>
        <v>564.97712432432434</v>
      </c>
      <c r="T84" s="43">
        <f t="shared" ref="T84:T109" si="55">CO2_irrigationwater_charfact*D84</f>
        <v>1129.9542486486487</v>
      </c>
      <c r="U84" s="43">
        <f t="shared" ref="U84:U109" si="56">CO2_energyaccess_charfact*D84</f>
        <v>2.8534198198198195E-3</v>
      </c>
      <c r="V84" s="43">
        <f t="shared" ref="V84:V109" si="57">CO2_housing_charfact*D84</f>
        <v>1.7935781724581724E-4</v>
      </c>
      <c r="W84" s="43">
        <f t="shared" ref="W84:W109" si="58">CO2_separations_charfact*D84</f>
        <v>2.0381570141570137E-3</v>
      </c>
      <c r="X84" s="43">
        <f t="shared" ref="X84:X109" si="59">CO2_NEX_charfact*D84</f>
        <v>2.0381570141570138E-12</v>
      </c>
      <c r="Y84" s="205">
        <f t="shared" ref="Y84:Y109" si="60">(H84+I84)*YOLLvalue+J84*skincancervalue+K84*Lowvisionvalue+L84*malnutrition+M84*working_capacity+N84*diarrhea+O84*cropvalue+P84*Fruitandveg_value+Q84*woodvalue+R84*fishandmeatvalue+S84*drinkingwatervalue+T84*irrigationwatervalue+U84*energy_access+V84*housingvalue+W84*migrationvalue+X84*speciesvalue</f>
        <v>1194.1057386516461</v>
      </c>
    </row>
    <row r="85" spans="1:27">
      <c r="A85" s="45" t="s">
        <v>287</v>
      </c>
      <c r="D85">
        <v>863</v>
      </c>
      <c r="E85">
        <v>1.2</v>
      </c>
      <c r="H85" s="1">
        <f t="shared" si="44"/>
        <v>0</v>
      </c>
      <c r="I85" s="43">
        <f t="shared" si="45"/>
        <v>5.5999404923552122E-4</v>
      </c>
      <c r="J85" s="1">
        <f t="shared" si="46"/>
        <v>0</v>
      </c>
      <c r="K85" s="1">
        <f t="shared" si="47"/>
        <v>0</v>
      </c>
      <c r="L85" s="43">
        <f t="shared" si="48"/>
        <v>2.0642693436293434E-3</v>
      </c>
      <c r="M85" s="43">
        <f t="shared" si="49"/>
        <v>1.0063313050193048E-3</v>
      </c>
      <c r="N85" s="43">
        <f t="shared" si="50"/>
        <v>1.3761795624195623E-5</v>
      </c>
      <c r="O85" s="43">
        <f t="shared" si="51"/>
        <v>1.0903898856840032E-2</v>
      </c>
      <c r="P85" s="43">
        <f t="shared" si="52"/>
        <v>1.1269999909152848</v>
      </c>
      <c r="Q85" s="43">
        <v>74.36</v>
      </c>
      <c r="R85" s="43">
        <f t="shared" si="53"/>
        <v>0.44396969339086989</v>
      </c>
      <c r="S85" s="43">
        <f t="shared" si="54"/>
        <v>54.187070270270269</v>
      </c>
      <c r="T85" s="43">
        <f t="shared" si="55"/>
        <v>108.37414054054054</v>
      </c>
      <c r="U85" s="43">
        <f t="shared" si="56"/>
        <v>2.7367207207207203E-4</v>
      </c>
      <c r="V85" s="43">
        <f t="shared" si="57"/>
        <v>1.7202244530244529E-5</v>
      </c>
      <c r="W85" s="43">
        <f t="shared" si="58"/>
        <v>1.9548005148005144E-4</v>
      </c>
      <c r="X85" s="43">
        <f t="shared" si="59"/>
        <v>1.9548005148005146E-13</v>
      </c>
      <c r="Y85" s="205">
        <f t="shared" si="60"/>
        <v>117.22205280775228</v>
      </c>
    </row>
    <row r="86" spans="1:27">
      <c r="A86" t="s">
        <v>769</v>
      </c>
      <c r="D86">
        <v>5298</v>
      </c>
      <c r="E86">
        <v>1.2</v>
      </c>
      <c r="H86" s="1">
        <f t="shared" si="44"/>
        <v>0</v>
      </c>
      <c r="I86" s="43">
        <f t="shared" si="45"/>
        <v>3.4378313706254823E-3</v>
      </c>
      <c r="J86" s="1">
        <f t="shared" si="46"/>
        <v>0</v>
      </c>
      <c r="K86" s="1">
        <f t="shared" si="47"/>
        <v>0</v>
      </c>
      <c r="L86" s="43">
        <f t="shared" si="48"/>
        <v>1.2672652355212354E-2</v>
      </c>
      <c r="M86" s="43">
        <f t="shared" si="49"/>
        <v>6.1779180231660222E-3</v>
      </c>
      <c r="N86" s="43">
        <f t="shared" si="50"/>
        <v>8.4484349034749033E-5</v>
      </c>
      <c r="O86" s="43">
        <f t="shared" si="51"/>
        <v>1.0903898856840032E-2</v>
      </c>
      <c r="P86" s="43">
        <f t="shared" si="52"/>
        <v>6.9187090983420383</v>
      </c>
      <c r="Q86" s="43">
        <v>75.36</v>
      </c>
      <c r="R86" s="43">
        <f t="shared" si="53"/>
        <v>2.7255520690438337</v>
      </c>
      <c r="S86" s="43">
        <f t="shared" si="54"/>
        <v>332.65712432432429</v>
      </c>
      <c r="T86" s="43">
        <f t="shared" si="55"/>
        <v>665.31424864864857</v>
      </c>
      <c r="U86" s="43">
        <f t="shared" si="56"/>
        <v>1.6800864864864862E-3</v>
      </c>
      <c r="V86" s="43">
        <f t="shared" si="57"/>
        <v>1.0560543629343629E-4</v>
      </c>
      <c r="W86" s="43">
        <f t="shared" si="58"/>
        <v>1.2000617760617759E-3</v>
      </c>
      <c r="X86" s="43">
        <f t="shared" si="59"/>
        <v>1.2000617760617758E-12</v>
      </c>
      <c r="Y86" s="205">
        <f t="shared" si="60"/>
        <v>704.37410526229075</v>
      </c>
    </row>
    <row r="87" spans="1:27">
      <c r="A87" t="s">
        <v>770</v>
      </c>
      <c r="D87">
        <v>285</v>
      </c>
      <c r="E87">
        <v>1.2</v>
      </c>
      <c r="H87" s="1">
        <f t="shared" si="44"/>
        <v>0</v>
      </c>
      <c r="I87" s="43">
        <f t="shared" si="45"/>
        <v>1.8493430362934361E-4</v>
      </c>
      <c r="J87" s="1">
        <f t="shared" si="46"/>
        <v>0</v>
      </c>
      <c r="K87" s="1">
        <f t="shared" si="47"/>
        <v>0</v>
      </c>
      <c r="L87" s="43">
        <f t="shared" si="48"/>
        <v>6.8171119691119676E-4</v>
      </c>
      <c r="M87" s="43">
        <f t="shared" si="49"/>
        <v>3.3233420849420844E-4</v>
      </c>
      <c r="N87" s="43">
        <f t="shared" si="50"/>
        <v>4.544741312741312E-6</v>
      </c>
      <c r="O87" s="43">
        <f t="shared" si="51"/>
        <v>1.0903898856840032E-2</v>
      </c>
      <c r="P87" s="43">
        <f t="shared" si="52"/>
        <v>0.37218423801953204</v>
      </c>
      <c r="Q87" s="43">
        <v>76.36</v>
      </c>
      <c r="R87" s="43">
        <f t="shared" si="53"/>
        <v>0.14661803315920963</v>
      </c>
      <c r="S87" s="43">
        <f t="shared" si="54"/>
        <v>17.894918918918918</v>
      </c>
      <c r="T87" s="43">
        <f t="shared" si="55"/>
        <v>35.789837837837837</v>
      </c>
      <c r="U87" s="43">
        <f t="shared" si="56"/>
        <v>9.0378378378378361E-5</v>
      </c>
      <c r="V87" s="43">
        <f t="shared" si="57"/>
        <v>5.6809266409266407E-6</v>
      </c>
      <c r="W87" s="43">
        <f t="shared" si="58"/>
        <v>6.4555984555984545E-5</v>
      </c>
      <c r="X87" s="43">
        <f t="shared" si="59"/>
        <v>6.4555984555984555E-14</v>
      </c>
      <c r="Y87" s="205">
        <f t="shared" si="60"/>
        <v>40.785532780982656</v>
      </c>
    </row>
    <row r="88" spans="1:27">
      <c r="A88" t="s">
        <v>771</v>
      </c>
      <c r="D88">
        <v>352</v>
      </c>
      <c r="E88">
        <v>1.2</v>
      </c>
      <c r="H88" s="1">
        <f t="shared" si="44"/>
        <v>0</v>
      </c>
      <c r="I88" s="43">
        <f t="shared" si="45"/>
        <v>2.2841008728957527E-4</v>
      </c>
      <c r="J88" s="1">
        <f t="shared" si="46"/>
        <v>0</v>
      </c>
      <c r="K88" s="1">
        <f t="shared" si="47"/>
        <v>0</v>
      </c>
      <c r="L88" s="43">
        <f t="shared" si="48"/>
        <v>8.4197312741312723E-4</v>
      </c>
      <c r="M88" s="43">
        <f t="shared" si="49"/>
        <v>4.1046189961389953E-4</v>
      </c>
      <c r="N88" s="43">
        <f t="shared" si="50"/>
        <v>5.613154182754182E-6</v>
      </c>
      <c r="O88" s="43">
        <f t="shared" si="51"/>
        <v>1.0903898856840032E-2</v>
      </c>
      <c r="P88" s="43">
        <f t="shared" si="52"/>
        <v>0.45968018169429925</v>
      </c>
      <c r="Q88" s="43">
        <v>77.36</v>
      </c>
      <c r="R88" s="43">
        <f t="shared" si="53"/>
        <v>0.18108613218260278</v>
      </c>
      <c r="S88" s="43">
        <f t="shared" si="54"/>
        <v>22.101794594594594</v>
      </c>
      <c r="T88" s="43">
        <f t="shared" si="55"/>
        <v>44.203589189189188</v>
      </c>
      <c r="U88" s="43">
        <f t="shared" si="56"/>
        <v>1.1162522522522521E-4</v>
      </c>
      <c r="V88" s="43">
        <f t="shared" si="57"/>
        <v>7.0164427284427283E-6</v>
      </c>
      <c r="W88" s="43">
        <f t="shared" si="58"/>
        <v>7.9732303732303728E-5</v>
      </c>
      <c r="X88" s="43">
        <f t="shared" si="59"/>
        <v>7.9732303732303718E-14</v>
      </c>
      <c r="Y88" s="205">
        <f t="shared" si="60"/>
        <v>49.69509479100612</v>
      </c>
    </row>
    <row r="89" spans="1:27">
      <c r="A89" s="45" t="s">
        <v>772</v>
      </c>
      <c r="D89">
        <v>1032</v>
      </c>
      <c r="E89">
        <v>1.2</v>
      </c>
      <c r="H89" s="1">
        <f t="shared" si="44"/>
        <v>0</v>
      </c>
      <c r="I89" s="43">
        <f t="shared" si="45"/>
        <v>6.6965684682625476E-4</v>
      </c>
      <c r="J89" s="1">
        <f t="shared" si="46"/>
        <v>0</v>
      </c>
      <c r="K89" s="1">
        <f t="shared" si="47"/>
        <v>0</v>
      </c>
      <c r="L89" s="43">
        <f t="shared" si="48"/>
        <v>2.4685121235521234E-3</v>
      </c>
      <c r="M89" s="43">
        <f t="shared" si="49"/>
        <v>1.2033996602316601E-3</v>
      </c>
      <c r="N89" s="43">
        <f t="shared" si="50"/>
        <v>1.6456747490347488E-5</v>
      </c>
      <c r="O89" s="43">
        <f t="shared" si="51"/>
        <v>1.0903898856840032E-2</v>
      </c>
      <c r="P89" s="43">
        <f t="shared" si="52"/>
        <v>1.3476987145128319</v>
      </c>
      <c r="Q89" s="43">
        <v>78.36</v>
      </c>
      <c r="R89" s="43">
        <f t="shared" si="53"/>
        <v>0.53091161480808546</v>
      </c>
      <c r="S89" s="43">
        <f t="shared" si="54"/>
        <v>64.798443243243241</v>
      </c>
      <c r="T89" s="43">
        <f t="shared" si="55"/>
        <v>129.59688648648648</v>
      </c>
      <c r="U89" s="43">
        <f t="shared" si="56"/>
        <v>3.272648648648648E-4</v>
      </c>
      <c r="V89" s="43">
        <f t="shared" si="57"/>
        <v>2.0570934362934363E-5</v>
      </c>
      <c r="W89" s="43">
        <f t="shared" si="58"/>
        <v>2.3376061776061774E-4</v>
      </c>
      <c r="X89" s="43">
        <f t="shared" si="59"/>
        <v>2.3376061776061773E-13</v>
      </c>
      <c r="Y89" s="205">
        <f t="shared" si="60"/>
        <v>139.75453011661747</v>
      </c>
    </row>
    <row r="90" spans="1:27">
      <c r="A90" t="s">
        <v>773</v>
      </c>
      <c r="D90">
        <v>92</v>
      </c>
      <c r="E90">
        <v>1.2</v>
      </c>
      <c r="H90" s="1">
        <f t="shared" si="44"/>
        <v>0</v>
      </c>
      <c r="I90" s="43">
        <f t="shared" si="45"/>
        <v>5.9698090996138992E-5</v>
      </c>
      <c r="J90" s="1">
        <f t="shared" si="46"/>
        <v>0</v>
      </c>
      <c r="K90" s="1">
        <f t="shared" si="47"/>
        <v>0</v>
      </c>
      <c r="L90" s="43">
        <f t="shared" si="48"/>
        <v>2.2006115830115825E-4</v>
      </c>
      <c r="M90" s="43">
        <f t="shared" si="49"/>
        <v>1.0727981467181466E-4</v>
      </c>
      <c r="N90" s="43">
        <f t="shared" si="50"/>
        <v>1.4670743886743885E-6</v>
      </c>
      <c r="O90" s="43">
        <f t="shared" si="51"/>
        <v>1.0903898856840032E-2</v>
      </c>
      <c r="P90" s="43">
        <f t="shared" si="52"/>
        <v>0.12014368385191912</v>
      </c>
      <c r="Q90" s="43">
        <v>79.36</v>
      </c>
      <c r="R90" s="43">
        <f t="shared" si="53"/>
        <v>4.7329330002271179E-2</v>
      </c>
      <c r="S90" s="43">
        <f t="shared" si="54"/>
        <v>5.7766054054054052</v>
      </c>
      <c r="T90" s="43">
        <f t="shared" si="55"/>
        <v>11.55321081081081</v>
      </c>
      <c r="U90" s="43">
        <f t="shared" si="56"/>
        <v>2.9174774774774772E-5</v>
      </c>
      <c r="V90" s="43">
        <f t="shared" si="57"/>
        <v>1.8338429858429857E-6</v>
      </c>
      <c r="W90" s="43">
        <f t="shared" si="58"/>
        <v>2.0839124839124835E-5</v>
      </c>
      <c r="X90" s="43">
        <f t="shared" si="59"/>
        <v>2.0839124839124837E-14</v>
      </c>
      <c r="Y90" s="205">
        <f t="shared" si="60"/>
        <v>15.355898931213567</v>
      </c>
    </row>
    <row r="91" spans="1:27">
      <c r="A91" t="s">
        <v>774</v>
      </c>
      <c r="D91">
        <v>175</v>
      </c>
      <c r="E91">
        <v>1.2</v>
      </c>
      <c r="H91" s="1">
        <f t="shared" si="44"/>
        <v>0</v>
      </c>
      <c r="I91" s="43">
        <f t="shared" si="45"/>
        <v>1.1355615135135134E-4</v>
      </c>
      <c r="J91" s="1">
        <f t="shared" si="46"/>
        <v>0</v>
      </c>
      <c r="K91" s="1">
        <f t="shared" si="47"/>
        <v>0</v>
      </c>
      <c r="L91" s="43">
        <f t="shared" si="48"/>
        <v>4.1859459459459453E-4</v>
      </c>
      <c r="M91" s="43">
        <f t="shared" si="49"/>
        <v>2.0406486486486484E-4</v>
      </c>
      <c r="N91" s="43">
        <f t="shared" si="50"/>
        <v>2.7906306306306304E-6</v>
      </c>
      <c r="O91" s="43">
        <f t="shared" si="51"/>
        <v>1.0903898856840032E-2</v>
      </c>
      <c r="P91" s="43">
        <f t="shared" si="52"/>
        <v>0.22853418124006356</v>
      </c>
      <c r="Q91" s="43">
        <v>80.36</v>
      </c>
      <c r="R91" s="43">
        <f t="shared" si="53"/>
        <v>9.0028616852146262E-2</v>
      </c>
      <c r="S91" s="43">
        <f t="shared" si="54"/>
        <v>10.988108108108108</v>
      </c>
      <c r="T91" s="43">
        <f t="shared" si="55"/>
        <v>21.976216216216216</v>
      </c>
      <c r="U91" s="43">
        <f t="shared" si="56"/>
        <v>5.5495495495495487E-5</v>
      </c>
      <c r="V91" s="43">
        <f t="shared" si="57"/>
        <v>3.4882882882882881E-6</v>
      </c>
      <c r="W91" s="43">
        <f t="shared" si="58"/>
        <v>3.9639639639639633E-5</v>
      </c>
      <c r="X91" s="43">
        <f t="shared" si="59"/>
        <v>3.9639639639639633E-14</v>
      </c>
      <c r="Y91" s="205">
        <f t="shared" si="60"/>
        <v>26.38356530183966</v>
      </c>
    </row>
    <row r="92" spans="1:27">
      <c r="A92" t="s">
        <v>775</v>
      </c>
      <c r="D92">
        <v>2742</v>
      </c>
      <c r="E92">
        <v>1.2</v>
      </c>
      <c r="H92" s="1">
        <f t="shared" si="44"/>
        <v>0</v>
      </c>
      <c r="I92" s="43">
        <f t="shared" si="45"/>
        <v>1.7792626686023165E-3</v>
      </c>
      <c r="J92" s="1">
        <f t="shared" si="46"/>
        <v>0</v>
      </c>
      <c r="K92" s="1">
        <f t="shared" si="47"/>
        <v>0</v>
      </c>
      <c r="L92" s="43">
        <f t="shared" si="48"/>
        <v>6.5587793050193039E-3</v>
      </c>
      <c r="M92" s="43">
        <f t="shared" si="49"/>
        <v>3.1974049111969105E-3</v>
      </c>
      <c r="N92" s="43">
        <f t="shared" si="50"/>
        <v>4.3725195366795365E-5</v>
      </c>
      <c r="O92" s="43">
        <f t="shared" si="51"/>
        <v>1.0903898856840032E-2</v>
      </c>
      <c r="P92" s="43">
        <f t="shared" si="52"/>
        <v>3.5808041426300243</v>
      </c>
      <c r="Q92" s="43">
        <v>81.36</v>
      </c>
      <c r="R92" s="43">
        <f t="shared" si="53"/>
        <v>1.4106198137633432</v>
      </c>
      <c r="S92" s="43">
        <f t="shared" si="54"/>
        <v>172.16795675675675</v>
      </c>
      <c r="T92" s="43">
        <f t="shared" si="55"/>
        <v>344.3359135135135</v>
      </c>
      <c r="U92" s="43">
        <f t="shared" si="56"/>
        <v>8.6953513513513502E-4</v>
      </c>
      <c r="V92" s="43">
        <f t="shared" si="57"/>
        <v>5.4656494208494203E-5</v>
      </c>
      <c r="W92" s="43">
        <f t="shared" si="58"/>
        <v>6.2109652509652498E-4</v>
      </c>
      <c r="X92" s="43">
        <f t="shared" si="59"/>
        <v>6.2109652509652503E-13</v>
      </c>
      <c r="Y92" s="205">
        <f t="shared" si="60"/>
        <v>366.24693365602241</v>
      </c>
    </row>
    <row r="93" spans="1:27">
      <c r="A93" s="45" t="s">
        <v>776</v>
      </c>
      <c r="D93">
        <v>966</v>
      </c>
      <c r="E93">
        <v>1.2</v>
      </c>
      <c r="H93" s="1">
        <f t="shared" si="44"/>
        <v>0</v>
      </c>
      <c r="I93" s="43">
        <f t="shared" si="45"/>
        <v>6.2682995545945935E-4</v>
      </c>
      <c r="J93" s="1">
        <f t="shared" si="46"/>
        <v>0</v>
      </c>
      <c r="K93" s="1">
        <f t="shared" si="47"/>
        <v>0</v>
      </c>
      <c r="L93" s="43">
        <f t="shared" si="48"/>
        <v>2.3106421621621616E-3</v>
      </c>
      <c r="M93" s="43">
        <f t="shared" si="49"/>
        <v>1.1264380540540538E-3</v>
      </c>
      <c r="N93" s="43">
        <f t="shared" si="50"/>
        <v>1.5404281081081079E-5</v>
      </c>
      <c r="O93" s="43">
        <f t="shared" si="51"/>
        <v>1.0903898856840032E-2</v>
      </c>
      <c r="P93" s="43">
        <f t="shared" si="52"/>
        <v>1.2615086804451507</v>
      </c>
      <c r="Q93" s="43">
        <v>82.36</v>
      </c>
      <c r="R93" s="43">
        <f t="shared" si="53"/>
        <v>0.49695796502384743</v>
      </c>
      <c r="S93" s="43">
        <f t="shared" si="54"/>
        <v>60.654356756756755</v>
      </c>
      <c r="T93" s="43">
        <f t="shared" si="55"/>
        <v>121.30871351351351</v>
      </c>
      <c r="U93" s="43">
        <f t="shared" si="56"/>
        <v>3.063351351351351E-4</v>
      </c>
      <c r="V93" s="43">
        <f t="shared" si="57"/>
        <v>1.9255351351351352E-5</v>
      </c>
      <c r="W93" s="43">
        <f t="shared" si="58"/>
        <v>2.1881081081081077E-4</v>
      </c>
      <c r="X93" s="43">
        <f t="shared" si="59"/>
        <v>2.1881081081081077E-13</v>
      </c>
      <c r="Y93" s="205">
        <f t="shared" si="60"/>
        <v>131.17734962913161</v>
      </c>
    </row>
    <row r="94" spans="1:27">
      <c r="A94" s="8" t="s">
        <v>278</v>
      </c>
      <c r="D94">
        <v>1952</v>
      </c>
      <c r="E94">
        <v>1.2</v>
      </c>
      <c r="H94" s="1">
        <f t="shared" si="44"/>
        <v>0</v>
      </c>
      <c r="I94" s="43">
        <f t="shared" si="45"/>
        <v>1.2666377567876446E-3</v>
      </c>
      <c r="J94" s="1">
        <f t="shared" si="46"/>
        <v>0</v>
      </c>
      <c r="K94" s="1">
        <f t="shared" si="47"/>
        <v>0</v>
      </c>
      <c r="L94" s="43">
        <f t="shared" si="48"/>
        <v>4.6691237065637058E-3</v>
      </c>
      <c r="M94" s="43">
        <f t="shared" si="49"/>
        <v>2.2761978069498067E-3</v>
      </c>
      <c r="N94" s="43">
        <f t="shared" si="50"/>
        <v>3.1127491377091375E-5</v>
      </c>
      <c r="O94" s="43">
        <f t="shared" si="51"/>
        <v>1.0903898856840032E-2</v>
      </c>
      <c r="P94" s="43">
        <f t="shared" si="52"/>
        <v>2.549135553032023</v>
      </c>
      <c r="Q94" s="43">
        <v>83.36</v>
      </c>
      <c r="R94" s="43">
        <f t="shared" si="53"/>
        <v>1.0042049148307972</v>
      </c>
      <c r="S94" s="43">
        <f t="shared" si="54"/>
        <v>122.56449729729729</v>
      </c>
      <c r="T94" s="43">
        <f t="shared" si="55"/>
        <v>245.12899459459459</v>
      </c>
      <c r="U94" s="43">
        <f t="shared" si="56"/>
        <v>6.190126126126125E-4</v>
      </c>
      <c r="V94" s="43">
        <f t="shared" si="57"/>
        <v>3.8909364221364219E-5</v>
      </c>
      <c r="W94" s="43">
        <f t="shared" si="58"/>
        <v>4.4215186615186611E-4</v>
      </c>
      <c r="X94" s="43">
        <f t="shared" si="59"/>
        <v>4.4215186615186609E-13</v>
      </c>
      <c r="Y94" s="205">
        <f t="shared" si="60"/>
        <v>261.74553085126809</v>
      </c>
      <c r="AA94" s="88" t="s">
        <v>1047</v>
      </c>
    </row>
    <row r="95" spans="1:27">
      <c r="A95" t="s">
        <v>777</v>
      </c>
      <c r="D95">
        <v>1</v>
      </c>
      <c r="E95">
        <v>1.2</v>
      </c>
      <c r="H95" s="1">
        <f t="shared" si="44"/>
        <v>0</v>
      </c>
      <c r="I95" s="43">
        <f t="shared" si="45"/>
        <v>6.4889229343629337E-7</v>
      </c>
      <c r="J95" s="1">
        <f t="shared" si="46"/>
        <v>0</v>
      </c>
      <c r="K95" s="1">
        <f t="shared" si="47"/>
        <v>0</v>
      </c>
      <c r="L95" s="43">
        <f t="shared" si="48"/>
        <v>2.3919691119691116E-6</v>
      </c>
      <c r="M95" s="43">
        <f t="shared" si="49"/>
        <v>1.1660849420849419E-6</v>
      </c>
      <c r="N95" s="43">
        <f t="shared" si="50"/>
        <v>1.5946460746460745E-8</v>
      </c>
      <c r="O95" s="43">
        <f t="shared" si="51"/>
        <v>1.0903898856840032E-2</v>
      </c>
      <c r="P95" s="43">
        <f t="shared" si="52"/>
        <v>1.3059096070860774E-3</v>
      </c>
      <c r="Q95" s="43">
        <v>84.36</v>
      </c>
      <c r="R95" s="43">
        <f t="shared" si="53"/>
        <v>5.1444923915512154E-4</v>
      </c>
      <c r="S95" s="43">
        <f t="shared" si="54"/>
        <v>6.2789189189189187E-2</v>
      </c>
      <c r="T95" s="43">
        <f t="shared" si="55"/>
        <v>0.12557837837837837</v>
      </c>
      <c r="U95" s="43">
        <f t="shared" si="56"/>
        <v>3.1711711711711707E-7</v>
      </c>
      <c r="V95" s="43">
        <f t="shared" si="57"/>
        <v>1.9933075933075932E-8</v>
      </c>
      <c r="W95" s="43">
        <f t="shared" si="58"/>
        <v>2.2651222651222648E-7</v>
      </c>
      <c r="X95" s="43">
        <f t="shared" si="59"/>
        <v>2.2651222651222649E-16</v>
      </c>
      <c r="Y95" s="205">
        <f t="shared" si="60"/>
        <v>3.509180380286169</v>
      </c>
    </row>
    <row r="96" spans="1:27">
      <c r="A96" t="s">
        <v>778</v>
      </c>
      <c r="D96">
        <v>1</v>
      </c>
      <c r="E96">
        <v>1.2</v>
      </c>
      <c r="H96" s="1">
        <f t="shared" si="44"/>
        <v>0</v>
      </c>
      <c r="I96" s="43">
        <f t="shared" si="45"/>
        <v>6.4889229343629337E-7</v>
      </c>
      <c r="J96" s="1">
        <f t="shared" si="46"/>
        <v>0</v>
      </c>
      <c r="K96" s="1">
        <f t="shared" si="47"/>
        <v>0</v>
      </c>
      <c r="L96" s="43">
        <f t="shared" si="48"/>
        <v>2.3919691119691116E-6</v>
      </c>
      <c r="M96" s="43">
        <f t="shared" si="49"/>
        <v>1.1660849420849419E-6</v>
      </c>
      <c r="N96" s="43">
        <f t="shared" si="50"/>
        <v>1.5946460746460745E-8</v>
      </c>
      <c r="O96" s="43">
        <f t="shared" si="51"/>
        <v>1.0903898856840032E-2</v>
      </c>
      <c r="P96" s="43">
        <f t="shared" si="52"/>
        <v>1.3059096070860774E-3</v>
      </c>
      <c r="Q96" s="43">
        <v>85.36</v>
      </c>
      <c r="R96" s="43">
        <f t="shared" si="53"/>
        <v>5.1444923915512154E-4</v>
      </c>
      <c r="S96" s="43">
        <f t="shared" si="54"/>
        <v>6.2789189189189187E-2</v>
      </c>
      <c r="T96" s="43">
        <f t="shared" si="55"/>
        <v>0.12557837837837837</v>
      </c>
      <c r="U96" s="43">
        <f t="shared" si="56"/>
        <v>3.1711711711711707E-7</v>
      </c>
      <c r="V96" s="43">
        <f t="shared" si="57"/>
        <v>1.9933075933075932E-8</v>
      </c>
      <c r="W96" s="43">
        <f t="shared" si="58"/>
        <v>2.2651222651222648E-7</v>
      </c>
      <c r="X96" s="43">
        <f t="shared" si="59"/>
        <v>2.2651222651222649E-16</v>
      </c>
      <c r="Y96" s="205">
        <f t="shared" si="60"/>
        <v>3.549180380286169</v>
      </c>
    </row>
    <row r="97" spans="1:27">
      <c r="A97" t="s">
        <v>779</v>
      </c>
      <c r="D97">
        <v>1</v>
      </c>
      <c r="E97">
        <v>1.2</v>
      </c>
      <c r="H97" s="1">
        <f t="shared" si="44"/>
        <v>0</v>
      </c>
      <c r="I97" s="43">
        <f t="shared" si="45"/>
        <v>6.4889229343629337E-7</v>
      </c>
      <c r="J97" s="1">
        <f t="shared" si="46"/>
        <v>0</v>
      </c>
      <c r="K97" s="1">
        <f t="shared" si="47"/>
        <v>0</v>
      </c>
      <c r="L97" s="43">
        <f t="shared" si="48"/>
        <v>2.3919691119691116E-6</v>
      </c>
      <c r="M97" s="43">
        <f t="shared" si="49"/>
        <v>1.1660849420849419E-6</v>
      </c>
      <c r="N97" s="43">
        <f t="shared" si="50"/>
        <v>1.5946460746460745E-8</v>
      </c>
      <c r="O97" s="43">
        <f t="shared" si="51"/>
        <v>1.0903898856840032E-2</v>
      </c>
      <c r="P97" s="43">
        <f t="shared" si="52"/>
        <v>1.3059096070860774E-3</v>
      </c>
      <c r="Q97" s="43">
        <v>86.36</v>
      </c>
      <c r="R97" s="43">
        <f t="shared" si="53"/>
        <v>5.1444923915512154E-4</v>
      </c>
      <c r="S97" s="43">
        <f t="shared" si="54"/>
        <v>6.2789189189189187E-2</v>
      </c>
      <c r="T97" s="43">
        <f t="shared" si="55"/>
        <v>0.12557837837837837</v>
      </c>
      <c r="U97" s="43">
        <f t="shared" si="56"/>
        <v>3.1711711711711707E-7</v>
      </c>
      <c r="V97" s="43">
        <f t="shared" si="57"/>
        <v>1.9933075933075932E-8</v>
      </c>
      <c r="W97" s="43">
        <f t="shared" si="58"/>
        <v>2.2651222651222648E-7</v>
      </c>
      <c r="X97" s="43">
        <f t="shared" si="59"/>
        <v>2.2651222651222649E-16</v>
      </c>
      <c r="Y97" s="205">
        <f t="shared" si="60"/>
        <v>3.589180380286169</v>
      </c>
    </row>
    <row r="98" spans="1:27">
      <c r="A98" t="s">
        <v>780</v>
      </c>
      <c r="D98">
        <v>1</v>
      </c>
      <c r="E98">
        <v>1.2</v>
      </c>
      <c r="H98" s="1">
        <f t="shared" si="44"/>
        <v>0</v>
      </c>
      <c r="I98" s="43">
        <f t="shared" si="45"/>
        <v>6.4889229343629337E-7</v>
      </c>
      <c r="J98" s="1">
        <f t="shared" si="46"/>
        <v>0</v>
      </c>
      <c r="K98" s="1">
        <f t="shared" si="47"/>
        <v>0</v>
      </c>
      <c r="L98" s="43">
        <f t="shared" si="48"/>
        <v>2.3919691119691116E-6</v>
      </c>
      <c r="M98" s="43">
        <f t="shared" si="49"/>
        <v>1.1660849420849419E-6</v>
      </c>
      <c r="N98" s="43">
        <f t="shared" si="50"/>
        <v>1.5946460746460745E-8</v>
      </c>
      <c r="O98" s="43">
        <f t="shared" si="51"/>
        <v>1.0903898856840032E-2</v>
      </c>
      <c r="P98" s="43">
        <f t="shared" si="52"/>
        <v>1.3059096070860774E-3</v>
      </c>
      <c r="Q98" s="43">
        <v>87.36</v>
      </c>
      <c r="R98" s="43">
        <f t="shared" si="53"/>
        <v>5.1444923915512154E-4</v>
      </c>
      <c r="S98" s="43">
        <f t="shared" si="54"/>
        <v>6.2789189189189187E-2</v>
      </c>
      <c r="T98" s="43">
        <f t="shared" si="55"/>
        <v>0.12557837837837837</v>
      </c>
      <c r="U98" s="43">
        <f t="shared" si="56"/>
        <v>3.1711711711711707E-7</v>
      </c>
      <c r="V98" s="43">
        <f t="shared" si="57"/>
        <v>1.9933075933075932E-8</v>
      </c>
      <c r="W98" s="43">
        <f t="shared" si="58"/>
        <v>2.2651222651222648E-7</v>
      </c>
      <c r="X98" s="43">
        <f t="shared" si="59"/>
        <v>2.2651222651222649E-16</v>
      </c>
      <c r="Y98" s="205">
        <f t="shared" si="60"/>
        <v>3.6291803802861691</v>
      </c>
    </row>
    <row r="99" spans="1:27">
      <c r="A99" t="s">
        <v>781</v>
      </c>
      <c r="D99">
        <v>1</v>
      </c>
      <c r="E99">
        <v>1.2</v>
      </c>
      <c r="H99" s="1">
        <f t="shared" si="44"/>
        <v>0</v>
      </c>
      <c r="I99" s="43">
        <f t="shared" si="45"/>
        <v>6.4889229343629337E-7</v>
      </c>
      <c r="J99" s="1">
        <f t="shared" si="46"/>
        <v>0</v>
      </c>
      <c r="K99" s="1">
        <f t="shared" si="47"/>
        <v>0</v>
      </c>
      <c r="L99" s="43">
        <f t="shared" si="48"/>
        <v>2.3919691119691116E-6</v>
      </c>
      <c r="M99" s="43">
        <f t="shared" si="49"/>
        <v>1.1660849420849419E-6</v>
      </c>
      <c r="N99" s="43">
        <f t="shared" si="50"/>
        <v>1.5946460746460745E-8</v>
      </c>
      <c r="O99" s="43">
        <f t="shared" si="51"/>
        <v>1.0903898856840032E-2</v>
      </c>
      <c r="P99" s="43">
        <f t="shared" si="52"/>
        <v>1.3059096070860774E-3</v>
      </c>
      <c r="Q99" s="43">
        <v>88.36</v>
      </c>
      <c r="R99" s="43">
        <f t="shared" si="53"/>
        <v>5.1444923915512154E-4</v>
      </c>
      <c r="S99" s="43">
        <f t="shared" si="54"/>
        <v>6.2789189189189187E-2</v>
      </c>
      <c r="T99" s="43">
        <f t="shared" si="55"/>
        <v>0.12557837837837837</v>
      </c>
      <c r="U99" s="43">
        <f t="shared" si="56"/>
        <v>3.1711711711711707E-7</v>
      </c>
      <c r="V99" s="43">
        <f t="shared" si="57"/>
        <v>1.9933075933075932E-8</v>
      </c>
      <c r="W99" s="43">
        <f t="shared" si="58"/>
        <v>2.2651222651222648E-7</v>
      </c>
      <c r="X99" s="43">
        <f t="shared" si="59"/>
        <v>2.2651222651222649E-16</v>
      </c>
      <c r="Y99" s="205">
        <f t="shared" si="60"/>
        <v>3.6691803802861691</v>
      </c>
    </row>
    <row r="100" spans="1:27">
      <c r="A100" t="s">
        <v>782</v>
      </c>
      <c r="D100">
        <v>1</v>
      </c>
      <c r="E100">
        <v>1.2</v>
      </c>
      <c r="H100" s="1">
        <f t="shared" si="44"/>
        <v>0</v>
      </c>
      <c r="I100" s="43">
        <f t="shared" si="45"/>
        <v>6.4889229343629337E-7</v>
      </c>
      <c r="J100" s="1">
        <f t="shared" si="46"/>
        <v>0</v>
      </c>
      <c r="K100" s="1">
        <f t="shared" si="47"/>
        <v>0</v>
      </c>
      <c r="L100" s="43">
        <f t="shared" si="48"/>
        <v>2.3919691119691116E-6</v>
      </c>
      <c r="M100" s="43">
        <f t="shared" si="49"/>
        <v>1.1660849420849419E-6</v>
      </c>
      <c r="N100" s="43">
        <f t="shared" si="50"/>
        <v>1.5946460746460745E-8</v>
      </c>
      <c r="O100" s="43">
        <f t="shared" si="51"/>
        <v>1.0903898856840032E-2</v>
      </c>
      <c r="P100" s="43">
        <f t="shared" si="52"/>
        <v>1.3059096070860774E-3</v>
      </c>
      <c r="Q100" s="43">
        <v>89.36</v>
      </c>
      <c r="R100" s="43">
        <f t="shared" si="53"/>
        <v>5.1444923915512154E-4</v>
      </c>
      <c r="S100" s="43">
        <f t="shared" si="54"/>
        <v>6.2789189189189187E-2</v>
      </c>
      <c r="T100" s="43">
        <f t="shared" si="55"/>
        <v>0.12557837837837837</v>
      </c>
      <c r="U100" s="43">
        <f t="shared" si="56"/>
        <v>3.1711711711711707E-7</v>
      </c>
      <c r="V100" s="43">
        <f t="shared" si="57"/>
        <v>1.9933075933075932E-8</v>
      </c>
      <c r="W100" s="43">
        <f t="shared" si="58"/>
        <v>2.2651222651222648E-7</v>
      </c>
      <c r="X100" s="43">
        <f t="shared" si="59"/>
        <v>2.2651222651222649E-16</v>
      </c>
      <c r="Y100" s="205">
        <f t="shared" si="60"/>
        <v>3.7091803802861691</v>
      </c>
    </row>
    <row r="101" spans="1:27">
      <c r="A101" t="s">
        <v>783</v>
      </c>
      <c r="D101">
        <v>1</v>
      </c>
      <c r="E101">
        <v>1.2</v>
      </c>
      <c r="H101" s="1">
        <f t="shared" si="44"/>
        <v>0</v>
      </c>
      <c r="I101" s="43">
        <f t="shared" si="45"/>
        <v>6.4889229343629337E-7</v>
      </c>
      <c r="J101" s="1">
        <f t="shared" si="46"/>
        <v>0</v>
      </c>
      <c r="K101" s="1">
        <f t="shared" si="47"/>
        <v>0</v>
      </c>
      <c r="L101" s="43">
        <f t="shared" si="48"/>
        <v>2.3919691119691116E-6</v>
      </c>
      <c r="M101" s="43">
        <f t="shared" si="49"/>
        <v>1.1660849420849419E-6</v>
      </c>
      <c r="N101" s="43">
        <f t="shared" si="50"/>
        <v>1.5946460746460745E-8</v>
      </c>
      <c r="O101" s="43">
        <f t="shared" si="51"/>
        <v>1.0903898856840032E-2</v>
      </c>
      <c r="P101" s="43">
        <f t="shared" si="52"/>
        <v>1.3059096070860774E-3</v>
      </c>
      <c r="Q101" s="43">
        <v>90.36</v>
      </c>
      <c r="R101" s="43">
        <f t="shared" si="53"/>
        <v>5.1444923915512154E-4</v>
      </c>
      <c r="S101" s="43">
        <f t="shared" si="54"/>
        <v>6.2789189189189187E-2</v>
      </c>
      <c r="T101" s="43">
        <f t="shared" si="55"/>
        <v>0.12557837837837837</v>
      </c>
      <c r="U101" s="43">
        <f t="shared" si="56"/>
        <v>3.1711711711711707E-7</v>
      </c>
      <c r="V101" s="43">
        <f t="shared" si="57"/>
        <v>1.9933075933075932E-8</v>
      </c>
      <c r="W101" s="43">
        <f t="shared" si="58"/>
        <v>2.2651222651222648E-7</v>
      </c>
      <c r="X101" s="43">
        <f t="shared" si="59"/>
        <v>2.2651222651222649E-16</v>
      </c>
      <c r="Y101" s="205">
        <f t="shared" si="60"/>
        <v>3.7491803802861687</v>
      </c>
    </row>
    <row r="102" spans="1:27">
      <c r="A102" t="s">
        <v>784</v>
      </c>
      <c r="D102">
        <v>2</v>
      </c>
      <c r="E102">
        <v>1.2</v>
      </c>
      <c r="H102" s="1">
        <f t="shared" si="44"/>
        <v>0</v>
      </c>
      <c r="I102" s="43">
        <f t="shared" si="45"/>
        <v>1.2977845868725867E-6</v>
      </c>
      <c r="J102" s="1">
        <f t="shared" si="46"/>
        <v>0</v>
      </c>
      <c r="K102" s="1">
        <f t="shared" si="47"/>
        <v>0</v>
      </c>
      <c r="L102" s="43">
        <f t="shared" si="48"/>
        <v>4.7839382239382231E-6</v>
      </c>
      <c r="M102" s="43">
        <f t="shared" si="49"/>
        <v>2.3321698841698838E-6</v>
      </c>
      <c r="N102" s="43">
        <f t="shared" si="50"/>
        <v>3.1892921492921491E-8</v>
      </c>
      <c r="O102" s="43">
        <f t="shared" si="51"/>
        <v>1.0903898856840032E-2</v>
      </c>
      <c r="P102" s="43">
        <f t="shared" si="52"/>
        <v>2.6118192141721549E-3</v>
      </c>
      <c r="Q102" s="43">
        <v>91.36</v>
      </c>
      <c r="R102" s="43">
        <f t="shared" si="53"/>
        <v>1.0288984783102431E-3</v>
      </c>
      <c r="S102" s="43">
        <f t="shared" si="54"/>
        <v>0.12557837837837837</v>
      </c>
      <c r="T102" s="43">
        <f t="shared" si="55"/>
        <v>0.25115675675675675</v>
      </c>
      <c r="U102" s="43">
        <f t="shared" si="56"/>
        <v>6.3423423423423414E-7</v>
      </c>
      <c r="V102" s="43">
        <f t="shared" si="57"/>
        <v>3.9866151866151864E-8</v>
      </c>
      <c r="W102" s="43">
        <f t="shared" si="58"/>
        <v>4.5302445302445296E-7</v>
      </c>
      <c r="X102" s="43">
        <f t="shared" si="59"/>
        <v>4.5302445302445297E-16</v>
      </c>
      <c r="Y102" s="205">
        <f t="shared" si="60"/>
        <v>3.9215619028238322</v>
      </c>
    </row>
    <row r="103" spans="1:27">
      <c r="A103" t="s">
        <v>785</v>
      </c>
      <c r="D103">
        <v>1</v>
      </c>
      <c r="E103">
        <v>1.2</v>
      </c>
      <c r="H103" s="1">
        <f t="shared" si="44"/>
        <v>0</v>
      </c>
      <c r="I103" s="43">
        <f t="shared" si="45"/>
        <v>6.4889229343629337E-7</v>
      </c>
      <c r="J103" s="1">
        <f t="shared" si="46"/>
        <v>0</v>
      </c>
      <c r="K103" s="1">
        <f t="shared" si="47"/>
        <v>0</v>
      </c>
      <c r="L103" s="43">
        <f t="shared" si="48"/>
        <v>2.3919691119691116E-6</v>
      </c>
      <c r="M103" s="43">
        <f t="shared" si="49"/>
        <v>1.1660849420849419E-6</v>
      </c>
      <c r="N103" s="43">
        <f t="shared" si="50"/>
        <v>1.5946460746460745E-8</v>
      </c>
      <c r="O103" s="43">
        <f t="shared" si="51"/>
        <v>1.0903898856840032E-2</v>
      </c>
      <c r="P103" s="43">
        <f t="shared" si="52"/>
        <v>1.3059096070860774E-3</v>
      </c>
      <c r="Q103" s="43">
        <v>92.36</v>
      </c>
      <c r="R103" s="43">
        <f t="shared" si="53"/>
        <v>5.1444923915512154E-4</v>
      </c>
      <c r="S103" s="43">
        <f t="shared" si="54"/>
        <v>6.2789189189189187E-2</v>
      </c>
      <c r="T103" s="43">
        <f t="shared" si="55"/>
        <v>0.12557837837837837</v>
      </c>
      <c r="U103" s="43">
        <f t="shared" si="56"/>
        <v>3.1711711711711707E-7</v>
      </c>
      <c r="V103" s="43">
        <f t="shared" si="57"/>
        <v>1.9933075933075932E-8</v>
      </c>
      <c r="W103" s="43">
        <f t="shared" si="58"/>
        <v>2.2651222651222648E-7</v>
      </c>
      <c r="X103" s="43">
        <f t="shared" si="59"/>
        <v>2.2651222651222649E-16</v>
      </c>
      <c r="Y103" s="205">
        <f t="shared" si="60"/>
        <v>3.8291803802861688</v>
      </c>
    </row>
    <row r="104" spans="1:27">
      <c r="A104" t="s">
        <v>786</v>
      </c>
      <c r="D104">
        <v>1</v>
      </c>
      <c r="E104">
        <v>1.2</v>
      </c>
      <c r="H104" s="1">
        <f t="shared" si="44"/>
        <v>0</v>
      </c>
      <c r="I104" s="43">
        <f t="shared" si="45"/>
        <v>6.4889229343629337E-7</v>
      </c>
      <c r="J104" s="1">
        <f t="shared" si="46"/>
        <v>0</v>
      </c>
      <c r="K104" s="1">
        <f t="shared" si="47"/>
        <v>0</v>
      </c>
      <c r="L104" s="43">
        <f t="shared" si="48"/>
        <v>2.3919691119691116E-6</v>
      </c>
      <c r="M104" s="43">
        <f t="shared" si="49"/>
        <v>1.1660849420849419E-6</v>
      </c>
      <c r="N104" s="43">
        <f t="shared" si="50"/>
        <v>1.5946460746460745E-8</v>
      </c>
      <c r="O104" s="43">
        <f t="shared" si="51"/>
        <v>1.0903898856840032E-2</v>
      </c>
      <c r="P104" s="43">
        <f t="shared" si="52"/>
        <v>1.3059096070860774E-3</v>
      </c>
      <c r="Q104" s="43">
        <v>93.36</v>
      </c>
      <c r="R104" s="43">
        <f t="shared" si="53"/>
        <v>5.1444923915512154E-4</v>
      </c>
      <c r="S104" s="43">
        <f t="shared" si="54"/>
        <v>6.2789189189189187E-2</v>
      </c>
      <c r="T104" s="43">
        <f t="shared" si="55"/>
        <v>0.12557837837837837</v>
      </c>
      <c r="U104" s="43">
        <f t="shared" si="56"/>
        <v>3.1711711711711707E-7</v>
      </c>
      <c r="V104" s="43">
        <f t="shared" si="57"/>
        <v>1.9933075933075932E-8</v>
      </c>
      <c r="W104" s="43">
        <f t="shared" si="58"/>
        <v>2.2651222651222648E-7</v>
      </c>
      <c r="X104" s="43">
        <f t="shared" si="59"/>
        <v>2.2651222651222649E-16</v>
      </c>
      <c r="Y104" s="205">
        <f t="shared" si="60"/>
        <v>3.8691803802861688</v>
      </c>
    </row>
    <row r="105" spans="1:27">
      <c r="A105" t="s">
        <v>787</v>
      </c>
      <c r="D105">
        <v>1</v>
      </c>
      <c r="E105">
        <v>1.2</v>
      </c>
      <c r="H105" s="1">
        <f t="shared" si="44"/>
        <v>0</v>
      </c>
      <c r="I105" s="43">
        <f t="shared" si="45"/>
        <v>6.4889229343629337E-7</v>
      </c>
      <c r="J105" s="1">
        <f t="shared" si="46"/>
        <v>0</v>
      </c>
      <c r="K105" s="1">
        <f t="shared" si="47"/>
        <v>0</v>
      </c>
      <c r="L105" s="43">
        <f t="shared" si="48"/>
        <v>2.3919691119691116E-6</v>
      </c>
      <c r="M105" s="43">
        <f t="shared" si="49"/>
        <v>1.1660849420849419E-6</v>
      </c>
      <c r="N105" s="43">
        <f t="shared" si="50"/>
        <v>1.5946460746460745E-8</v>
      </c>
      <c r="O105" s="43">
        <f t="shared" si="51"/>
        <v>1.0903898856840032E-2</v>
      </c>
      <c r="P105" s="43">
        <f t="shared" si="52"/>
        <v>1.3059096070860774E-3</v>
      </c>
      <c r="Q105" s="43">
        <v>94.36</v>
      </c>
      <c r="R105" s="43">
        <f t="shared" si="53"/>
        <v>5.1444923915512154E-4</v>
      </c>
      <c r="S105" s="43">
        <f t="shared" si="54"/>
        <v>6.2789189189189187E-2</v>
      </c>
      <c r="T105" s="43">
        <f t="shared" si="55"/>
        <v>0.12557837837837837</v>
      </c>
      <c r="U105" s="43">
        <f t="shared" si="56"/>
        <v>3.1711711711711707E-7</v>
      </c>
      <c r="V105" s="43">
        <f t="shared" si="57"/>
        <v>1.9933075933075932E-8</v>
      </c>
      <c r="W105" s="43">
        <f t="shared" si="58"/>
        <v>2.2651222651222648E-7</v>
      </c>
      <c r="X105" s="43">
        <f t="shared" si="59"/>
        <v>2.2651222651222649E-16</v>
      </c>
      <c r="Y105" s="205">
        <f t="shared" si="60"/>
        <v>3.9091803802861689</v>
      </c>
    </row>
    <row r="106" spans="1:27">
      <c r="A106" t="s">
        <v>788</v>
      </c>
      <c r="D106">
        <v>1</v>
      </c>
      <c r="E106">
        <v>1.2</v>
      </c>
      <c r="H106" s="1">
        <f t="shared" si="44"/>
        <v>0</v>
      </c>
      <c r="I106" s="43">
        <f t="shared" si="45"/>
        <v>6.4889229343629337E-7</v>
      </c>
      <c r="J106" s="1">
        <f t="shared" si="46"/>
        <v>0</v>
      </c>
      <c r="K106" s="1">
        <f t="shared" si="47"/>
        <v>0</v>
      </c>
      <c r="L106" s="43">
        <f t="shared" si="48"/>
        <v>2.3919691119691116E-6</v>
      </c>
      <c r="M106" s="43">
        <f t="shared" si="49"/>
        <v>1.1660849420849419E-6</v>
      </c>
      <c r="N106" s="43">
        <f t="shared" si="50"/>
        <v>1.5946460746460745E-8</v>
      </c>
      <c r="O106" s="43">
        <f t="shared" si="51"/>
        <v>1.0903898856840032E-2</v>
      </c>
      <c r="P106" s="43">
        <f t="shared" si="52"/>
        <v>1.3059096070860774E-3</v>
      </c>
      <c r="Q106" s="43">
        <v>95.36</v>
      </c>
      <c r="R106" s="43">
        <f t="shared" si="53"/>
        <v>5.1444923915512154E-4</v>
      </c>
      <c r="S106" s="43">
        <f t="shared" si="54"/>
        <v>6.2789189189189187E-2</v>
      </c>
      <c r="T106" s="43">
        <f t="shared" si="55"/>
        <v>0.12557837837837837</v>
      </c>
      <c r="U106" s="43">
        <f t="shared" si="56"/>
        <v>3.1711711711711707E-7</v>
      </c>
      <c r="V106" s="43">
        <f t="shared" si="57"/>
        <v>1.9933075933075932E-8</v>
      </c>
      <c r="W106" s="43">
        <f t="shared" si="58"/>
        <v>2.2651222651222648E-7</v>
      </c>
      <c r="X106" s="43">
        <f t="shared" si="59"/>
        <v>2.2651222651222649E-16</v>
      </c>
      <c r="Y106" s="205">
        <f t="shared" si="60"/>
        <v>3.9491803802861689</v>
      </c>
    </row>
    <row r="107" spans="1:27">
      <c r="A107" t="s">
        <v>789</v>
      </c>
      <c r="D107">
        <v>1</v>
      </c>
      <c r="E107">
        <v>1.2</v>
      </c>
      <c r="H107" s="1">
        <f t="shared" si="44"/>
        <v>0</v>
      </c>
      <c r="I107" s="43">
        <f t="shared" si="45"/>
        <v>6.4889229343629337E-7</v>
      </c>
      <c r="J107" s="1">
        <f t="shared" si="46"/>
        <v>0</v>
      </c>
      <c r="K107" s="1">
        <f t="shared" si="47"/>
        <v>0</v>
      </c>
      <c r="L107" s="43">
        <f t="shared" si="48"/>
        <v>2.3919691119691116E-6</v>
      </c>
      <c r="M107" s="43">
        <f t="shared" si="49"/>
        <v>1.1660849420849419E-6</v>
      </c>
      <c r="N107" s="43">
        <f t="shared" si="50"/>
        <v>1.5946460746460745E-8</v>
      </c>
      <c r="O107" s="43">
        <f t="shared" si="51"/>
        <v>1.0903898856840032E-2</v>
      </c>
      <c r="P107" s="43">
        <f t="shared" si="52"/>
        <v>1.3059096070860774E-3</v>
      </c>
      <c r="Q107" s="43">
        <v>96.36</v>
      </c>
      <c r="R107" s="43">
        <f t="shared" si="53"/>
        <v>5.1444923915512154E-4</v>
      </c>
      <c r="S107" s="43">
        <f t="shared" si="54"/>
        <v>6.2789189189189187E-2</v>
      </c>
      <c r="T107" s="43">
        <f t="shared" si="55"/>
        <v>0.12557837837837837</v>
      </c>
      <c r="U107" s="43">
        <f t="shared" si="56"/>
        <v>3.1711711711711707E-7</v>
      </c>
      <c r="V107" s="43">
        <f t="shared" si="57"/>
        <v>1.9933075933075932E-8</v>
      </c>
      <c r="W107" s="43">
        <f t="shared" si="58"/>
        <v>2.2651222651222648E-7</v>
      </c>
      <c r="X107" s="43">
        <f t="shared" si="59"/>
        <v>2.2651222651222649E-16</v>
      </c>
      <c r="Y107" s="205">
        <f t="shared" si="60"/>
        <v>3.9891803802861689</v>
      </c>
    </row>
    <row r="108" spans="1:27" ht="15">
      <c r="A108" s="45" t="s">
        <v>1862</v>
      </c>
      <c r="D108">
        <v>2019</v>
      </c>
      <c r="E108">
        <v>1.2</v>
      </c>
      <c r="F108">
        <v>0.73</v>
      </c>
      <c r="H108" s="1">
        <f t="shared" si="44"/>
        <v>1.3066999999999999E-4</v>
      </c>
      <c r="I108" s="43">
        <f t="shared" si="45"/>
        <v>1.3101135404478762E-3</v>
      </c>
      <c r="J108" s="1">
        <f t="shared" si="46"/>
        <v>9.7089999999999989E-7</v>
      </c>
      <c r="K108" s="1">
        <f t="shared" si="47"/>
        <v>1.9418000000000001E-4</v>
      </c>
      <c r="L108" s="43">
        <f t="shared" si="48"/>
        <v>4.8293856370656366E-3</v>
      </c>
      <c r="M108" s="43">
        <f t="shared" si="49"/>
        <v>2.3543254980694975E-3</v>
      </c>
      <c r="N108" s="43">
        <f t="shared" si="50"/>
        <v>3.2195904247104243E-5</v>
      </c>
      <c r="O108" s="43">
        <f t="shared" si="51"/>
        <v>1.0903898856840032E-2</v>
      </c>
      <c r="P108" s="43">
        <f t="shared" si="52"/>
        <v>2.6366314967067903</v>
      </c>
      <c r="Q108" s="43">
        <v>97.36</v>
      </c>
      <c r="R108" s="43">
        <f t="shared" si="53"/>
        <v>1.0386730138541904</v>
      </c>
      <c r="S108" s="43">
        <f t="shared" si="54"/>
        <v>126.77137297297297</v>
      </c>
      <c r="T108" s="43">
        <f t="shared" si="55"/>
        <v>253.54274594594594</v>
      </c>
      <c r="U108" s="43">
        <f t="shared" si="56"/>
        <v>6.4025945945945931E-4</v>
      </c>
      <c r="V108" s="43">
        <f t="shared" si="57"/>
        <v>4.0244880308880305E-5</v>
      </c>
      <c r="W108" s="43">
        <f t="shared" si="58"/>
        <v>4.5732818532818526E-4</v>
      </c>
      <c r="X108" s="43">
        <f t="shared" si="59"/>
        <v>4.5732818532818529E-13</v>
      </c>
      <c r="Y108" s="205">
        <f t="shared" si="60"/>
        <v>279.36155011129142</v>
      </c>
    </row>
    <row r="109" spans="1:27" s="45" customFormat="1">
      <c r="A109" s="45" t="s">
        <v>931</v>
      </c>
      <c r="D109" s="45">
        <v>160</v>
      </c>
      <c r="E109" s="45">
        <v>1.2</v>
      </c>
      <c r="F109" s="45">
        <v>0.12</v>
      </c>
      <c r="H109" s="128">
        <f t="shared" si="44"/>
        <v>2.1479999999999998E-5</v>
      </c>
      <c r="I109" s="129">
        <f t="shared" si="45"/>
        <v>1.0382276694980694E-4</v>
      </c>
      <c r="J109" s="128">
        <f t="shared" si="46"/>
        <v>1.596E-7</v>
      </c>
      <c r="K109" s="128">
        <f t="shared" si="47"/>
        <v>3.1919999999999999E-5</v>
      </c>
      <c r="L109" s="129">
        <f t="shared" si="48"/>
        <v>3.8271505791505784E-4</v>
      </c>
      <c r="M109" s="129">
        <f t="shared" si="49"/>
        <v>1.865735907335907E-4</v>
      </c>
      <c r="N109" s="129">
        <f t="shared" si="50"/>
        <v>2.5514337194337193E-6</v>
      </c>
      <c r="O109" s="129">
        <f t="shared" si="51"/>
        <v>1.0903898856840032E-2</v>
      </c>
      <c r="P109" s="129">
        <f t="shared" si="52"/>
        <v>0.2089455371337724</v>
      </c>
      <c r="Q109" s="129">
        <v>98.36</v>
      </c>
      <c r="R109" s="129">
        <f t="shared" si="53"/>
        <v>8.2311878264819449E-2</v>
      </c>
      <c r="S109" s="129">
        <f t="shared" si="54"/>
        <v>10.04627027027027</v>
      </c>
      <c r="T109" s="129">
        <f t="shared" si="55"/>
        <v>20.09254054054054</v>
      </c>
      <c r="U109" s="129">
        <f t="shared" si="56"/>
        <v>5.0738738738738734E-5</v>
      </c>
      <c r="V109" s="129">
        <f t="shared" si="57"/>
        <v>3.1892921492921492E-6</v>
      </c>
      <c r="W109" s="129">
        <f t="shared" si="58"/>
        <v>3.6241956241956238E-5</v>
      </c>
      <c r="X109" s="129">
        <f t="shared" si="59"/>
        <v>3.6241956241956236E-14</v>
      </c>
      <c r="Y109" s="205">
        <f t="shared" si="60"/>
        <v>26.463561463774699</v>
      </c>
      <c r="AA109" s="88" t="s">
        <v>1047</v>
      </c>
    </row>
    <row r="110" spans="1:27">
      <c r="A110" s="132" t="s">
        <v>274</v>
      </c>
      <c r="H110" s="1"/>
      <c r="I110" s="1"/>
      <c r="J110" s="1"/>
      <c r="K110" s="1"/>
      <c r="L110" s="1"/>
      <c r="M110" s="1"/>
      <c r="N110" s="1"/>
      <c r="O110" s="1"/>
      <c r="P110" s="1"/>
      <c r="Q110" s="1"/>
      <c r="R110" s="1"/>
      <c r="S110" s="1"/>
      <c r="T110" s="1"/>
      <c r="U110" s="1"/>
      <c r="V110" s="1"/>
      <c r="W110" s="1"/>
      <c r="X110" s="1"/>
      <c r="Y110" s="197"/>
    </row>
    <row r="111" spans="1:27">
      <c r="A111" s="45" t="s">
        <v>638</v>
      </c>
      <c r="D111">
        <v>3</v>
      </c>
      <c r="E111">
        <v>1.2</v>
      </c>
      <c r="F111">
        <v>0.51</v>
      </c>
      <c r="H111" s="1">
        <f t="shared" ref="H111:H120" si="61">F111*0.000179</f>
        <v>9.1289999999999988E-5</v>
      </c>
      <c r="I111" s="43">
        <f t="shared" si="45"/>
        <v>1.9466768803088802E-6</v>
      </c>
      <c r="J111" s="1">
        <f t="shared" si="46"/>
        <v>6.7830000000000003E-7</v>
      </c>
      <c r="K111" s="1">
        <f t="shared" si="47"/>
        <v>1.3566000000000001E-4</v>
      </c>
      <c r="L111" s="43">
        <f t="shared" ref="L111:L120" si="62">CO2_malnutrition_charfact*D111</f>
        <v>7.1759073359073351E-6</v>
      </c>
      <c r="M111" s="43">
        <f t="shared" ref="M111:M120" si="63">CO2_workingcapacity_charfact*D111</f>
        <v>3.4982548262548259E-6</v>
      </c>
      <c r="N111" s="43">
        <f t="shared" ref="N111:N120" si="64">CO2_diarrhea_charfact*D111</f>
        <v>4.7839382239382236E-8</v>
      </c>
      <c r="O111" s="43">
        <f t="shared" ref="O111:O120" si="65">CO2_crop_charfact</f>
        <v>1.0903898856840032E-2</v>
      </c>
      <c r="P111" s="43">
        <f t="shared" ref="P111:P120" si="66">CO2_fruitandveg_charfact*D111</f>
        <v>3.9177288212582321E-3</v>
      </c>
      <c r="Q111" s="43">
        <v>98.36</v>
      </c>
      <c r="R111" s="43">
        <f t="shared" ref="R111:R120" si="67">CO2_meatandfish_charfact*D111</f>
        <v>1.5433477174653645E-3</v>
      </c>
      <c r="S111" s="43">
        <f t="shared" ref="S111:S120" si="68">CO2_drinkingwater_charfact*D111</f>
        <v>0.18836756756756756</v>
      </c>
      <c r="T111" s="43">
        <f t="shared" ref="T111:T120" si="69">CO2_irrigationwater_charfact*D111</f>
        <v>0.37673513513513512</v>
      </c>
      <c r="U111" s="43">
        <f t="shared" ref="U111:U120" si="70">CO2_energyaccess_charfact*D111</f>
        <v>9.5135135135135121E-7</v>
      </c>
      <c r="V111" s="43">
        <f t="shared" ref="V111:V120" si="71">CO2_housing_charfact*D111</f>
        <v>5.9799227799227792E-8</v>
      </c>
      <c r="W111" s="43">
        <f t="shared" ref="W111:W120" si="72">CO2_separations_charfact*D111</f>
        <v>6.7953667953667942E-7</v>
      </c>
      <c r="X111" s="43">
        <f t="shared" ref="X111:X120" si="73">CO2_NEX_charfact*D111</f>
        <v>6.7953667953667951E-16</v>
      </c>
      <c r="Y111" s="205">
        <f t="shared" ref="Y111:Y120" si="74">(H111+I111)*YOLLvalue+J111*skincancervalue+K111*Lowvisionvalue+L111*malnutrition+M111*working_capacity+N111*diarrhea+O111*cropvalue+P111*Fruitandveg_value+Q111*woodvalue+R111*fishandmeatvalue+S111*drinkingwatervalue+T111*irrigationwatervalue+U111*energy_access+V111*housingvalue+W111*migrationvalue+X111*speciesvalue</f>
        <v>10.053249175361493</v>
      </c>
    </row>
    <row r="112" spans="1:27">
      <c r="A112" s="45" t="s">
        <v>790</v>
      </c>
      <c r="D112">
        <v>1</v>
      </c>
      <c r="E112">
        <v>1.2</v>
      </c>
      <c r="H112" s="1">
        <f t="shared" si="61"/>
        <v>0</v>
      </c>
      <c r="I112" s="43">
        <f t="shared" si="45"/>
        <v>6.4889229343629337E-7</v>
      </c>
      <c r="J112" s="1">
        <f t="shared" si="46"/>
        <v>0</v>
      </c>
      <c r="K112" s="1">
        <f t="shared" si="47"/>
        <v>0</v>
      </c>
      <c r="L112" s="43">
        <f t="shared" si="62"/>
        <v>2.3919691119691116E-6</v>
      </c>
      <c r="M112" s="43">
        <f t="shared" si="63"/>
        <v>1.1660849420849419E-6</v>
      </c>
      <c r="N112" s="43">
        <f t="shared" si="64"/>
        <v>1.5946460746460745E-8</v>
      </c>
      <c r="O112" s="43">
        <f t="shared" si="65"/>
        <v>1.0903898856840032E-2</v>
      </c>
      <c r="P112" s="43">
        <f t="shared" si="66"/>
        <v>1.3059096070860774E-3</v>
      </c>
      <c r="Q112" s="43">
        <v>99.36</v>
      </c>
      <c r="R112" s="43">
        <f t="shared" si="67"/>
        <v>5.1444923915512154E-4</v>
      </c>
      <c r="S112" s="43">
        <f t="shared" si="68"/>
        <v>6.2789189189189187E-2</v>
      </c>
      <c r="T112" s="43">
        <f t="shared" si="69"/>
        <v>0.12557837837837837</v>
      </c>
      <c r="U112" s="43">
        <f t="shared" si="70"/>
        <v>3.1711711711711707E-7</v>
      </c>
      <c r="V112" s="43">
        <f t="shared" si="71"/>
        <v>1.9933075933075932E-8</v>
      </c>
      <c r="W112" s="43">
        <f t="shared" si="72"/>
        <v>2.2651222651222648E-7</v>
      </c>
      <c r="X112" s="43">
        <f t="shared" si="73"/>
        <v>2.2651222651222649E-16</v>
      </c>
      <c r="Y112" s="205">
        <f t="shared" si="74"/>
        <v>4.1091803802861691</v>
      </c>
    </row>
    <row r="113" spans="1:25">
      <c r="A113" s="45" t="s">
        <v>792</v>
      </c>
      <c r="D113">
        <v>454</v>
      </c>
      <c r="E113">
        <v>1.2</v>
      </c>
      <c r="F113">
        <v>0.74</v>
      </c>
      <c r="H113" s="1">
        <f t="shared" si="61"/>
        <v>1.3245999999999999E-4</v>
      </c>
      <c r="I113" s="43">
        <f t="shared" si="45"/>
        <v>2.945971012200772E-4</v>
      </c>
      <c r="J113" s="1">
        <f t="shared" si="46"/>
        <v>9.8420000000000004E-7</v>
      </c>
      <c r="K113" s="1">
        <f t="shared" si="47"/>
        <v>1.9684000000000002E-4</v>
      </c>
      <c r="L113" s="43">
        <f t="shared" si="62"/>
        <v>1.0859539768339767E-3</v>
      </c>
      <c r="M113" s="43">
        <f t="shared" si="63"/>
        <v>5.2940256370656363E-4</v>
      </c>
      <c r="N113" s="43">
        <f t="shared" si="64"/>
        <v>7.2396931788931784E-6</v>
      </c>
      <c r="O113" s="43">
        <f t="shared" si="65"/>
        <v>1.0903898856840032E-2</v>
      </c>
      <c r="P113" s="43">
        <f t="shared" si="66"/>
        <v>0.59288296161707921</v>
      </c>
      <c r="Q113" s="43">
        <v>100.36</v>
      </c>
      <c r="R113" s="43">
        <f t="shared" si="67"/>
        <v>0.23355995457642517</v>
      </c>
      <c r="S113" s="43">
        <f t="shared" si="68"/>
        <v>28.506291891891891</v>
      </c>
      <c r="T113" s="43">
        <f t="shared" si="69"/>
        <v>57.012583783783782</v>
      </c>
      <c r="U113" s="43">
        <f t="shared" si="70"/>
        <v>1.4397117117117116E-4</v>
      </c>
      <c r="V113" s="43">
        <f t="shared" si="71"/>
        <v>9.0496164736164728E-6</v>
      </c>
      <c r="W113" s="43">
        <f t="shared" si="72"/>
        <v>1.0283655083655083E-4</v>
      </c>
      <c r="X113" s="43">
        <f t="shared" si="73"/>
        <v>1.0283655083655083E-13</v>
      </c>
      <c r="Y113" s="205">
        <f t="shared" si="74"/>
        <v>72.416610589847835</v>
      </c>
    </row>
    <row r="114" spans="1:25">
      <c r="A114" s="45" t="s">
        <v>791</v>
      </c>
      <c r="D114">
        <v>280</v>
      </c>
      <c r="E114">
        <v>1.2</v>
      </c>
      <c r="H114" s="1">
        <f t="shared" si="61"/>
        <v>0</v>
      </c>
      <c r="I114" s="43">
        <f t="shared" si="45"/>
        <v>1.8168984216216215E-4</v>
      </c>
      <c r="J114" s="1">
        <f t="shared" si="46"/>
        <v>0</v>
      </c>
      <c r="K114" s="1">
        <f t="shared" si="47"/>
        <v>0</v>
      </c>
      <c r="L114" s="43">
        <f t="shared" si="62"/>
        <v>6.6975135135135123E-4</v>
      </c>
      <c r="M114" s="43">
        <f t="shared" si="63"/>
        <v>3.2650378378378371E-4</v>
      </c>
      <c r="N114" s="43">
        <f t="shared" si="64"/>
        <v>4.4650090090090086E-6</v>
      </c>
      <c r="O114" s="43">
        <f t="shared" si="65"/>
        <v>1.0903898856840032E-2</v>
      </c>
      <c r="P114" s="43">
        <f t="shared" si="66"/>
        <v>0.36565468998410167</v>
      </c>
      <c r="Q114" s="43">
        <v>101.36</v>
      </c>
      <c r="R114" s="43">
        <f t="shared" si="67"/>
        <v>0.14404578696343404</v>
      </c>
      <c r="S114" s="43">
        <f t="shared" si="68"/>
        <v>17.580972972972972</v>
      </c>
      <c r="T114" s="43">
        <f t="shared" si="69"/>
        <v>35.161945945945945</v>
      </c>
      <c r="U114" s="43">
        <f t="shared" si="70"/>
        <v>8.8792792792792785E-5</v>
      </c>
      <c r="V114" s="43">
        <f t="shared" si="71"/>
        <v>5.5812612612612608E-6</v>
      </c>
      <c r="W114" s="43">
        <f t="shared" si="72"/>
        <v>6.3423423423423418E-5</v>
      </c>
      <c r="X114" s="43">
        <f t="shared" si="73"/>
        <v>6.3423423423423418E-14</v>
      </c>
      <c r="Y114" s="205">
        <f t="shared" si="74"/>
        <v>41.123625168294339</v>
      </c>
    </row>
    <row r="115" spans="1:25">
      <c r="A115" s="45" t="s">
        <v>793</v>
      </c>
      <c r="D115">
        <v>2070</v>
      </c>
      <c r="E115">
        <v>1.2</v>
      </c>
      <c r="F115">
        <v>7.1</v>
      </c>
      <c r="H115" s="1">
        <f t="shared" si="61"/>
        <v>1.2708999999999999E-3</v>
      </c>
      <c r="I115" s="43">
        <f t="shared" si="45"/>
        <v>1.3432070474131274E-3</v>
      </c>
      <c r="J115" s="1">
        <f t="shared" si="46"/>
        <v>9.4429999999999992E-6</v>
      </c>
      <c r="K115" s="1">
        <f t="shared" si="47"/>
        <v>1.8886E-3</v>
      </c>
      <c r="L115" s="43">
        <f t="shared" si="62"/>
        <v>4.9513760617760612E-3</v>
      </c>
      <c r="M115" s="43">
        <f t="shared" si="63"/>
        <v>2.4137958301158296E-3</v>
      </c>
      <c r="N115" s="43">
        <f t="shared" si="64"/>
        <v>3.3009173745173741E-5</v>
      </c>
      <c r="O115" s="43">
        <f t="shared" si="65"/>
        <v>1.0903898856840032E-2</v>
      </c>
      <c r="P115" s="43">
        <f t="shared" si="66"/>
        <v>2.7032328866681805</v>
      </c>
      <c r="Q115" s="43">
        <v>102.36</v>
      </c>
      <c r="R115" s="43">
        <f t="shared" si="67"/>
        <v>1.0649099250511016</v>
      </c>
      <c r="S115" s="43">
        <f t="shared" si="68"/>
        <v>129.97362162162162</v>
      </c>
      <c r="T115" s="43">
        <f t="shared" si="69"/>
        <v>259.94724324324324</v>
      </c>
      <c r="U115" s="43">
        <f t="shared" si="70"/>
        <v>6.5643243243243229E-4</v>
      </c>
      <c r="V115" s="43">
        <f t="shared" si="71"/>
        <v>4.1261467181467181E-5</v>
      </c>
      <c r="W115" s="43">
        <f t="shared" si="72"/>
        <v>4.6888030888030883E-4</v>
      </c>
      <c r="X115" s="43">
        <f t="shared" si="73"/>
        <v>4.6888030888030883E-13</v>
      </c>
      <c r="Y115" s="205">
        <f t="shared" si="74"/>
        <v>357.74825801071245</v>
      </c>
    </row>
    <row r="116" spans="1:25">
      <c r="A116" s="45" t="s">
        <v>794</v>
      </c>
      <c r="D116">
        <v>7154</v>
      </c>
      <c r="E116">
        <v>1.2</v>
      </c>
      <c r="F116">
        <v>16</v>
      </c>
      <c r="H116" s="1">
        <f t="shared" si="61"/>
        <v>2.8639999999999998E-3</v>
      </c>
      <c r="I116" s="43">
        <f t="shared" si="45"/>
        <v>4.6421754672432425E-3</v>
      </c>
      <c r="J116" s="1">
        <f t="shared" si="46"/>
        <v>2.128E-5</v>
      </c>
      <c r="K116" s="1">
        <f t="shared" si="47"/>
        <v>4.2560000000000002E-3</v>
      </c>
      <c r="L116" s="43">
        <f t="shared" si="62"/>
        <v>1.7112147027027024E-2</v>
      </c>
      <c r="M116" s="43">
        <f t="shared" si="63"/>
        <v>8.3421716756756741E-3</v>
      </c>
      <c r="N116" s="43">
        <f t="shared" si="64"/>
        <v>1.1408098018018018E-4</v>
      </c>
      <c r="O116" s="43">
        <f t="shared" si="65"/>
        <v>1.0903898856840032E-2</v>
      </c>
      <c r="P116" s="43">
        <f t="shared" si="66"/>
        <v>9.3424773290937981</v>
      </c>
      <c r="Q116" s="43">
        <v>103.36</v>
      </c>
      <c r="R116" s="43">
        <f t="shared" si="67"/>
        <v>3.6803698569157395</v>
      </c>
      <c r="S116" s="43">
        <f t="shared" si="68"/>
        <v>449.19385945945942</v>
      </c>
      <c r="T116" s="43">
        <f t="shared" si="69"/>
        <v>898.38771891891884</v>
      </c>
      <c r="U116" s="43">
        <f t="shared" si="70"/>
        <v>2.2686558558558554E-3</v>
      </c>
      <c r="V116" s="43">
        <f t="shared" si="71"/>
        <v>1.4260122522522523E-4</v>
      </c>
      <c r="W116" s="43">
        <f t="shared" si="72"/>
        <v>1.6204684684684684E-3</v>
      </c>
      <c r="X116" s="43">
        <f t="shared" si="73"/>
        <v>1.6204684684684684E-12</v>
      </c>
      <c r="Y116" s="205">
        <f t="shared" si="74"/>
        <v>1130.6234110921944</v>
      </c>
    </row>
    <row r="117" spans="1:25">
      <c r="A117" s="45" t="s">
        <v>795</v>
      </c>
      <c r="D117">
        <v>210</v>
      </c>
      <c r="E117">
        <v>1.2</v>
      </c>
      <c r="H117" s="1">
        <f t="shared" si="61"/>
        <v>0</v>
      </c>
      <c r="I117" s="43">
        <f t="shared" si="45"/>
        <v>1.3626738162162162E-4</v>
      </c>
      <c r="J117" s="1">
        <f t="shared" si="46"/>
        <v>0</v>
      </c>
      <c r="K117" s="1">
        <f t="shared" si="47"/>
        <v>0</v>
      </c>
      <c r="L117" s="43">
        <f t="shared" si="62"/>
        <v>5.023135135135134E-4</v>
      </c>
      <c r="M117" s="43">
        <f t="shared" si="63"/>
        <v>2.448778378378378E-4</v>
      </c>
      <c r="N117" s="43">
        <f t="shared" si="64"/>
        <v>3.3487567567567565E-6</v>
      </c>
      <c r="O117" s="43">
        <f t="shared" si="65"/>
        <v>1.0903898856840032E-2</v>
      </c>
      <c r="P117" s="43">
        <f t="shared" si="66"/>
        <v>0.27424101748807628</v>
      </c>
      <c r="Q117" s="43">
        <v>104.36</v>
      </c>
      <c r="R117" s="43">
        <f t="shared" si="67"/>
        <v>0.10803434022257552</v>
      </c>
      <c r="S117" s="43">
        <f t="shared" si="68"/>
        <v>13.185729729729729</v>
      </c>
      <c r="T117" s="43">
        <f t="shared" si="69"/>
        <v>26.371459459459459</v>
      </c>
      <c r="U117" s="43">
        <f t="shared" si="70"/>
        <v>6.6594594594594582E-5</v>
      </c>
      <c r="V117" s="43">
        <f t="shared" si="71"/>
        <v>4.1859459459459454E-6</v>
      </c>
      <c r="W117" s="43">
        <f t="shared" si="72"/>
        <v>4.7567567567567564E-5</v>
      </c>
      <c r="X117" s="43">
        <f t="shared" si="73"/>
        <v>4.7567567567567564E-14</v>
      </c>
      <c r="Y117" s="205">
        <f t="shared" si="74"/>
        <v>31.976918590657881</v>
      </c>
    </row>
    <row r="118" spans="1:25">
      <c r="A118" s="45" t="s">
        <v>796</v>
      </c>
      <c r="D118">
        <v>50</v>
      </c>
      <c r="E118">
        <v>1.2</v>
      </c>
      <c r="H118" s="1">
        <f t="shared" si="61"/>
        <v>0</v>
      </c>
      <c r="I118" s="43">
        <f t="shared" si="45"/>
        <v>3.2444614671814671E-5</v>
      </c>
      <c r="J118" s="1">
        <f t="shared" si="46"/>
        <v>0</v>
      </c>
      <c r="K118" s="1">
        <f t="shared" si="47"/>
        <v>0</v>
      </c>
      <c r="L118" s="43">
        <f t="shared" si="62"/>
        <v>1.1959845559845558E-4</v>
      </c>
      <c r="M118" s="43">
        <f t="shared" si="63"/>
        <v>5.8304247104247094E-5</v>
      </c>
      <c r="N118" s="43">
        <f t="shared" si="64"/>
        <v>7.973230373230373E-7</v>
      </c>
      <c r="O118" s="43">
        <f t="shared" si="65"/>
        <v>1.0903898856840032E-2</v>
      </c>
      <c r="P118" s="43">
        <f t="shared" si="66"/>
        <v>6.5295480354303867E-2</v>
      </c>
      <c r="Q118" s="43">
        <v>105.36</v>
      </c>
      <c r="R118" s="43">
        <f t="shared" si="67"/>
        <v>2.5722461957756078E-2</v>
      </c>
      <c r="S118" s="43">
        <f t="shared" si="68"/>
        <v>3.1394594594594594</v>
      </c>
      <c r="T118" s="43">
        <f t="shared" si="69"/>
        <v>6.2789189189189187</v>
      </c>
      <c r="U118" s="43">
        <f t="shared" si="70"/>
        <v>1.5855855855855855E-5</v>
      </c>
      <c r="V118" s="43">
        <f t="shared" si="71"/>
        <v>9.9665379665379659E-7</v>
      </c>
      <c r="W118" s="43">
        <f t="shared" si="72"/>
        <v>1.1325611325611324E-5</v>
      </c>
      <c r="X118" s="43">
        <f t="shared" si="73"/>
        <v>1.1325611325611324E-14</v>
      </c>
      <c r="Y118" s="205">
        <f t="shared" si="74"/>
        <v>10.83587498463169</v>
      </c>
    </row>
    <row r="119" spans="1:25">
      <c r="A119" s="45" t="s">
        <v>797</v>
      </c>
      <c r="D119">
        <v>223</v>
      </c>
      <c r="E119">
        <v>1.2</v>
      </c>
      <c r="H119" s="1">
        <f t="shared" si="61"/>
        <v>0</v>
      </c>
      <c r="I119" s="43">
        <f t="shared" si="45"/>
        <v>1.4470298143629343E-4</v>
      </c>
      <c r="J119" s="1">
        <f t="shared" si="46"/>
        <v>0</v>
      </c>
      <c r="K119" s="1">
        <f t="shared" si="47"/>
        <v>0</v>
      </c>
      <c r="L119" s="43">
        <f t="shared" si="62"/>
        <v>5.3340911196911192E-4</v>
      </c>
      <c r="M119" s="43">
        <f t="shared" si="63"/>
        <v>2.6003694208494207E-4</v>
      </c>
      <c r="N119" s="43">
        <f t="shared" si="64"/>
        <v>3.5560607464607464E-6</v>
      </c>
      <c r="O119" s="43">
        <f t="shared" si="65"/>
        <v>1.0903898856840032E-2</v>
      </c>
      <c r="P119" s="43">
        <f t="shared" si="66"/>
        <v>0.29121784238019527</v>
      </c>
      <c r="Q119" s="43">
        <v>106.36</v>
      </c>
      <c r="R119" s="43">
        <f t="shared" si="67"/>
        <v>0.11472218033159211</v>
      </c>
      <c r="S119" s="43">
        <f t="shared" si="68"/>
        <v>14.001989189189189</v>
      </c>
      <c r="T119" s="43">
        <f t="shared" si="69"/>
        <v>28.003978378378378</v>
      </c>
      <c r="U119" s="43">
        <f t="shared" si="70"/>
        <v>7.0717117117117105E-5</v>
      </c>
      <c r="V119" s="43">
        <f t="shared" si="71"/>
        <v>4.445075933075933E-6</v>
      </c>
      <c r="W119" s="43">
        <f t="shared" si="72"/>
        <v>5.0512226512226504E-5</v>
      </c>
      <c r="X119" s="43">
        <f t="shared" si="73"/>
        <v>5.0512226512226508E-14</v>
      </c>
      <c r="Y119" s="205">
        <f t="shared" si="74"/>
        <v>33.777878383647511</v>
      </c>
    </row>
    <row r="120" spans="1:25">
      <c r="A120" s="45" t="s">
        <v>798</v>
      </c>
      <c r="D120">
        <v>1734</v>
      </c>
      <c r="E120">
        <v>1.2</v>
      </c>
      <c r="F120">
        <v>11.5</v>
      </c>
      <c r="H120" s="1">
        <f t="shared" si="61"/>
        <v>2.0585E-3</v>
      </c>
      <c r="I120" s="43">
        <f t="shared" si="45"/>
        <v>1.1251792368185327E-3</v>
      </c>
      <c r="J120" s="1">
        <f t="shared" si="46"/>
        <v>1.5294999999999998E-5</v>
      </c>
      <c r="K120" s="1">
        <f t="shared" si="47"/>
        <v>3.0590000000000001E-3</v>
      </c>
      <c r="L120" s="43">
        <f t="shared" si="62"/>
        <v>4.1476744401544394E-3</v>
      </c>
      <c r="M120" s="43">
        <f t="shared" si="63"/>
        <v>2.0219912895752894E-3</v>
      </c>
      <c r="N120" s="43">
        <f t="shared" si="64"/>
        <v>2.7651162934362932E-5</v>
      </c>
      <c r="O120" s="43">
        <f t="shared" si="65"/>
        <v>1.0903898856840032E-2</v>
      </c>
      <c r="P120" s="43">
        <f t="shared" si="66"/>
        <v>2.2644472586872584</v>
      </c>
      <c r="Q120" s="43">
        <v>107.36</v>
      </c>
      <c r="R120" s="43">
        <f t="shared" si="67"/>
        <v>0.89205498069498079</v>
      </c>
      <c r="S120" s="43">
        <f t="shared" si="68"/>
        <v>108.87645405405405</v>
      </c>
      <c r="T120" s="43">
        <f t="shared" si="69"/>
        <v>217.7529081081081</v>
      </c>
      <c r="U120" s="43">
        <f t="shared" si="70"/>
        <v>5.4988108108108098E-4</v>
      </c>
      <c r="V120" s="43">
        <f t="shared" si="71"/>
        <v>3.4563953667953663E-5</v>
      </c>
      <c r="W120" s="43">
        <f t="shared" si="72"/>
        <v>3.9277220077220073E-4</v>
      </c>
      <c r="X120" s="43">
        <f t="shared" si="73"/>
        <v>3.9277220077220073E-13</v>
      </c>
      <c r="Y120" s="205">
        <f t="shared" si="74"/>
        <v>362.81109643805723</v>
      </c>
    </row>
    <row r="121" spans="1:25">
      <c r="A121" s="132" t="s">
        <v>964</v>
      </c>
      <c r="Y121" s="197"/>
    </row>
    <row r="122" spans="1:25">
      <c r="A122" t="s">
        <v>799</v>
      </c>
      <c r="D122">
        <v>17885</v>
      </c>
      <c r="E122">
        <v>1.2</v>
      </c>
      <c r="H122" s="1">
        <f t="shared" ref="H122:H185" si="75">F122*0.000179</f>
        <v>0</v>
      </c>
      <c r="I122" s="43">
        <f t="shared" si="45"/>
        <v>1.1605438668108106E-2</v>
      </c>
      <c r="J122" s="1">
        <f t="shared" si="46"/>
        <v>0</v>
      </c>
      <c r="K122" s="1">
        <f t="shared" si="47"/>
        <v>0</v>
      </c>
      <c r="L122" s="43">
        <f t="shared" ref="L122:L153" si="76">CO2_malnutrition_charfact*D122</f>
        <v>4.2780367567567562E-2</v>
      </c>
      <c r="M122" s="43">
        <f t="shared" ref="M122:M153" si="77">CO2_workingcapacity_charfact*D122</f>
        <v>2.0855429189189187E-2</v>
      </c>
      <c r="N122" s="43">
        <f t="shared" ref="N122:N153" si="78">CO2_diarrhea_charfact*D122</f>
        <v>2.8520245045045046E-4</v>
      </c>
      <c r="O122" s="43">
        <f t="shared" ref="O122:O153" si="79">CO2_crop_charfact</f>
        <v>1.0903898856840032E-2</v>
      </c>
      <c r="P122" s="43">
        <f t="shared" ref="P122:P153" si="80">CO2_fruitandveg_charfact*D122</f>
        <v>23.356193322734494</v>
      </c>
      <c r="Q122" s="43">
        <v>107.36</v>
      </c>
      <c r="R122" s="43">
        <f t="shared" ref="R122:R153" si="81">CO2_meatandfish_charfact*D122</f>
        <v>9.2009246422893494</v>
      </c>
      <c r="S122" s="43">
        <f t="shared" ref="S122:S153" si="82">CO2_drinkingwater_charfact*D122</f>
        <v>1122.9846486486485</v>
      </c>
      <c r="T122" s="43">
        <f t="shared" ref="T122:T153" si="83">CO2_irrigationwater_charfact*D122</f>
        <v>2245.9692972972971</v>
      </c>
      <c r="U122" s="43">
        <f t="shared" ref="U122:U153" si="84">CO2_energyaccess_charfact*D122</f>
        <v>5.671639639639639E-3</v>
      </c>
      <c r="V122" s="43">
        <f t="shared" ref="V122:V153" si="85">CO2_housing_charfact*D122</f>
        <v>3.5650306306306306E-4</v>
      </c>
      <c r="W122" s="43">
        <f t="shared" ref="W122:W153" si="86">CO2_separations_charfact*D122</f>
        <v>4.0511711711711702E-3</v>
      </c>
      <c r="X122" s="43">
        <f t="shared" ref="X122:X153" si="87">CO2_NEX_charfact*D122</f>
        <v>4.0511711711711706E-12</v>
      </c>
      <c r="Y122" s="205">
        <f t="shared" ref="Y122:Y153" si="88">(H122+I122)*YOLLvalue+J122*skincancervalue+K122*Lowvisionvalue+L122*malnutrition+M122*working_capacity+N122*diarrhea+O122*cropvalue+P122*Fruitandveg_value+Q122*woodvalue+R122*fishandmeatvalue+S122*drinkingwatervalue+T122*irrigationwatervalue+U122*energy_access+V122*housingvalue+W122*migrationvalue+X122*speciesvalue</f>
        <v>2371.9403294438644</v>
      </c>
    </row>
    <row r="123" spans="1:25">
      <c r="A123" t="s">
        <v>607</v>
      </c>
      <c r="D123">
        <v>26087</v>
      </c>
      <c r="E123">
        <v>1.2</v>
      </c>
      <c r="H123" s="1">
        <f t="shared" si="75"/>
        <v>0</v>
      </c>
      <c r="I123" s="43">
        <f t="shared" si="45"/>
        <v>1.6927653258872584E-2</v>
      </c>
      <c r="J123" s="1">
        <f t="shared" si="46"/>
        <v>0</v>
      </c>
      <c r="K123" s="1">
        <f t="shared" si="47"/>
        <v>0</v>
      </c>
      <c r="L123" s="43">
        <f t="shared" si="76"/>
        <v>6.2399298223938214E-2</v>
      </c>
      <c r="M123" s="43">
        <f t="shared" si="77"/>
        <v>3.0419657884169879E-2</v>
      </c>
      <c r="N123" s="43">
        <f t="shared" si="78"/>
        <v>4.1599532149292148E-4</v>
      </c>
      <c r="O123" s="43">
        <f t="shared" si="79"/>
        <v>1.0903898856840032E-2</v>
      </c>
      <c r="P123" s="43">
        <f t="shared" si="80"/>
        <v>34.067263920054501</v>
      </c>
      <c r="Q123" s="43">
        <v>108.36</v>
      </c>
      <c r="R123" s="43">
        <f t="shared" si="81"/>
        <v>13.420437301839655</v>
      </c>
      <c r="S123" s="43">
        <f t="shared" si="82"/>
        <v>1637.9815783783783</v>
      </c>
      <c r="T123" s="43">
        <f t="shared" si="83"/>
        <v>3275.9631567567567</v>
      </c>
      <c r="U123" s="43">
        <f t="shared" si="84"/>
        <v>8.2726342342342336E-3</v>
      </c>
      <c r="V123" s="43">
        <f t="shared" si="85"/>
        <v>5.1999415186615178E-4</v>
      </c>
      <c r="W123" s="43">
        <f t="shared" si="86"/>
        <v>5.9090244530244519E-3</v>
      </c>
      <c r="X123" s="43">
        <f t="shared" si="87"/>
        <v>5.9090244530244522E-12</v>
      </c>
      <c r="Y123" s="205">
        <f t="shared" si="88"/>
        <v>3457.7735772977817</v>
      </c>
    </row>
    <row r="124" spans="1:25">
      <c r="A124" t="s">
        <v>800</v>
      </c>
      <c r="D124">
        <v>19396</v>
      </c>
      <c r="E124">
        <v>1.2</v>
      </c>
      <c r="H124" s="1">
        <f t="shared" si="75"/>
        <v>0</v>
      </c>
      <c r="I124" s="43">
        <f t="shared" si="45"/>
        <v>1.2585914923490347E-2</v>
      </c>
      <c r="J124" s="1">
        <f t="shared" si="46"/>
        <v>0</v>
      </c>
      <c r="K124" s="1">
        <f t="shared" si="47"/>
        <v>0</v>
      </c>
      <c r="L124" s="43">
        <f t="shared" si="76"/>
        <v>4.6394632895752887E-2</v>
      </c>
      <c r="M124" s="43">
        <f t="shared" si="77"/>
        <v>2.2617383536679532E-2</v>
      </c>
      <c r="N124" s="43">
        <f t="shared" si="78"/>
        <v>3.092975526383526E-4</v>
      </c>
      <c r="O124" s="43">
        <f t="shared" si="79"/>
        <v>1.0903898856840032E-2</v>
      </c>
      <c r="P124" s="43">
        <f t="shared" si="80"/>
        <v>25.329422739041558</v>
      </c>
      <c r="Q124" s="43">
        <v>109.36</v>
      </c>
      <c r="R124" s="43">
        <f t="shared" si="81"/>
        <v>9.9782574426527368</v>
      </c>
      <c r="S124" s="43">
        <f t="shared" si="82"/>
        <v>1217.8591135135134</v>
      </c>
      <c r="T124" s="43">
        <f t="shared" si="83"/>
        <v>2435.7182270270268</v>
      </c>
      <c r="U124" s="43">
        <f t="shared" si="84"/>
        <v>6.1508036036036027E-3</v>
      </c>
      <c r="V124" s="43">
        <f t="shared" si="85"/>
        <v>3.8662194079794077E-4</v>
      </c>
      <c r="W124" s="43">
        <f t="shared" si="86"/>
        <v>4.3934311454311452E-3</v>
      </c>
      <c r="X124" s="43">
        <f t="shared" si="87"/>
        <v>4.3934311454311451E-12</v>
      </c>
      <c r="Y124" s="205">
        <f t="shared" si="88"/>
        <v>2572.0488099982736</v>
      </c>
    </row>
    <row r="125" spans="1:25">
      <c r="A125" t="s">
        <v>801</v>
      </c>
      <c r="D125">
        <v>4732</v>
      </c>
      <c r="E125">
        <v>1.2</v>
      </c>
      <c r="H125" s="1">
        <f t="shared" si="75"/>
        <v>0</v>
      </c>
      <c r="I125" s="43">
        <f t="shared" si="45"/>
        <v>3.0705583325405404E-3</v>
      </c>
      <c r="J125" s="1">
        <f t="shared" si="46"/>
        <v>0</v>
      </c>
      <c r="K125" s="1">
        <f t="shared" si="47"/>
        <v>0</v>
      </c>
      <c r="L125" s="43">
        <f t="shared" si="76"/>
        <v>1.1318797837837836E-2</v>
      </c>
      <c r="M125" s="43">
        <f t="shared" si="77"/>
        <v>5.517913945945945E-3</v>
      </c>
      <c r="N125" s="43">
        <f t="shared" si="78"/>
        <v>7.5458652252252244E-5</v>
      </c>
      <c r="O125" s="43">
        <f t="shared" si="79"/>
        <v>1.0903898856840032E-2</v>
      </c>
      <c r="P125" s="43">
        <f t="shared" si="80"/>
        <v>6.1795642607313184</v>
      </c>
      <c r="Q125" s="43">
        <v>110.36</v>
      </c>
      <c r="R125" s="43">
        <f t="shared" si="81"/>
        <v>2.4343737996820352</v>
      </c>
      <c r="S125" s="43">
        <f t="shared" si="82"/>
        <v>297.11844324324323</v>
      </c>
      <c r="T125" s="43">
        <f t="shared" si="83"/>
        <v>594.23688648648647</v>
      </c>
      <c r="U125" s="43">
        <f t="shared" si="84"/>
        <v>1.500598198198198E-3</v>
      </c>
      <c r="V125" s="43">
        <f t="shared" si="85"/>
        <v>9.4323315315315306E-5</v>
      </c>
      <c r="W125" s="43">
        <f t="shared" si="86"/>
        <v>1.0718558558558556E-3</v>
      </c>
      <c r="X125" s="43">
        <f t="shared" si="87"/>
        <v>1.0718558558558558E-12</v>
      </c>
      <c r="Y125" s="205">
        <f t="shared" si="88"/>
        <v>630.84616350597298</v>
      </c>
    </row>
    <row r="126" spans="1:25" s="88" customFormat="1">
      <c r="A126" s="45" t="s">
        <v>802</v>
      </c>
      <c r="D126" s="45">
        <v>7349</v>
      </c>
      <c r="E126" s="45">
        <v>1.2</v>
      </c>
      <c r="F126" s="45"/>
      <c r="G126" s="45"/>
      <c r="H126" s="128">
        <f t="shared" si="75"/>
        <v>0</v>
      </c>
      <c r="I126" s="129">
        <f t="shared" si="45"/>
        <v>4.7687094644633197E-3</v>
      </c>
      <c r="J126" s="128">
        <f t="shared" si="46"/>
        <v>0</v>
      </c>
      <c r="K126" s="128">
        <f t="shared" si="47"/>
        <v>0</v>
      </c>
      <c r="L126" s="129">
        <f t="shared" si="76"/>
        <v>1.7578581003861001E-2</v>
      </c>
      <c r="M126" s="129">
        <f t="shared" si="77"/>
        <v>8.5695582393822377E-3</v>
      </c>
      <c r="N126" s="129">
        <f t="shared" si="78"/>
        <v>1.1719054002574002E-4</v>
      </c>
      <c r="O126" s="129">
        <f t="shared" si="79"/>
        <v>1.0903898856840032E-2</v>
      </c>
      <c r="P126" s="129">
        <f t="shared" si="80"/>
        <v>9.5971297024755824</v>
      </c>
      <c r="Q126" s="129">
        <v>111.36</v>
      </c>
      <c r="R126" s="129">
        <f t="shared" si="81"/>
        <v>3.7806874585509882</v>
      </c>
      <c r="S126" s="129">
        <f t="shared" si="82"/>
        <v>461.43775135135132</v>
      </c>
      <c r="T126" s="129">
        <f t="shared" si="83"/>
        <v>922.87550270270265</v>
      </c>
      <c r="U126" s="129">
        <f t="shared" si="84"/>
        <v>2.3304936936936935E-3</v>
      </c>
      <c r="V126" s="129">
        <f t="shared" si="85"/>
        <v>1.4648817503217502E-4</v>
      </c>
      <c r="W126" s="129">
        <f t="shared" si="86"/>
        <v>1.6646383526383525E-3</v>
      </c>
      <c r="X126" s="129">
        <f t="shared" si="87"/>
        <v>1.6646383526383525E-12</v>
      </c>
      <c r="Y126" s="205">
        <f t="shared" si="88"/>
        <v>977.32860798703894</v>
      </c>
    </row>
    <row r="127" spans="1:25">
      <c r="A127" s="45" t="s">
        <v>803</v>
      </c>
      <c r="D127">
        <v>12340</v>
      </c>
      <c r="E127">
        <v>1.2</v>
      </c>
      <c r="H127" s="1">
        <f t="shared" si="75"/>
        <v>0</v>
      </c>
      <c r="I127" s="43">
        <f t="shared" si="45"/>
        <v>8.0073309010038601E-3</v>
      </c>
      <c r="J127" s="1">
        <f t="shared" si="46"/>
        <v>0</v>
      </c>
      <c r="K127" s="1">
        <f t="shared" si="47"/>
        <v>0</v>
      </c>
      <c r="L127" s="43">
        <f t="shared" si="76"/>
        <v>2.9516898841698835E-2</v>
      </c>
      <c r="M127" s="43">
        <f t="shared" si="77"/>
        <v>1.4389488185328182E-2</v>
      </c>
      <c r="N127" s="43">
        <f t="shared" si="78"/>
        <v>1.9677932561132559E-4</v>
      </c>
      <c r="O127" s="43">
        <f t="shared" si="79"/>
        <v>1.0903898856840032E-2</v>
      </c>
      <c r="P127" s="43">
        <f t="shared" si="80"/>
        <v>16.114924551442197</v>
      </c>
      <c r="Q127" s="43">
        <v>112.36</v>
      </c>
      <c r="R127" s="43">
        <f t="shared" si="81"/>
        <v>6.3483036111741997</v>
      </c>
      <c r="S127" s="43">
        <f t="shared" si="82"/>
        <v>774.81859459459452</v>
      </c>
      <c r="T127" s="43">
        <f t="shared" si="83"/>
        <v>1549.637189189189</v>
      </c>
      <c r="U127" s="43">
        <f t="shared" si="84"/>
        <v>3.913225225225225E-3</v>
      </c>
      <c r="V127" s="43">
        <f t="shared" si="85"/>
        <v>2.4597415701415698E-4</v>
      </c>
      <c r="W127" s="43">
        <f t="shared" si="86"/>
        <v>2.7951608751608749E-3</v>
      </c>
      <c r="X127" s="43">
        <f t="shared" si="87"/>
        <v>2.795160875160875E-12</v>
      </c>
      <c r="Y127" s="205">
        <f t="shared" si="88"/>
        <v>1638.0847869725187</v>
      </c>
    </row>
    <row r="128" spans="1:25">
      <c r="A128" s="45" t="s">
        <v>804</v>
      </c>
      <c r="D128">
        <v>10208</v>
      </c>
      <c r="E128">
        <v>1.2</v>
      </c>
      <c r="H128" s="1">
        <f t="shared" si="75"/>
        <v>0</v>
      </c>
      <c r="I128" s="43">
        <f t="shared" si="45"/>
        <v>6.6238925313976829E-3</v>
      </c>
      <c r="J128" s="1">
        <f t="shared" si="46"/>
        <v>0</v>
      </c>
      <c r="K128" s="1">
        <f t="shared" si="47"/>
        <v>0</v>
      </c>
      <c r="L128" s="43">
        <f t="shared" si="76"/>
        <v>2.4417220694980691E-2</v>
      </c>
      <c r="M128" s="43">
        <f t="shared" si="77"/>
        <v>1.1903395088803087E-2</v>
      </c>
      <c r="N128" s="43">
        <f t="shared" si="78"/>
        <v>1.6278147129987128E-4</v>
      </c>
      <c r="O128" s="43">
        <f t="shared" si="79"/>
        <v>1.0903898856840032E-2</v>
      </c>
      <c r="P128" s="43">
        <f t="shared" si="80"/>
        <v>13.330725269134678</v>
      </c>
      <c r="Q128" s="43">
        <v>113.36</v>
      </c>
      <c r="R128" s="43">
        <f t="shared" si="81"/>
        <v>5.2514978332954803</v>
      </c>
      <c r="S128" s="43">
        <f t="shared" si="82"/>
        <v>640.95204324324322</v>
      </c>
      <c r="T128" s="43">
        <f t="shared" si="83"/>
        <v>1281.9040864864864</v>
      </c>
      <c r="U128" s="43">
        <f t="shared" si="84"/>
        <v>3.2371315315315309E-3</v>
      </c>
      <c r="V128" s="43">
        <f t="shared" si="85"/>
        <v>2.034768391248391E-4</v>
      </c>
      <c r="W128" s="43">
        <f t="shared" si="86"/>
        <v>2.3122368082368078E-3</v>
      </c>
      <c r="X128" s="43">
        <f t="shared" si="87"/>
        <v>2.3122368082368081E-12</v>
      </c>
      <c r="Y128" s="205">
        <f t="shared" si="88"/>
        <v>1355.8873809222196</v>
      </c>
    </row>
    <row r="129" spans="1:27">
      <c r="A129" s="45" t="s">
        <v>805</v>
      </c>
      <c r="D129">
        <v>9878</v>
      </c>
      <c r="E129">
        <v>1.2</v>
      </c>
      <c r="H129" s="1">
        <f t="shared" si="75"/>
        <v>0</v>
      </c>
      <c r="I129" s="43">
        <f t="shared" si="45"/>
        <v>6.4097580745637057E-3</v>
      </c>
      <c r="J129" s="1">
        <f t="shared" si="46"/>
        <v>0</v>
      </c>
      <c r="K129" s="1">
        <f t="shared" si="47"/>
        <v>0</v>
      </c>
      <c r="L129" s="43">
        <f t="shared" si="76"/>
        <v>2.3627870888030884E-2</v>
      </c>
      <c r="M129" s="43">
        <f t="shared" si="77"/>
        <v>1.1518587057915057E-2</v>
      </c>
      <c r="N129" s="43">
        <f t="shared" si="78"/>
        <v>1.5751913925353924E-4</v>
      </c>
      <c r="O129" s="43">
        <f t="shared" si="79"/>
        <v>1.0903898856840032E-2</v>
      </c>
      <c r="P129" s="43">
        <f t="shared" si="80"/>
        <v>12.899775098796272</v>
      </c>
      <c r="Q129" s="43">
        <v>114.36</v>
      </c>
      <c r="R129" s="43">
        <f t="shared" si="81"/>
        <v>5.0817295843742905</v>
      </c>
      <c r="S129" s="43">
        <f t="shared" si="82"/>
        <v>620.23161081081082</v>
      </c>
      <c r="T129" s="43">
        <f t="shared" si="83"/>
        <v>1240.4632216216216</v>
      </c>
      <c r="U129" s="43">
        <f t="shared" si="84"/>
        <v>3.1324828828828825E-3</v>
      </c>
      <c r="V129" s="43">
        <f t="shared" si="85"/>
        <v>1.9689892406692406E-4</v>
      </c>
      <c r="W129" s="43">
        <f t="shared" si="86"/>
        <v>2.2374877734877732E-3</v>
      </c>
      <c r="X129" s="43">
        <f t="shared" si="87"/>
        <v>2.2374877734877732E-12</v>
      </c>
      <c r="Y129" s="205">
        <f t="shared" si="88"/>
        <v>1312.2414784847904</v>
      </c>
    </row>
    <row r="130" spans="1:27">
      <c r="A130" s="45" t="s">
        <v>806</v>
      </c>
      <c r="D130">
        <v>10592</v>
      </c>
      <c r="E130">
        <v>1.2</v>
      </c>
      <c r="H130" s="1">
        <f t="shared" si="75"/>
        <v>0</v>
      </c>
      <c r="I130" s="43">
        <f t="shared" si="45"/>
        <v>6.8730671720772197E-3</v>
      </c>
      <c r="J130" s="1">
        <f t="shared" si="46"/>
        <v>0</v>
      </c>
      <c r="K130" s="1">
        <f t="shared" si="47"/>
        <v>0</v>
      </c>
      <c r="L130" s="43">
        <f t="shared" si="76"/>
        <v>2.533573683397683E-2</v>
      </c>
      <c r="M130" s="43">
        <f t="shared" si="77"/>
        <v>1.2351171706563704E-2</v>
      </c>
      <c r="N130" s="43">
        <f t="shared" si="78"/>
        <v>1.689049122265122E-4</v>
      </c>
      <c r="O130" s="43">
        <f t="shared" si="79"/>
        <v>1.0903898856840032E-2</v>
      </c>
      <c r="P130" s="43">
        <f t="shared" si="80"/>
        <v>13.832194558255733</v>
      </c>
      <c r="Q130" s="43">
        <v>115.36</v>
      </c>
      <c r="R130" s="43">
        <f t="shared" si="81"/>
        <v>5.449046341131047</v>
      </c>
      <c r="S130" s="43">
        <f t="shared" si="82"/>
        <v>665.06309189189187</v>
      </c>
      <c r="T130" s="43">
        <f t="shared" si="83"/>
        <v>1330.1261837837837</v>
      </c>
      <c r="U130" s="43">
        <f t="shared" si="84"/>
        <v>3.3589045045045039E-3</v>
      </c>
      <c r="V130" s="43">
        <f t="shared" si="85"/>
        <v>2.1113114028314026E-4</v>
      </c>
      <c r="W130" s="43">
        <f t="shared" si="86"/>
        <v>2.3992175032175028E-3</v>
      </c>
      <c r="X130" s="43">
        <f t="shared" si="87"/>
        <v>2.3992175032175029E-12</v>
      </c>
      <c r="Y130" s="205">
        <f t="shared" si="88"/>
        <v>1406.8018855766818</v>
      </c>
    </row>
    <row r="131" spans="1:27">
      <c r="A131" s="45" t="s">
        <v>807</v>
      </c>
      <c r="D131">
        <v>10213</v>
      </c>
      <c r="E131">
        <v>1.2</v>
      </c>
      <c r="H131" s="1">
        <f t="shared" si="75"/>
        <v>0</v>
      </c>
      <c r="I131" s="43">
        <f t="shared" si="45"/>
        <v>6.6271369928648646E-3</v>
      </c>
      <c r="J131" s="1">
        <f t="shared" si="46"/>
        <v>0</v>
      </c>
      <c r="K131" s="1">
        <f t="shared" si="47"/>
        <v>0</v>
      </c>
      <c r="L131" s="43">
        <f t="shared" si="76"/>
        <v>2.4429180540540538E-2</v>
      </c>
      <c r="M131" s="43">
        <f t="shared" si="77"/>
        <v>1.1909225513513512E-2</v>
      </c>
      <c r="N131" s="43">
        <f t="shared" si="78"/>
        <v>1.6286120360360358E-4</v>
      </c>
      <c r="O131" s="43">
        <f t="shared" si="79"/>
        <v>1.0903898856840032E-2</v>
      </c>
      <c r="P131" s="43">
        <f t="shared" si="80"/>
        <v>13.337254817170109</v>
      </c>
      <c r="Q131" s="43">
        <v>116.36</v>
      </c>
      <c r="R131" s="43">
        <f t="shared" si="81"/>
        <v>5.2540700794912558</v>
      </c>
      <c r="S131" s="43">
        <f t="shared" si="82"/>
        <v>641.26598918918921</v>
      </c>
      <c r="T131" s="43">
        <f t="shared" si="83"/>
        <v>1282.5319783783784</v>
      </c>
      <c r="U131" s="43">
        <f t="shared" si="84"/>
        <v>3.2387171171171167E-3</v>
      </c>
      <c r="V131" s="43">
        <f t="shared" si="85"/>
        <v>2.0357650450450449E-4</v>
      </c>
      <c r="W131" s="43">
        <f t="shared" si="86"/>
        <v>2.3133693693693689E-3</v>
      </c>
      <c r="X131" s="43">
        <f t="shared" si="87"/>
        <v>2.313369369369369E-12</v>
      </c>
      <c r="Y131" s="205">
        <f t="shared" si="88"/>
        <v>1356.6692885349073</v>
      </c>
    </row>
    <row r="132" spans="1:27">
      <c r="A132" s="45" t="s">
        <v>808</v>
      </c>
      <c r="D132">
        <v>2</v>
      </c>
      <c r="E132">
        <v>1.2</v>
      </c>
      <c r="H132" s="1">
        <f t="shared" si="75"/>
        <v>0</v>
      </c>
      <c r="I132" s="43">
        <f t="shared" ref="I132:I195" si="89">charco2yoll*D132</f>
        <v>1.2977845868725867E-6</v>
      </c>
      <c r="J132" s="1">
        <f t="shared" si="46"/>
        <v>0</v>
      </c>
      <c r="K132" s="1">
        <f t="shared" si="47"/>
        <v>0</v>
      </c>
      <c r="L132" s="43">
        <f t="shared" si="76"/>
        <v>4.7839382239382231E-6</v>
      </c>
      <c r="M132" s="43">
        <f t="shared" si="77"/>
        <v>2.3321698841698838E-6</v>
      </c>
      <c r="N132" s="43">
        <f t="shared" si="78"/>
        <v>3.1892921492921491E-8</v>
      </c>
      <c r="O132" s="43">
        <f t="shared" si="79"/>
        <v>1.0903898856840032E-2</v>
      </c>
      <c r="P132" s="43">
        <f t="shared" si="80"/>
        <v>2.6118192141721549E-3</v>
      </c>
      <c r="Q132" s="43">
        <v>117.36</v>
      </c>
      <c r="R132" s="43">
        <f t="shared" si="81"/>
        <v>1.0288984783102431E-3</v>
      </c>
      <c r="S132" s="43">
        <f t="shared" si="82"/>
        <v>0.12557837837837837</v>
      </c>
      <c r="T132" s="43">
        <f t="shared" si="83"/>
        <v>0.25115675675675675</v>
      </c>
      <c r="U132" s="43">
        <f t="shared" si="84"/>
        <v>6.3423423423423414E-7</v>
      </c>
      <c r="V132" s="43">
        <f t="shared" si="85"/>
        <v>3.9866151866151864E-8</v>
      </c>
      <c r="W132" s="43">
        <f t="shared" si="86"/>
        <v>4.5302445302445296E-7</v>
      </c>
      <c r="X132" s="43">
        <f t="shared" si="87"/>
        <v>4.5302445302445297E-16</v>
      </c>
      <c r="Y132" s="205">
        <f t="shared" si="88"/>
        <v>4.9615619028238322</v>
      </c>
    </row>
    <row r="133" spans="1:27">
      <c r="A133" s="45" t="s">
        <v>809</v>
      </c>
      <c r="D133">
        <v>9484</v>
      </c>
      <c r="E133">
        <v>1.2</v>
      </c>
      <c r="H133" s="1">
        <f t="shared" si="75"/>
        <v>0</v>
      </c>
      <c r="I133" s="43">
        <f t="shared" si="89"/>
        <v>6.1540945109498065E-3</v>
      </c>
      <c r="J133" s="1">
        <f t="shared" ref="J133:J196" si="90">F133*0.00000133</f>
        <v>0</v>
      </c>
      <c r="K133" s="1">
        <f t="shared" ref="K133:K196" si="91">F133*0.000266</f>
        <v>0</v>
      </c>
      <c r="L133" s="43">
        <f t="shared" si="76"/>
        <v>2.2685435057915055E-2</v>
      </c>
      <c r="M133" s="43">
        <f t="shared" si="77"/>
        <v>1.105914959073359E-2</v>
      </c>
      <c r="N133" s="43">
        <f t="shared" si="78"/>
        <v>1.5123623371943371E-4</v>
      </c>
      <c r="O133" s="43">
        <f t="shared" si="79"/>
        <v>1.0903898856840032E-2</v>
      </c>
      <c r="P133" s="43">
        <f t="shared" si="80"/>
        <v>12.385246713604358</v>
      </c>
      <c r="Q133" s="43">
        <v>118.36</v>
      </c>
      <c r="R133" s="43">
        <f t="shared" si="81"/>
        <v>4.8790365841471726</v>
      </c>
      <c r="S133" s="43">
        <f t="shared" si="82"/>
        <v>595.49267027027031</v>
      </c>
      <c r="T133" s="43">
        <f t="shared" si="83"/>
        <v>1190.9853405405406</v>
      </c>
      <c r="U133" s="43">
        <f t="shared" si="84"/>
        <v>3.0075387387387383E-3</v>
      </c>
      <c r="V133" s="43">
        <f t="shared" si="85"/>
        <v>1.8904529214929213E-4</v>
      </c>
      <c r="W133" s="43">
        <f t="shared" si="86"/>
        <v>2.1482419562419558E-3</v>
      </c>
      <c r="X133" s="43">
        <f t="shared" si="87"/>
        <v>2.1482419562419559E-12</v>
      </c>
      <c r="Y133" s="205">
        <f t="shared" si="88"/>
        <v>1260.2431586049511</v>
      </c>
    </row>
    <row r="134" spans="1:27">
      <c r="A134" s="48" t="s">
        <v>810</v>
      </c>
      <c r="D134">
        <v>8780</v>
      </c>
      <c r="E134">
        <v>1.2</v>
      </c>
      <c r="H134" s="1">
        <f t="shared" si="75"/>
        <v>0</v>
      </c>
      <c r="I134" s="43">
        <f t="shared" si="89"/>
        <v>5.6972743363706557E-3</v>
      </c>
      <c r="J134" s="1">
        <f t="shared" si="90"/>
        <v>0</v>
      </c>
      <c r="K134" s="1">
        <f t="shared" si="91"/>
        <v>0</v>
      </c>
      <c r="L134" s="43">
        <f t="shared" si="76"/>
        <v>2.1001488803088799E-2</v>
      </c>
      <c r="M134" s="43">
        <f t="shared" si="77"/>
        <v>1.023822579150579E-2</v>
      </c>
      <c r="N134" s="43">
        <f t="shared" si="78"/>
        <v>1.4000992535392534E-4</v>
      </c>
      <c r="O134" s="43">
        <f t="shared" si="79"/>
        <v>1.0903898856840032E-2</v>
      </c>
      <c r="P134" s="43">
        <f t="shared" si="80"/>
        <v>11.46588635021576</v>
      </c>
      <c r="Q134" s="43">
        <v>119.36</v>
      </c>
      <c r="R134" s="43">
        <f t="shared" si="81"/>
        <v>4.5168643197819671</v>
      </c>
      <c r="S134" s="43">
        <f t="shared" si="82"/>
        <v>551.28908108108112</v>
      </c>
      <c r="T134" s="43">
        <f t="shared" si="83"/>
        <v>1102.5781621621622</v>
      </c>
      <c r="U134" s="43">
        <f t="shared" si="84"/>
        <v>2.784288288288288E-3</v>
      </c>
      <c r="V134" s="43">
        <f t="shared" si="85"/>
        <v>1.7501240669240669E-4</v>
      </c>
      <c r="W134" s="43">
        <f t="shared" si="86"/>
        <v>1.9887773487773483E-3</v>
      </c>
      <c r="X134" s="43">
        <f t="shared" si="87"/>
        <v>1.9887773487773487E-12</v>
      </c>
      <c r="Y134" s="205">
        <f t="shared" si="88"/>
        <v>1167.0865667384357</v>
      </c>
    </row>
    <row r="135" spans="1:27">
      <c r="A135" s="45" t="s">
        <v>811</v>
      </c>
      <c r="D135">
        <v>8681</v>
      </c>
      <c r="E135">
        <v>1.2</v>
      </c>
      <c r="H135" s="1">
        <f t="shared" si="75"/>
        <v>0</v>
      </c>
      <c r="I135" s="43">
        <f t="shared" si="89"/>
        <v>5.6330339993204631E-3</v>
      </c>
      <c r="J135" s="1">
        <f t="shared" si="90"/>
        <v>0</v>
      </c>
      <c r="K135" s="1">
        <f t="shared" si="91"/>
        <v>0</v>
      </c>
      <c r="L135" s="43">
        <f t="shared" si="76"/>
        <v>2.0764683861003858E-2</v>
      </c>
      <c r="M135" s="43">
        <f t="shared" si="77"/>
        <v>1.0122783382239381E-2</v>
      </c>
      <c r="N135" s="43">
        <f t="shared" si="78"/>
        <v>1.3843122574002574E-4</v>
      </c>
      <c r="O135" s="43">
        <f t="shared" si="79"/>
        <v>1.0903898856840032E-2</v>
      </c>
      <c r="P135" s="43">
        <f t="shared" si="80"/>
        <v>11.336601299114239</v>
      </c>
      <c r="Q135" s="43">
        <v>120.36</v>
      </c>
      <c r="R135" s="43">
        <f t="shared" si="81"/>
        <v>4.4659338451056101</v>
      </c>
      <c r="S135" s="43">
        <f t="shared" si="82"/>
        <v>545.07295135135132</v>
      </c>
      <c r="T135" s="43">
        <f t="shared" si="83"/>
        <v>1090.1459027027026</v>
      </c>
      <c r="U135" s="43">
        <f t="shared" si="84"/>
        <v>2.7528936936936934E-3</v>
      </c>
      <c r="V135" s="43">
        <f t="shared" si="85"/>
        <v>1.7303903217503216E-4</v>
      </c>
      <c r="W135" s="43">
        <f t="shared" si="86"/>
        <v>1.9663526383526379E-3</v>
      </c>
      <c r="X135" s="43">
        <f t="shared" si="87"/>
        <v>1.9663526383526381E-12</v>
      </c>
      <c r="Y135" s="205">
        <f t="shared" si="88"/>
        <v>1154.0207960072069</v>
      </c>
    </row>
    <row r="136" spans="1:27">
      <c r="A136" s="45" t="s">
        <v>812</v>
      </c>
      <c r="D136">
        <v>8456</v>
      </c>
      <c r="E136">
        <v>1.2</v>
      </c>
      <c r="H136" s="1">
        <f t="shared" si="75"/>
        <v>0</v>
      </c>
      <c r="I136" s="43">
        <f t="shared" si="89"/>
        <v>5.4870332332972969E-3</v>
      </c>
      <c r="J136" s="1">
        <f t="shared" si="90"/>
        <v>0</v>
      </c>
      <c r="K136" s="1">
        <f t="shared" si="91"/>
        <v>0</v>
      </c>
      <c r="L136" s="43">
        <f t="shared" si="76"/>
        <v>2.0226490810810807E-2</v>
      </c>
      <c r="M136" s="43">
        <f t="shared" si="77"/>
        <v>9.8604142702702693E-3</v>
      </c>
      <c r="N136" s="43">
        <f t="shared" si="78"/>
        <v>1.3484327207207206E-4</v>
      </c>
      <c r="O136" s="43">
        <f t="shared" si="79"/>
        <v>1.0903898856840032E-2</v>
      </c>
      <c r="P136" s="43">
        <f t="shared" si="80"/>
        <v>11.042771637519872</v>
      </c>
      <c r="Q136" s="43">
        <v>121.36</v>
      </c>
      <c r="R136" s="43">
        <f t="shared" si="81"/>
        <v>4.350182766295708</v>
      </c>
      <c r="S136" s="43">
        <f t="shared" si="82"/>
        <v>530.94538378378377</v>
      </c>
      <c r="T136" s="43">
        <f t="shared" si="83"/>
        <v>1061.8907675675675</v>
      </c>
      <c r="U136" s="43">
        <f t="shared" si="84"/>
        <v>2.6815423423423418E-3</v>
      </c>
      <c r="V136" s="43">
        <f t="shared" si="85"/>
        <v>1.6855409009009008E-4</v>
      </c>
      <c r="W136" s="43">
        <f t="shared" si="86"/>
        <v>1.9153873873873871E-3</v>
      </c>
      <c r="X136" s="43">
        <f t="shared" si="87"/>
        <v>1.9153873873873872E-12</v>
      </c>
      <c r="Y136" s="205">
        <f t="shared" si="88"/>
        <v>1124.2749534362326</v>
      </c>
    </row>
    <row r="137" spans="1:27">
      <c r="A137" s="45" t="s">
        <v>813</v>
      </c>
      <c r="D137">
        <v>7977</v>
      </c>
      <c r="E137">
        <v>1.2</v>
      </c>
      <c r="H137" s="1">
        <f t="shared" si="75"/>
        <v>0</v>
      </c>
      <c r="I137" s="43">
        <f t="shared" si="89"/>
        <v>5.1762138247413124E-3</v>
      </c>
      <c r="J137" s="1">
        <f t="shared" si="90"/>
        <v>0</v>
      </c>
      <c r="K137" s="1">
        <f t="shared" si="91"/>
        <v>0</v>
      </c>
      <c r="L137" s="43">
        <f t="shared" si="76"/>
        <v>1.9080737606177602E-2</v>
      </c>
      <c r="M137" s="43">
        <f t="shared" si="77"/>
        <v>9.3018595830115808E-3</v>
      </c>
      <c r="N137" s="43">
        <f t="shared" si="78"/>
        <v>1.2720491737451737E-4</v>
      </c>
      <c r="O137" s="43">
        <f t="shared" si="79"/>
        <v>1.0903898856840032E-2</v>
      </c>
      <c r="P137" s="43">
        <f t="shared" si="80"/>
        <v>10.417240935725641</v>
      </c>
      <c r="Q137" s="43">
        <v>122.36</v>
      </c>
      <c r="R137" s="43">
        <f t="shared" si="81"/>
        <v>4.1037615807404046</v>
      </c>
      <c r="S137" s="43">
        <f t="shared" si="82"/>
        <v>500.86936216216213</v>
      </c>
      <c r="T137" s="43">
        <f t="shared" si="83"/>
        <v>1001.7387243243243</v>
      </c>
      <c r="U137" s="43">
        <f t="shared" si="84"/>
        <v>2.5296432432432431E-3</v>
      </c>
      <c r="V137" s="43">
        <f t="shared" si="85"/>
        <v>1.5900614671814669E-4</v>
      </c>
      <c r="W137" s="43">
        <f t="shared" si="86"/>
        <v>1.8068880308880306E-3</v>
      </c>
      <c r="X137" s="43">
        <f t="shared" si="87"/>
        <v>1.8068880308880306E-12</v>
      </c>
      <c r="Y137" s="205">
        <f t="shared" si="88"/>
        <v>1060.9042041406917</v>
      </c>
    </row>
    <row r="138" spans="1:27">
      <c r="A138" t="s">
        <v>814</v>
      </c>
      <c r="D138">
        <v>8033</v>
      </c>
      <c r="E138">
        <v>1.2</v>
      </c>
      <c r="H138" s="1">
        <f t="shared" si="75"/>
        <v>0</v>
      </c>
      <c r="I138" s="43">
        <f t="shared" si="89"/>
        <v>5.2125517931737447E-3</v>
      </c>
      <c r="J138" s="1">
        <f t="shared" si="90"/>
        <v>0</v>
      </c>
      <c r="K138" s="1">
        <f t="shared" si="91"/>
        <v>0</v>
      </c>
      <c r="L138" s="43">
        <f t="shared" si="76"/>
        <v>1.9214687876447874E-2</v>
      </c>
      <c r="M138" s="43">
        <f t="shared" si="77"/>
        <v>9.3671603397683378E-3</v>
      </c>
      <c r="N138" s="43">
        <f t="shared" si="78"/>
        <v>1.2809791917631915E-4</v>
      </c>
      <c r="O138" s="43">
        <f t="shared" si="79"/>
        <v>1.0903898856840032E-2</v>
      </c>
      <c r="P138" s="43">
        <f t="shared" si="80"/>
        <v>10.490371873722459</v>
      </c>
      <c r="Q138" s="43">
        <v>123.36</v>
      </c>
      <c r="R138" s="43">
        <f t="shared" si="81"/>
        <v>4.1325707381330909</v>
      </c>
      <c r="S138" s="43">
        <f t="shared" si="82"/>
        <v>504.38555675675673</v>
      </c>
      <c r="T138" s="43">
        <f t="shared" si="83"/>
        <v>1008.7711135135135</v>
      </c>
      <c r="U138" s="43">
        <f t="shared" si="84"/>
        <v>2.5474018018018015E-3</v>
      </c>
      <c r="V138" s="43">
        <f t="shared" si="85"/>
        <v>1.6012239897039896E-4</v>
      </c>
      <c r="W138" s="43">
        <f t="shared" si="86"/>
        <v>1.8195727155727154E-3</v>
      </c>
      <c r="X138" s="43">
        <f t="shared" si="87"/>
        <v>1.8195727155727155E-12</v>
      </c>
      <c r="Y138" s="205">
        <f t="shared" si="88"/>
        <v>1068.3575694028009</v>
      </c>
    </row>
    <row r="139" spans="1:27">
      <c r="A139" t="s">
        <v>815</v>
      </c>
      <c r="D139">
        <v>6980</v>
      </c>
      <c r="E139">
        <v>1.2</v>
      </c>
      <c r="H139" s="1">
        <f t="shared" si="75"/>
        <v>0</v>
      </c>
      <c r="I139" s="43">
        <f t="shared" si="89"/>
        <v>4.5292682081853278E-3</v>
      </c>
      <c r="J139" s="1">
        <f t="shared" si="90"/>
        <v>0</v>
      </c>
      <c r="K139" s="1">
        <f t="shared" si="91"/>
        <v>0</v>
      </c>
      <c r="L139" s="43">
        <f t="shared" si="76"/>
        <v>1.6695944401544399E-2</v>
      </c>
      <c r="M139" s="43">
        <f t="shared" si="77"/>
        <v>8.1392728957528949E-3</v>
      </c>
      <c r="N139" s="43">
        <f t="shared" si="78"/>
        <v>1.1130629601029601E-4</v>
      </c>
      <c r="O139" s="43">
        <f t="shared" si="79"/>
        <v>1.0903898856840032E-2</v>
      </c>
      <c r="P139" s="43">
        <f t="shared" si="80"/>
        <v>9.1152490574608205</v>
      </c>
      <c r="Q139" s="43">
        <v>124.36</v>
      </c>
      <c r="R139" s="43">
        <f t="shared" si="81"/>
        <v>3.5908556893027481</v>
      </c>
      <c r="S139" s="43">
        <f t="shared" si="82"/>
        <v>438.26854054054053</v>
      </c>
      <c r="T139" s="43">
        <f t="shared" si="83"/>
        <v>876.53708108108106</v>
      </c>
      <c r="U139" s="43">
        <f t="shared" si="84"/>
        <v>2.213477477477477E-3</v>
      </c>
      <c r="V139" s="43">
        <f t="shared" si="85"/>
        <v>1.3913287001287E-4</v>
      </c>
      <c r="W139" s="43">
        <f t="shared" si="86"/>
        <v>1.5810553410553409E-3</v>
      </c>
      <c r="X139" s="43">
        <f t="shared" si="87"/>
        <v>1.5810553410553409E-12</v>
      </c>
      <c r="Y139" s="205">
        <f t="shared" si="88"/>
        <v>928.99982617064109</v>
      </c>
    </row>
    <row r="140" spans="1:27">
      <c r="A140" s="45" t="s">
        <v>816</v>
      </c>
      <c r="D140">
        <v>1</v>
      </c>
      <c r="E140">
        <v>1.2</v>
      </c>
      <c r="H140" s="1">
        <f t="shared" si="75"/>
        <v>0</v>
      </c>
      <c r="I140" s="43">
        <f t="shared" si="89"/>
        <v>6.4889229343629337E-7</v>
      </c>
      <c r="J140" s="1">
        <f t="shared" si="90"/>
        <v>0</v>
      </c>
      <c r="K140" s="1">
        <f t="shared" si="91"/>
        <v>0</v>
      </c>
      <c r="L140" s="43">
        <f t="shared" si="76"/>
        <v>2.3919691119691116E-6</v>
      </c>
      <c r="M140" s="43">
        <f t="shared" si="77"/>
        <v>1.1660849420849419E-6</v>
      </c>
      <c r="N140" s="43">
        <f t="shared" si="78"/>
        <v>1.5946460746460745E-8</v>
      </c>
      <c r="O140" s="43">
        <f t="shared" si="79"/>
        <v>1.0903898856840032E-2</v>
      </c>
      <c r="P140" s="43">
        <f t="shared" si="80"/>
        <v>1.3059096070860774E-3</v>
      </c>
      <c r="Q140" s="43">
        <v>125.36</v>
      </c>
      <c r="R140" s="43">
        <f t="shared" si="81"/>
        <v>5.1444923915512154E-4</v>
      </c>
      <c r="S140" s="43">
        <f t="shared" si="82"/>
        <v>6.2789189189189187E-2</v>
      </c>
      <c r="T140" s="43">
        <f t="shared" si="83"/>
        <v>0.12557837837837837</v>
      </c>
      <c r="U140" s="43">
        <f t="shared" si="84"/>
        <v>3.1711711711711707E-7</v>
      </c>
      <c r="V140" s="43">
        <f t="shared" si="85"/>
        <v>1.9933075933075932E-8</v>
      </c>
      <c r="W140" s="43">
        <f t="shared" si="86"/>
        <v>2.2651222651222648E-7</v>
      </c>
      <c r="X140" s="43">
        <f t="shared" si="87"/>
        <v>2.2651222651222649E-16</v>
      </c>
      <c r="Y140" s="205">
        <f t="shared" si="88"/>
        <v>5.1491803802861691</v>
      </c>
    </row>
    <row r="141" spans="1:27" s="45" customFormat="1">
      <c r="A141" s="45" t="s">
        <v>817</v>
      </c>
      <c r="D141" s="45">
        <v>1</v>
      </c>
      <c r="E141" s="45">
        <v>1.2</v>
      </c>
      <c r="H141" s="128">
        <f t="shared" si="75"/>
        <v>0</v>
      </c>
      <c r="I141" s="129">
        <f t="shared" si="89"/>
        <v>6.4889229343629337E-7</v>
      </c>
      <c r="J141" s="128">
        <f t="shared" si="90"/>
        <v>0</v>
      </c>
      <c r="K141" s="128">
        <f t="shared" si="91"/>
        <v>0</v>
      </c>
      <c r="L141" s="129">
        <f t="shared" si="76"/>
        <v>2.3919691119691116E-6</v>
      </c>
      <c r="M141" s="129">
        <f t="shared" si="77"/>
        <v>1.1660849420849419E-6</v>
      </c>
      <c r="N141" s="129">
        <f t="shared" si="78"/>
        <v>1.5946460746460745E-8</v>
      </c>
      <c r="O141" s="129">
        <f t="shared" si="79"/>
        <v>1.0903898856840032E-2</v>
      </c>
      <c r="P141" s="129">
        <f t="shared" si="80"/>
        <v>1.3059096070860774E-3</v>
      </c>
      <c r="Q141" s="129">
        <v>126.36</v>
      </c>
      <c r="R141" s="129">
        <f t="shared" si="81"/>
        <v>5.1444923915512154E-4</v>
      </c>
      <c r="S141" s="129">
        <f t="shared" si="82"/>
        <v>6.2789189189189187E-2</v>
      </c>
      <c r="T141" s="129">
        <f t="shared" si="83"/>
        <v>0.12557837837837837</v>
      </c>
      <c r="U141" s="129">
        <f t="shared" si="84"/>
        <v>3.1711711711711707E-7</v>
      </c>
      <c r="V141" s="129">
        <f t="shared" si="85"/>
        <v>1.9933075933075932E-8</v>
      </c>
      <c r="W141" s="129">
        <f t="shared" si="86"/>
        <v>2.2651222651222648E-7</v>
      </c>
      <c r="X141" s="129">
        <f t="shared" si="87"/>
        <v>2.2651222651222649E-16</v>
      </c>
      <c r="Y141" s="205">
        <f t="shared" si="88"/>
        <v>5.1891803802861691</v>
      </c>
      <c r="AA141" s="88"/>
    </row>
    <row r="142" spans="1:27">
      <c r="A142" t="s">
        <v>818</v>
      </c>
      <c r="D142">
        <v>1</v>
      </c>
      <c r="E142">
        <v>1.2</v>
      </c>
      <c r="H142" s="1">
        <f t="shared" si="75"/>
        <v>0</v>
      </c>
      <c r="I142" s="43">
        <f t="shared" si="89"/>
        <v>6.4889229343629337E-7</v>
      </c>
      <c r="J142" s="1">
        <f t="shared" si="90"/>
        <v>0</v>
      </c>
      <c r="K142" s="1">
        <f t="shared" si="91"/>
        <v>0</v>
      </c>
      <c r="L142" s="43">
        <f t="shared" si="76"/>
        <v>2.3919691119691116E-6</v>
      </c>
      <c r="M142" s="43">
        <f t="shared" si="77"/>
        <v>1.1660849420849419E-6</v>
      </c>
      <c r="N142" s="43">
        <f t="shared" si="78"/>
        <v>1.5946460746460745E-8</v>
      </c>
      <c r="O142" s="43">
        <f t="shared" si="79"/>
        <v>1.0903898856840032E-2</v>
      </c>
      <c r="P142" s="43">
        <f t="shared" si="80"/>
        <v>1.3059096070860774E-3</v>
      </c>
      <c r="Q142" s="43">
        <v>127.36</v>
      </c>
      <c r="R142" s="43">
        <f t="shared" si="81"/>
        <v>5.1444923915512154E-4</v>
      </c>
      <c r="S142" s="43">
        <f t="shared" si="82"/>
        <v>6.2789189189189187E-2</v>
      </c>
      <c r="T142" s="43">
        <f t="shared" si="83"/>
        <v>0.12557837837837837</v>
      </c>
      <c r="U142" s="43">
        <f t="shared" si="84"/>
        <v>3.1711711711711707E-7</v>
      </c>
      <c r="V142" s="43">
        <f t="shared" si="85"/>
        <v>1.9933075933075932E-8</v>
      </c>
      <c r="W142" s="43">
        <f t="shared" si="86"/>
        <v>2.2651222651222648E-7</v>
      </c>
      <c r="X142" s="43">
        <f t="shared" si="87"/>
        <v>2.2651222651222649E-16</v>
      </c>
      <c r="Y142" s="205">
        <f t="shared" si="88"/>
        <v>5.2291803802861692</v>
      </c>
    </row>
    <row r="143" spans="1:27">
      <c r="A143" t="s">
        <v>819</v>
      </c>
      <c r="D143">
        <v>1</v>
      </c>
      <c r="E143">
        <v>1.2</v>
      </c>
      <c r="H143" s="1">
        <f t="shared" si="75"/>
        <v>0</v>
      </c>
      <c r="I143" s="43">
        <f t="shared" si="89"/>
        <v>6.4889229343629337E-7</v>
      </c>
      <c r="J143" s="1">
        <f t="shared" si="90"/>
        <v>0</v>
      </c>
      <c r="K143" s="1">
        <f t="shared" si="91"/>
        <v>0</v>
      </c>
      <c r="L143" s="43">
        <f t="shared" si="76"/>
        <v>2.3919691119691116E-6</v>
      </c>
      <c r="M143" s="43">
        <f t="shared" si="77"/>
        <v>1.1660849420849419E-6</v>
      </c>
      <c r="N143" s="43">
        <f t="shared" si="78"/>
        <v>1.5946460746460745E-8</v>
      </c>
      <c r="O143" s="43">
        <f t="shared" si="79"/>
        <v>1.0903898856840032E-2</v>
      </c>
      <c r="P143" s="43">
        <f t="shared" si="80"/>
        <v>1.3059096070860774E-3</v>
      </c>
      <c r="Q143" s="43">
        <v>128.36000000000001</v>
      </c>
      <c r="R143" s="43">
        <f t="shared" si="81"/>
        <v>5.1444923915512154E-4</v>
      </c>
      <c r="S143" s="43">
        <f t="shared" si="82"/>
        <v>6.2789189189189187E-2</v>
      </c>
      <c r="T143" s="43">
        <f t="shared" si="83"/>
        <v>0.12557837837837837</v>
      </c>
      <c r="U143" s="43">
        <f t="shared" si="84"/>
        <v>3.1711711711711707E-7</v>
      </c>
      <c r="V143" s="43">
        <f t="shared" si="85"/>
        <v>1.9933075933075932E-8</v>
      </c>
      <c r="W143" s="43">
        <f t="shared" si="86"/>
        <v>2.2651222651222648E-7</v>
      </c>
      <c r="X143" s="43">
        <f t="shared" si="87"/>
        <v>2.2651222651222649E-16</v>
      </c>
      <c r="Y143" s="205">
        <f t="shared" si="88"/>
        <v>5.2691803802861692</v>
      </c>
    </row>
    <row r="144" spans="1:27">
      <c r="A144" t="s">
        <v>820</v>
      </c>
      <c r="D144">
        <v>2</v>
      </c>
      <c r="E144">
        <v>1.2</v>
      </c>
      <c r="H144" s="1">
        <f t="shared" si="75"/>
        <v>0</v>
      </c>
      <c r="I144" s="43">
        <f t="shared" si="89"/>
        <v>1.2977845868725867E-6</v>
      </c>
      <c r="J144" s="1">
        <f t="shared" si="90"/>
        <v>0</v>
      </c>
      <c r="K144" s="1">
        <f t="shared" si="91"/>
        <v>0</v>
      </c>
      <c r="L144" s="43">
        <f t="shared" si="76"/>
        <v>4.7839382239382231E-6</v>
      </c>
      <c r="M144" s="43">
        <f t="shared" si="77"/>
        <v>2.3321698841698838E-6</v>
      </c>
      <c r="N144" s="43">
        <f t="shared" si="78"/>
        <v>3.1892921492921491E-8</v>
      </c>
      <c r="O144" s="43">
        <f t="shared" si="79"/>
        <v>1.0903898856840032E-2</v>
      </c>
      <c r="P144" s="43">
        <f t="shared" si="80"/>
        <v>2.6118192141721549E-3</v>
      </c>
      <c r="Q144" s="43">
        <v>129.36000000000001</v>
      </c>
      <c r="R144" s="43">
        <f t="shared" si="81"/>
        <v>1.0288984783102431E-3</v>
      </c>
      <c r="S144" s="43">
        <f t="shared" si="82"/>
        <v>0.12557837837837837</v>
      </c>
      <c r="T144" s="43">
        <f t="shared" si="83"/>
        <v>0.25115675675675675</v>
      </c>
      <c r="U144" s="43">
        <f t="shared" si="84"/>
        <v>6.3423423423423414E-7</v>
      </c>
      <c r="V144" s="43">
        <f t="shared" si="85"/>
        <v>3.9866151866151864E-8</v>
      </c>
      <c r="W144" s="43">
        <f t="shared" si="86"/>
        <v>4.5302445302445296E-7</v>
      </c>
      <c r="X144" s="43">
        <f t="shared" si="87"/>
        <v>4.5302445302445297E-16</v>
      </c>
      <c r="Y144" s="205">
        <f t="shared" si="88"/>
        <v>5.4415619028238327</v>
      </c>
    </row>
    <row r="145" spans="1:27">
      <c r="A145" t="s">
        <v>821</v>
      </c>
      <c r="D145">
        <v>13951</v>
      </c>
      <c r="E145">
        <v>1.2</v>
      </c>
      <c r="H145" s="1">
        <f t="shared" si="75"/>
        <v>0</v>
      </c>
      <c r="I145" s="43">
        <f t="shared" si="89"/>
        <v>9.0526963857297284E-3</v>
      </c>
      <c r="J145" s="1">
        <f t="shared" si="90"/>
        <v>0</v>
      </c>
      <c r="K145" s="1">
        <f t="shared" si="91"/>
        <v>0</v>
      </c>
      <c r="L145" s="43">
        <f t="shared" si="76"/>
        <v>3.3370361081081074E-2</v>
      </c>
      <c r="M145" s="43">
        <f t="shared" si="77"/>
        <v>1.6268051027027025E-2</v>
      </c>
      <c r="N145" s="43">
        <f t="shared" si="78"/>
        <v>2.2246907387387386E-4</v>
      </c>
      <c r="O145" s="43">
        <f t="shared" si="79"/>
        <v>1.0903898856840032E-2</v>
      </c>
      <c r="P145" s="43">
        <f t="shared" si="80"/>
        <v>18.218744928457866</v>
      </c>
      <c r="Q145" s="43">
        <v>130.36000000000001</v>
      </c>
      <c r="R145" s="43">
        <f t="shared" si="81"/>
        <v>7.1770813354531002</v>
      </c>
      <c r="S145" s="43">
        <f t="shared" si="82"/>
        <v>875.97197837837837</v>
      </c>
      <c r="T145" s="43">
        <f t="shared" si="83"/>
        <v>1751.9439567567567</v>
      </c>
      <c r="U145" s="43">
        <f t="shared" si="84"/>
        <v>4.4241009009009001E-3</v>
      </c>
      <c r="V145" s="43">
        <f t="shared" si="85"/>
        <v>2.7808634234234233E-4</v>
      </c>
      <c r="W145" s="43">
        <f t="shared" si="86"/>
        <v>3.1600720720720717E-3</v>
      </c>
      <c r="X145" s="43">
        <f t="shared" si="87"/>
        <v>3.1600720720720717E-12</v>
      </c>
      <c r="Y145" s="205">
        <f t="shared" si="88"/>
        <v>1852.0714197806949</v>
      </c>
    </row>
    <row r="146" spans="1:27">
      <c r="A146" t="s">
        <v>822</v>
      </c>
      <c r="D146">
        <v>6512</v>
      </c>
      <c r="E146">
        <v>1.2</v>
      </c>
      <c r="H146" s="1">
        <f t="shared" si="75"/>
        <v>0</v>
      </c>
      <c r="I146" s="43">
        <f t="shared" si="89"/>
        <v>4.2255866148571426E-3</v>
      </c>
      <c r="J146" s="1">
        <f t="shared" si="90"/>
        <v>0</v>
      </c>
      <c r="K146" s="1">
        <f t="shared" si="91"/>
        <v>0</v>
      </c>
      <c r="L146" s="43">
        <f t="shared" si="76"/>
        <v>1.5576502857142854E-2</v>
      </c>
      <c r="M146" s="43">
        <f t="shared" si="77"/>
        <v>7.5935451428571412E-3</v>
      </c>
      <c r="N146" s="43">
        <f t="shared" si="78"/>
        <v>1.0384335238095237E-4</v>
      </c>
      <c r="O146" s="43">
        <f t="shared" si="79"/>
        <v>1.0903898856840032E-2</v>
      </c>
      <c r="P146" s="43">
        <f t="shared" si="80"/>
        <v>8.5040833613445361</v>
      </c>
      <c r="Q146" s="43">
        <v>131.36000000000001</v>
      </c>
      <c r="R146" s="43">
        <f t="shared" si="81"/>
        <v>3.3500934453781515</v>
      </c>
      <c r="S146" s="43">
        <f t="shared" si="82"/>
        <v>408.88319999999999</v>
      </c>
      <c r="T146" s="43">
        <f t="shared" si="83"/>
        <v>817.76639999999998</v>
      </c>
      <c r="U146" s="43">
        <f t="shared" si="84"/>
        <v>2.0650666666666663E-3</v>
      </c>
      <c r="V146" s="43">
        <f t="shared" si="85"/>
        <v>1.2980419047619048E-4</v>
      </c>
      <c r="W146" s="43">
        <f t="shared" si="86"/>
        <v>1.4750476190476189E-3</v>
      </c>
      <c r="X146" s="43">
        <f t="shared" si="87"/>
        <v>1.4750476190476189E-12</v>
      </c>
      <c r="Y146" s="205">
        <f t="shared" si="88"/>
        <v>867.32527362301448</v>
      </c>
    </row>
    <row r="147" spans="1:27">
      <c r="A147" t="s">
        <v>823</v>
      </c>
      <c r="D147">
        <v>632</v>
      </c>
      <c r="E147">
        <v>1.2</v>
      </c>
      <c r="H147" s="1">
        <f t="shared" si="75"/>
        <v>0</v>
      </c>
      <c r="I147" s="43">
        <f t="shared" si="89"/>
        <v>4.100999294517374E-4</v>
      </c>
      <c r="J147" s="1">
        <f t="shared" si="90"/>
        <v>0</v>
      </c>
      <c r="K147" s="1">
        <f t="shared" si="91"/>
        <v>0</v>
      </c>
      <c r="L147" s="43">
        <f t="shared" si="76"/>
        <v>1.5117244787644785E-3</v>
      </c>
      <c r="M147" s="43">
        <f t="shared" si="77"/>
        <v>7.3696568339768329E-4</v>
      </c>
      <c r="N147" s="43">
        <f t="shared" si="78"/>
        <v>1.0078163191763191E-5</v>
      </c>
      <c r="O147" s="43">
        <f t="shared" si="79"/>
        <v>1.0903898856840032E-2</v>
      </c>
      <c r="P147" s="43">
        <f t="shared" si="80"/>
        <v>0.82533487167840092</v>
      </c>
      <c r="Q147" s="43">
        <v>132.36000000000001</v>
      </c>
      <c r="R147" s="43">
        <f t="shared" si="81"/>
        <v>0.32513191914603679</v>
      </c>
      <c r="S147" s="43">
        <f t="shared" si="82"/>
        <v>39.682767567567566</v>
      </c>
      <c r="T147" s="43">
        <f t="shared" si="83"/>
        <v>79.365535135135133</v>
      </c>
      <c r="U147" s="43">
        <f t="shared" si="84"/>
        <v>2.0041801801801799E-4</v>
      </c>
      <c r="V147" s="43">
        <f t="shared" si="85"/>
        <v>1.2597703989703988E-5</v>
      </c>
      <c r="W147" s="43">
        <f t="shared" si="86"/>
        <v>1.4315572715572713E-4</v>
      </c>
      <c r="X147" s="43">
        <f t="shared" si="87"/>
        <v>1.4315572715572714E-13</v>
      </c>
      <c r="Y147" s="205">
        <f t="shared" si="88"/>
        <v>88.961921101551965</v>
      </c>
    </row>
    <row r="148" spans="1:27">
      <c r="A148" t="s">
        <v>824</v>
      </c>
      <c r="D148">
        <v>7377</v>
      </c>
      <c r="E148">
        <v>1.2</v>
      </c>
      <c r="H148" s="1">
        <f t="shared" si="75"/>
        <v>0</v>
      </c>
      <c r="I148" s="43">
        <f t="shared" si="89"/>
        <v>4.7868784486795359E-3</v>
      </c>
      <c r="J148" s="1">
        <f t="shared" si="90"/>
        <v>0</v>
      </c>
      <c r="K148" s="1">
        <f t="shared" si="91"/>
        <v>0</v>
      </c>
      <c r="L148" s="43">
        <f t="shared" si="76"/>
        <v>1.7645556138996137E-2</v>
      </c>
      <c r="M148" s="43">
        <f t="shared" si="77"/>
        <v>8.602208617760617E-3</v>
      </c>
      <c r="N148" s="43">
        <f t="shared" si="78"/>
        <v>1.1763704092664091E-4</v>
      </c>
      <c r="O148" s="43">
        <f t="shared" si="79"/>
        <v>1.0903898856840032E-2</v>
      </c>
      <c r="P148" s="43">
        <f t="shared" si="80"/>
        <v>9.6336951714739936</v>
      </c>
      <c r="Q148" s="43">
        <v>133.36000000000001</v>
      </c>
      <c r="R148" s="43">
        <f t="shared" si="81"/>
        <v>3.7950920372473314</v>
      </c>
      <c r="S148" s="43">
        <f t="shared" si="82"/>
        <v>463.19584864864862</v>
      </c>
      <c r="T148" s="43">
        <f t="shared" si="83"/>
        <v>926.39169729729724</v>
      </c>
      <c r="U148" s="43">
        <f t="shared" si="84"/>
        <v>2.3393729729729727E-3</v>
      </c>
      <c r="V148" s="43">
        <f t="shared" si="85"/>
        <v>1.4704630115830114E-4</v>
      </c>
      <c r="W148" s="43">
        <f t="shared" si="86"/>
        <v>1.6709806949806948E-3</v>
      </c>
      <c r="X148" s="43">
        <f t="shared" si="87"/>
        <v>1.6709806949806947E-12</v>
      </c>
      <c r="Y148" s="205">
        <f t="shared" si="88"/>
        <v>981.91529061809354</v>
      </c>
    </row>
    <row r="149" spans="1:27">
      <c r="A149" t="s">
        <v>825</v>
      </c>
      <c r="D149">
        <v>705</v>
      </c>
      <c r="E149">
        <v>1.2</v>
      </c>
      <c r="H149" s="1">
        <f t="shared" si="75"/>
        <v>0</v>
      </c>
      <c r="I149" s="43">
        <f t="shared" si="89"/>
        <v>4.5746906687258685E-4</v>
      </c>
      <c r="J149" s="1">
        <f t="shared" si="90"/>
        <v>0</v>
      </c>
      <c r="K149" s="1">
        <f t="shared" si="91"/>
        <v>0</v>
      </c>
      <c r="L149" s="43">
        <f t="shared" si="76"/>
        <v>1.6863382239382238E-3</v>
      </c>
      <c r="M149" s="43">
        <f t="shared" si="77"/>
        <v>8.2208988416988403E-4</v>
      </c>
      <c r="N149" s="43">
        <f t="shared" si="78"/>
        <v>1.1242254826254826E-5</v>
      </c>
      <c r="O149" s="43">
        <f t="shared" si="79"/>
        <v>1.0903898856840032E-2</v>
      </c>
      <c r="P149" s="43">
        <f t="shared" si="80"/>
        <v>0.9206662729956846</v>
      </c>
      <c r="Q149" s="43">
        <v>134.36000000000001</v>
      </c>
      <c r="R149" s="43">
        <f t="shared" si="81"/>
        <v>0.36268671360436067</v>
      </c>
      <c r="S149" s="43">
        <f t="shared" si="82"/>
        <v>44.266378378378377</v>
      </c>
      <c r="T149" s="43">
        <f t="shared" si="83"/>
        <v>88.532756756756754</v>
      </c>
      <c r="U149" s="43">
        <f t="shared" si="84"/>
        <v>2.2356756756756753E-4</v>
      </c>
      <c r="V149" s="43">
        <f t="shared" si="85"/>
        <v>1.4052818532818531E-5</v>
      </c>
      <c r="W149" s="43">
        <f t="shared" si="86"/>
        <v>1.5969111969111967E-4</v>
      </c>
      <c r="X149" s="43">
        <f t="shared" si="87"/>
        <v>1.5969111969111968E-13</v>
      </c>
      <c r="Y149" s="205">
        <f t="shared" si="88"/>
        <v>98.705772246801388</v>
      </c>
    </row>
    <row r="150" spans="1:27">
      <c r="A150" t="s">
        <v>826</v>
      </c>
      <c r="D150">
        <v>595</v>
      </c>
      <c r="E150">
        <v>1.2</v>
      </c>
      <c r="H150" s="1">
        <f t="shared" si="75"/>
        <v>0</v>
      </c>
      <c r="I150" s="43">
        <f t="shared" si="89"/>
        <v>3.8609091459459457E-4</v>
      </c>
      <c r="J150" s="1">
        <f t="shared" si="90"/>
        <v>0</v>
      </c>
      <c r="K150" s="1">
        <f t="shared" si="91"/>
        <v>0</v>
      </c>
      <c r="L150" s="43">
        <f t="shared" si="76"/>
        <v>1.4232216216216215E-3</v>
      </c>
      <c r="M150" s="43">
        <f t="shared" si="77"/>
        <v>6.9382054054054044E-4</v>
      </c>
      <c r="N150" s="43">
        <f t="shared" si="78"/>
        <v>9.4881441441441437E-6</v>
      </c>
      <c r="O150" s="43">
        <f t="shared" si="79"/>
        <v>1.0903898856840032E-2</v>
      </c>
      <c r="P150" s="43">
        <f t="shared" si="80"/>
        <v>0.77701621621621608</v>
      </c>
      <c r="Q150" s="43">
        <v>135.36000000000001</v>
      </c>
      <c r="R150" s="43">
        <f t="shared" si="81"/>
        <v>0.30609729729729729</v>
      </c>
      <c r="S150" s="43">
        <f t="shared" si="82"/>
        <v>37.359567567567566</v>
      </c>
      <c r="T150" s="43">
        <f t="shared" si="83"/>
        <v>74.719135135135133</v>
      </c>
      <c r="U150" s="43">
        <f t="shared" si="84"/>
        <v>1.8868468468468465E-4</v>
      </c>
      <c r="V150" s="43">
        <f t="shared" si="85"/>
        <v>1.186018018018018E-5</v>
      </c>
      <c r="W150" s="43">
        <f t="shared" si="86"/>
        <v>1.3477477477477477E-4</v>
      </c>
      <c r="X150" s="43">
        <f t="shared" si="87"/>
        <v>1.3477477477477475E-13</v>
      </c>
      <c r="Y150" s="205">
        <f t="shared" si="88"/>
        <v>84.183804767658415</v>
      </c>
    </row>
    <row r="151" spans="1:27">
      <c r="A151" t="s">
        <v>827</v>
      </c>
      <c r="D151">
        <v>4990</v>
      </c>
      <c r="E151">
        <v>1.2</v>
      </c>
      <c r="H151" s="1">
        <f t="shared" si="75"/>
        <v>0</v>
      </c>
      <c r="I151" s="43">
        <f t="shared" si="89"/>
        <v>3.237972544247104E-3</v>
      </c>
      <c r="J151" s="1">
        <f t="shared" si="90"/>
        <v>0</v>
      </c>
      <c r="K151" s="1">
        <f t="shared" si="91"/>
        <v>0</v>
      </c>
      <c r="L151" s="43">
        <f t="shared" si="76"/>
        <v>1.1935925868725867E-2</v>
      </c>
      <c r="M151" s="43">
        <f t="shared" si="77"/>
        <v>5.8187638610038605E-3</v>
      </c>
      <c r="N151" s="43">
        <f t="shared" si="78"/>
        <v>7.9572839124839116E-5</v>
      </c>
      <c r="O151" s="43">
        <f t="shared" si="79"/>
        <v>1.0903898856840032E-2</v>
      </c>
      <c r="P151" s="43">
        <f t="shared" si="80"/>
        <v>6.516488939359526</v>
      </c>
      <c r="Q151" s="43">
        <v>136.36000000000001</v>
      </c>
      <c r="R151" s="43">
        <f t="shared" si="81"/>
        <v>2.5671017033840564</v>
      </c>
      <c r="S151" s="43">
        <f t="shared" si="82"/>
        <v>313.31805405405407</v>
      </c>
      <c r="T151" s="43">
        <f t="shared" si="83"/>
        <v>626.63610810810815</v>
      </c>
      <c r="U151" s="43">
        <f t="shared" si="84"/>
        <v>1.5824144144144141E-3</v>
      </c>
      <c r="V151" s="43">
        <f t="shared" si="85"/>
        <v>9.9466048906048901E-5</v>
      </c>
      <c r="W151" s="43">
        <f t="shared" si="86"/>
        <v>1.1302960102960102E-3</v>
      </c>
      <c r="X151" s="43">
        <f t="shared" si="87"/>
        <v>1.1302960102960102E-12</v>
      </c>
      <c r="Y151" s="205">
        <f t="shared" si="88"/>
        <v>666.04059632069027</v>
      </c>
    </row>
    <row r="152" spans="1:27">
      <c r="A152" t="s">
        <v>828</v>
      </c>
      <c r="D152">
        <v>2143</v>
      </c>
      <c r="E152">
        <v>1.2</v>
      </c>
      <c r="H152" s="1">
        <f t="shared" si="75"/>
        <v>0</v>
      </c>
      <c r="I152" s="43">
        <f t="shared" si="89"/>
        <v>1.3905761848339766E-3</v>
      </c>
      <c r="J152" s="1">
        <f t="shared" si="90"/>
        <v>0</v>
      </c>
      <c r="K152" s="1">
        <f t="shared" si="91"/>
        <v>0</v>
      </c>
      <c r="L152" s="43">
        <f t="shared" si="76"/>
        <v>5.1259898069498065E-3</v>
      </c>
      <c r="M152" s="43">
        <f t="shared" si="77"/>
        <v>2.4989200308880304E-3</v>
      </c>
      <c r="N152" s="43">
        <f t="shared" si="78"/>
        <v>3.4173265379665379E-5</v>
      </c>
      <c r="O152" s="43">
        <f t="shared" si="79"/>
        <v>1.0903898856840032E-2</v>
      </c>
      <c r="P152" s="43">
        <f t="shared" si="80"/>
        <v>2.7985642879854637</v>
      </c>
      <c r="Q152" s="43">
        <v>137.36000000000001</v>
      </c>
      <c r="R152" s="43">
        <f t="shared" si="81"/>
        <v>1.1024647195094255</v>
      </c>
      <c r="S152" s="43">
        <f t="shared" si="82"/>
        <v>134.55723243243244</v>
      </c>
      <c r="T152" s="43">
        <f t="shared" si="83"/>
        <v>269.11446486486489</v>
      </c>
      <c r="U152" s="43">
        <f t="shared" si="84"/>
        <v>6.7958198198198191E-4</v>
      </c>
      <c r="V152" s="43">
        <f t="shared" si="85"/>
        <v>4.2716581724581722E-5</v>
      </c>
      <c r="W152" s="43">
        <f t="shared" si="86"/>
        <v>4.8541570141570135E-4</v>
      </c>
      <c r="X152" s="43">
        <f t="shared" si="87"/>
        <v>4.8541570141570135E-13</v>
      </c>
      <c r="Y152" s="205">
        <f t="shared" si="88"/>
        <v>289.19040165596181</v>
      </c>
    </row>
    <row r="153" spans="1:27">
      <c r="A153" t="s">
        <v>829</v>
      </c>
      <c r="D153">
        <v>1177</v>
      </c>
      <c r="E153">
        <v>1.2</v>
      </c>
      <c r="H153" s="1">
        <f t="shared" si="75"/>
        <v>0</v>
      </c>
      <c r="I153" s="43">
        <f t="shared" si="89"/>
        <v>7.6374622937451725E-4</v>
      </c>
      <c r="J153" s="1">
        <f t="shared" si="90"/>
        <v>0</v>
      </c>
      <c r="K153" s="1">
        <f t="shared" si="91"/>
        <v>0</v>
      </c>
      <c r="L153" s="43">
        <f t="shared" si="76"/>
        <v>2.8153476447876444E-3</v>
      </c>
      <c r="M153" s="43">
        <f t="shared" si="77"/>
        <v>1.3724819768339766E-3</v>
      </c>
      <c r="N153" s="43">
        <f t="shared" si="78"/>
        <v>1.8768984298584297E-5</v>
      </c>
      <c r="O153" s="43">
        <f t="shared" si="79"/>
        <v>1.0903898856840032E-2</v>
      </c>
      <c r="P153" s="43">
        <f t="shared" si="80"/>
        <v>1.5370556075403132</v>
      </c>
      <c r="Q153" s="43">
        <v>138.36000000000001</v>
      </c>
      <c r="R153" s="43">
        <f t="shared" si="81"/>
        <v>0.605506754485578</v>
      </c>
      <c r="S153" s="43">
        <f t="shared" si="82"/>
        <v>73.902875675675674</v>
      </c>
      <c r="T153" s="43">
        <f t="shared" si="83"/>
        <v>147.80575135135135</v>
      </c>
      <c r="U153" s="43">
        <f t="shared" si="84"/>
        <v>3.7324684684684681E-4</v>
      </c>
      <c r="V153" s="43">
        <f t="shared" si="85"/>
        <v>2.3461230373230371E-5</v>
      </c>
      <c r="W153" s="43">
        <f t="shared" si="86"/>
        <v>2.6660489060489055E-4</v>
      </c>
      <c r="X153" s="43">
        <f t="shared" si="87"/>
        <v>2.6660489060489058E-13</v>
      </c>
      <c r="Y153" s="205">
        <f t="shared" si="88"/>
        <v>161.34985088457864</v>
      </c>
    </row>
    <row r="154" spans="1:27">
      <c r="A154" t="s">
        <v>830</v>
      </c>
      <c r="D154">
        <v>790</v>
      </c>
      <c r="E154">
        <v>1.2</v>
      </c>
      <c r="H154" s="1">
        <f t="shared" si="75"/>
        <v>0</v>
      </c>
      <c r="I154" s="43">
        <f t="shared" si="89"/>
        <v>5.1262491181467177E-4</v>
      </c>
      <c r="J154" s="1">
        <f t="shared" si="90"/>
        <v>0</v>
      </c>
      <c r="K154" s="1">
        <f t="shared" si="91"/>
        <v>0</v>
      </c>
      <c r="L154" s="43">
        <f t="shared" ref="L154:L185" si="92">CO2_malnutrition_charfact*D154</f>
        <v>1.8896555984555981E-3</v>
      </c>
      <c r="M154" s="43">
        <f t="shared" ref="M154:M185" si="93">CO2_workingcapacity_charfact*D154</f>
        <v>9.2120710424710406E-4</v>
      </c>
      <c r="N154" s="43">
        <f t="shared" ref="N154:N185" si="94">CO2_diarrhea_charfact*D154</f>
        <v>1.2597703989703988E-5</v>
      </c>
      <c r="O154" s="43">
        <f t="shared" ref="O154:O185" si="95">CO2_crop_charfact</f>
        <v>1.0903898856840032E-2</v>
      </c>
      <c r="P154" s="43">
        <f t="shared" ref="P154:P185" si="96">CO2_fruitandveg_charfact*D154</f>
        <v>1.0316685895980011</v>
      </c>
      <c r="Q154" s="43">
        <v>139.36000000000001</v>
      </c>
      <c r="R154" s="43">
        <f t="shared" ref="R154:R185" si="97">CO2_meatandfish_charfact*D154</f>
        <v>0.40641489893254601</v>
      </c>
      <c r="S154" s="43">
        <f t="shared" ref="S154:S185" si="98">CO2_drinkingwater_charfact*D154</f>
        <v>49.603459459459458</v>
      </c>
      <c r="T154" s="43">
        <f t="shared" ref="T154:T185" si="99">CO2_irrigationwater_charfact*D154</f>
        <v>99.206918918918916</v>
      </c>
      <c r="U154" s="43">
        <f t="shared" ref="U154:U185" si="100">CO2_energyaccess_charfact*D154</f>
        <v>2.5052252252252247E-4</v>
      </c>
      <c r="V154" s="43">
        <f t="shared" ref="V154:V185" si="101">CO2_housing_charfact*D154</f>
        <v>1.5747129987129987E-5</v>
      </c>
      <c r="W154" s="43">
        <f t="shared" ref="W154:W185" si="102">CO2_separations_charfact*D154</f>
        <v>1.7894465894465893E-4</v>
      </c>
      <c r="X154" s="43">
        <f t="shared" ref="X154:X185" si="103">CO2_NEX_charfact*D154</f>
        <v>1.7894465894465891E-13</v>
      </c>
      <c r="Y154" s="205">
        <f t="shared" ref="Y154:Y185" si="104">(H154+I154)*YOLLvalue+J154*skincancervalue+K154*Lowvisionvalue+L154*malnutrition+M154*working_capacity+N154*diarrhea+O154*cropvalue+P154*Fruitandveg_value+Q154*woodvalue+R154*fishandmeatvalue+S154*drinkingwatervalue+T154*irrigationwatervalue+U154*energy_access+V154*housingvalue+W154*migrationvalue+X154*speciesvalue</f>
        <v>110.15820166250283</v>
      </c>
    </row>
    <row r="155" spans="1:27">
      <c r="A155" t="s">
        <v>831</v>
      </c>
      <c r="D155">
        <v>997</v>
      </c>
      <c r="E155">
        <v>1.2</v>
      </c>
      <c r="H155" s="1">
        <f t="shared" si="75"/>
        <v>0</v>
      </c>
      <c r="I155" s="43">
        <f t="shared" si="89"/>
        <v>6.4694561655598444E-4</v>
      </c>
      <c r="J155" s="1">
        <f t="shared" si="90"/>
        <v>0</v>
      </c>
      <c r="K155" s="1">
        <f t="shared" si="91"/>
        <v>0</v>
      </c>
      <c r="L155" s="43">
        <f t="shared" si="92"/>
        <v>2.3847932046332041E-3</v>
      </c>
      <c r="M155" s="43">
        <f t="shared" si="93"/>
        <v>1.162586687258687E-3</v>
      </c>
      <c r="N155" s="43">
        <f t="shared" si="94"/>
        <v>1.5898621364221363E-5</v>
      </c>
      <c r="O155" s="43">
        <f t="shared" si="95"/>
        <v>1.0903898856840032E-2</v>
      </c>
      <c r="P155" s="43">
        <f t="shared" si="96"/>
        <v>1.3019918782648192</v>
      </c>
      <c r="Q155" s="43">
        <v>140.36000000000001</v>
      </c>
      <c r="R155" s="43">
        <f t="shared" si="97"/>
        <v>0.51290589143765619</v>
      </c>
      <c r="S155" s="43">
        <f t="shared" si="98"/>
        <v>62.60082162162162</v>
      </c>
      <c r="T155" s="43">
        <f t="shared" si="99"/>
        <v>125.20164324324324</v>
      </c>
      <c r="U155" s="43">
        <f t="shared" si="100"/>
        <v>3.1616576576576572E-4</v>
      </c>
      <c r="V155" s="43">
        <f t="shared" si="101"/>
        <v>1.9873276705276704E-5</v>
      </c>
      <c r="W155" s="43">
        <f t="shared" si="102"/>
        <v>2.2583268983268981E-4</v>
      </c>
      <c r="X155" s="43">
        <f t="shared" si="103"/>
        <v>2.2583268983268981E-13</v>
      </c>
      <c r="Y155" s="205">
        <f t="shared" si="104"/>
        <v>137.60117682779918</v>
      </c>
    </row>
    <row r="156" spans="1:27">
      <c r="A156" t="s">
        <v>832</v>
      </c>
      <c r="D156">
        <v>981</v>
      </c>
      <c r="E156">
        <v>1.2</v>
      </c>
      <c r="H156" s="1">
        <f t="shared" si="75"/>
        <v>0</v>
      </c>
      <c r="I156" s="43">
        <f t="shared" si="89"/>
        <v>6.3656333986100385E-4</v>
      </c>
      <c r="J156" s="1">
        <f t="shared" si="90"/>
        <v>0</v>
      </c>
      <c r="K156" s="1">
        <f t="shared" si="91"/>
        <v>0</v>
      </c>
      <c r="L156" s="43">
        <f t="shared" si="92"/>
        <v>2.3465216988416983E-3</v>
      </c>
      <c r="M156" s="43">
        <f t="shared" si="93"/>
        <v>1.143929328185328E-3</v>
      </c>
      <c r="N156" s="43">
        <f t="shared" si="94"/>
        <v>1.564347799227799E-5</v>
      </c>
      <c r="O156" s="43">
        <f t="shared" si="95"/>
        <v>1.0903898856840032E-2</v>
      </c>
      <c r="P156" s="43">
        <f t="shared" si="96"/>
        <v>1.2810973245514419</v>
      </c>
      <c r="Q156" s="43">
        <v>141.36000000000001</v>
      </c>
      <c r="R156" s="43">
        <f t="shared" si="97"/>
        <v>0.50467470361117428</v>
      </c>
      <c r="S156" s="43">
        <f t="shared" si="98"/>
        <v>61.596194594594593</v>
      </c>
      <c r="T156" s="43">
        <f t="shared" si="99"/>
        <v>123.19238918918919</v>
      </c>
      <c r="U156" s="43">
        <f t="shared" si="100"/>
        <v>3.1109189189189182E-4</v>
      </c>
      <c r="V156" s="43">
        <f t="shared" si="101"/>
        <v>1.955434749034749E-5</v>
      </c>
      <c r="W156" s="43">
        <f t="shared" si="102"/>
        <v>2.2220849420849417E-4</v>
      </c>
      <c r="X156" s="43">
        <f t="shared" si="103"/>
        <v>2.2220849420849417E-13</v>
      </c>
      <c r="Y156" s="205">
        <f t="shared" si="104"/>
        <v>135.52307246719658</v>
      </c>
    </row>
    <row r="157" spans="1:27" s="45" customFormat="1">
      <c r="A157" s="45" t="s">
        <v>833</v>
      </c>
      <c r="D157" s="45">
        <v>23</v>
      </c>
      <c r="E157" s="45">
        <v>1.2</v>
      </c>
      <c r="H157" s="128">
        <f t="shared" si="75"/>
        <v>0</v>
      </c>
      <c r="I157" s="129">
        <f t="shared" si="89"/>
        <v>1.4924522749034748E-5</v>
      </c>
      <c r="J157" s="128">
        <f t="shared" si="90"/>
        <v>0</v>
      </c>
      <c r="K157" s="128">
        <f t="shared" si="91"/>
        <v>0</v>
      </c>
      <c r="L157" s="129">
        <f t="shared" si="92"/>
        <v>5.5015289575289563E-5</v>
      </c>
      <c r="M157" s="129">
        <f t="shared" si="93"/>
        <v>2.6819953667953664E-5</v>
      </c>
      <c r="N157" s="129">
        <f t="shared" si="94"/>
        <v>3.6676859716859713E-7</v>
      </c>
      <c r="O157" s="129">
        <f t="shared" si="95"/>
        <v>1.0903898856840032E-2</v>
      </c>
      <c r="P157" s="129">
        <f t="shared" si="96"/>
        <v>3.003592096297978E-2</v>
      </c>
      <c r="Q157" s="129">
        <v>142.36000000000001</v>
      </c>
      <c r="R157" s="129">
        <f t="shared" si="97"/>
        <v>1.1832332500567795E-2</v>
      </c>
      <c r="S157" s="129">
        <f t="shared" si="98"/>
        <v>1.4441513513513513</v>
      </c>
      <c r="T157" s="129">
        <f t="shared" si="99"/>
        <v>2.8883027027027026</v>
      </c>
      <c r="U157" s="129">
        <f t="shared" si="100"/>
        <v>7.2936936936936929E-6</v>
      </c>
      <c r="V157" s="129">
        <f t="shared" si="101"/>
        <v>4.5846074646074643E-7</v>
      </c>
      <c r="W157" s="129">
        <f t="shared" si="102"/>
        <v>5.2097812097812087E-6</v>
      </c>
      <c r="X157" s="129">
        <f t="shared" si="103"/>
        <v>5.2097812097812092E-15</v>
      </c>
      <c r="Y157" s="205">
        <f t="shared" si="104"/>
        <v>8.741573876114769</v>
      </c>
      <c r="Z157" s="48"/>
      <c r="AA157" s="88"/>
    </row>
    <row r="158" spans="1:27">
      <c r="A158" t="s">
        <v>834</v>
      </c>
      <c r="D158">
        <v>365</v>
      </c>
      <c r="E158">
        <v>1.2</v>
      </c>
      <c r="H158" s="1">
        <f t="shared" si="75"/>
        <v>0</v>
      </c>
      <c r="I158" s="43">
        <f t="shared" si="89"/>
        <v>2.3684568710424707E-4</v>
      </c>
      <c r="J158" s="1">
        <f t="shared" si="90"/>
        <v>0</v>
      </c>
      <c r="K158" s="1">
        <f t="shared" si="91"/>
        <v>0</v>
      </c>
      <c r="L158" s="43">
        <f t="shared" si="92"/>
        <v>8.7306872586872576E-4</v>
      </c>
      <c r="M158" s="43">
        <f t="shared" si="93"/>
        <v>4.256210038610038E-4</v>
      </c>
      <c r="N158" s="43">
        <f t="shared" si="94"/>
        <v>5.8204581724581719E-6</v>
      </c>
      <c r="O158" s="43">
        <f t="shared" si="95"/>
        <v>1.0903898856840032E-2</v>
      </c>
      <c r="P158" s="43">
        <f t="shared" si="96"/>
        <v>0.47665700658641824</v>
      </c>
      <c r="Q158" s="43">
        <v>143.36000000000001</v>
      </c>
      <c r="R158" s="43">
        <f t="shared" si="97"/>
        <v>0.18777397229161935</v>
      </c>
      <c r="S158" s="43">
        <f t="shared" si="98"/>
        <v>22.918054054054053</v>
      </c>
      <c r="T158" s="43">
        <f t="shared" si="99"/>
        <v>45.836108108108107</v>
      </c>
      <c r="U158" s="43">
        <f t="shared" si="100"/>
        <v>1.1574774774774773E-4</v>
      </c>
      <c r="V158" s="43">
        <f t="shared" si="101"/>
        <v>7.2755727155727151E-6</v>
      </c>
      <c r="W158" s="43">
        <f t="shared" si="102"/>
        <v>8.2676962676962661E-5</v>
      </c>
      <c r="X158" s="43">
        <f t="shared" si="103"/>
        <v>8.2676962676962663E-14</v>
      </c>
      <c r="Y158" s="205">
        <f t="shared" si="104"/>
        <v>54.056054583995738</v>
      </c>
    </row>
    <row r="159" spans="1:27">
      <c r="A159" t="s">
        <v>835</v>
      </c>
      <c r="D159">
        <v>2</v>
      </c>
      <c r="E159">
        <v>1.2</v>
      </c>
      <c r="H159" s="1">
        <f t="shared" si="75"/>
        <v>0</v>
      </c>
      <c r="I159" s="43">
        <f t="shared" si="89"/>
        <v>1.2977845868725867E-6</v>
      </c>
      <c r="J159" s="1">
        <f t="shared" si="90"/>
        <v>0</v>
      </c>
      <c r="K159" s="1">
        <f t="shared" si="91"/>
        <v>0</v>
      </c>
      <c r="L159" s="43">
        <f t="shared" si="92"/>
        <v>4.7839382239382231E-6</v>
      </c>
      <c r="M159" s="43">
        <f t="shared" si="93"/>
        <v>2.3321698841698838E-6</v>
      </c>
      <c r="N159" s="43">
        <f t="shared" si="94"/>
        <v>3.1892921492921491E-8</v>
      </c>
      <c r="O159" s="43">
        <f t="shared" si="95"/>
        <v>1.0903898856840032E-2</v>
      </c>
      <c r="P159" s="43">
        <f t="shared" si="96"/>
        <v>2.6118192141721549E-3</v>
      </c>
      <c r="Q159" s="43">
        <v>144.36000000000001</v>
      </c>
      <c r="R159" s="43">
        <f t="shared" si="97"/>
        <v>1.0288984783102431E-3</v>
      </c>
      <c r="S159" s="43">
        <f t="shared" si="98"/>
        <v>0.12557837837837837</v>
      </c>
      <c r="T159" s="43">
        <f t="shared" si="99"/>
        <v>0.25115675675675675</v>
      </c>
      <c r="U159" s="43">
        <f t="shared" si="100"/>
        <v>6.3423423423423414E-7</v>
      </c>
      <c r="V159" s="43">
        <f t="shared" si="101"/>
        <v>3.9866151866151864E-8</v>
      </c>
      <c r="W159" s="43">
        <f t="shared" si="102"/>
        <v>4.5302445302445296E-7</v>
      </c>
      <c r="X159" s="43">
        <f t="shared" si="103"/>
        <v>4.5302445302445297E-16</v>
      </c>
      <c r="Y159" s="205">
        <f t="shared" si="104"/>
        <v>6.0415619028238332</v>
      </c>
    </row>
    <row r="160" spans="1:27">
      <c r="A160" t="s">
        <v>836</v>
      </c>
      <c r="D160">
        <v>36</v>
      </c>
      <c r="E160">
        <v>1.2</v>
      </c>
      <c r="H160" s="1">
        <f t="shared" si="75"/>
        <v>0</v>
      </c>
      <c r="I160" s="43">
        <f t="shared" si="89"/>
        <v>2.3360122563706563E-5</v>
      </c>
      <c r="J160" s="1">
        <f t="shared" si="90"/>
        <v>0</v>
      </c>
      <c r="K160" s="1">
        <f t="shared" si="91"/>
        <v>0</v>
      </c>
      <c r="L160" s="43">
        <f t="shared" si="92"/>
        <v>8.6110888030888015E-5</v>
      </c>
      <c r="M160" s="43">
        <f t="shared" si="93"/>
        <v>4.1979057915057907E-5</v>
      </c>
      <c r="N160" s="43">
        <f t="shared" si="94"/>
        <v>5.7407258687258689E-7</v>
      </c>
      <c r="O160" s="43">
        <f t="shared" si="95"/>
        <v>1.0903898856840032E-2</v>
      </c>
      <c r="P160" s="43">
        <f t="shared" si="96"/>
        <v>4.7012745855098785E-2</v>
      </c>
      <c r="Q160" s="43">
        <v>145.36000000000001</v>
      </c>
      <c r="R160" s="43">
        <f t="shared" si="97"/>
        <v>1.8520172609584374E-2</v>
      </c>
      <c r="S160" s="43">
        <f t="shared" si="98"/>
        <v>2.2604108108108107</v>
      </c>
      <c r="T160" s="43">
        <f t="shared" si="99"/>
        <v>4.5208216216216215</v>
      </c>
      <c r="U160" s="43">
        <f t="shared" si="100"/>
        <v>1.1416216216216215E-5</v>
      </c>
      <c r="V160" s="43">
        <f t="shared" si="101"/>
        <v>7.1759073359073356E-7</v>
      </c>
      <c r="W160" s="43">
        <f t="shared" si="102"/>
        <v>8.154440154440153E-6</v>
      </c>
      <c r="X160" s="43">
        <f t="shared" si="103"/>
        <v>8.1544401544401533E-15</v>
      </c>
      <c r="Y160" s="205">
        <f t="shared" si="104"/>
        <v>10.582533669104398</v>
      </c>
    </row>
    <row r="161" spans="1:25">
      <c r="A161" t="s">
        <v>837</v>
      </c>
      <c r="D161">
        <v>1</v>
      </c>
      <c r="E161">
        <v>1.2</v>
      </c>
      <c r="H161" s="1">
        <f t="shared" si="75"/>
        <v>0</v>
      </c>
      <c r="I161" s="43">
        <f t="shared" si="89"/>
        <v>6.4889229343629337E-7</v>
      </c>
      <c r="J161" s="1">
        <f t="shared" si="90"/>
        <v>0</v>
      </c>
      <c r="K161" s="1">
        <f t="shared" si="91"/>
        <v>0</v>
      </c>
      <c r="L161" s="43">
        <f t="shared" si="92"/>
        <v>2.3919691119691116E-6</v>
      </c>
      <c r="M161" s="43">
        <f t="shared" si="93"/>
        <v>1.1660849420849419E-6</v>
      </c>
      <c r="N161" s="43">
        <f t="shared" si="94"/>
        <v>1.5946460746460745E-8</v>
      </c>
      <c r="O161" s="43">
        <f t="shared" si="95"/>
        <v>1.0903898856840032E-2</v>
      </c>
      <c r="P161" s="43">
        <f t="shared" si="96"/>
        <v>1.3059096070860774E-3</v>
      </c>
      <c r="Q161" s="43">
        <v>146.36000000000001</v>
      </c>
      <c r="R161" s="43">
        <f t="shared" si="97"/>
        <v>5.1444923915512154E-4</v>
      </c>
      <c r="S161" s="43">
        <f t="shared" si="98"/>
        <v>6.2789189189189187E-2</v>
      </c>
      <c r="T161" s="43">
        <f t="shared" si="99"/>
        <v>0.12557837837837837</v>
      </c>
      <c r="U161" s="43">
        <f t="shared" si="100"/>
        <v>3.1711711711711707E-7</v>
      </c>
      <c r="V161" s="43">
        <f t="shared" si="101"/>
        <v>1.9933075933075932E-8</v>
      </c>
      <c r="W161" s="43">
        <f t="shared" si="102"/>
        <v>2.2651222651222648E-7</v>
      </c>
      <c r="X161" s="43">
        <f t="shared" si="103"/>
        <v>2.2651222651222649E-16</v>
      </c>
      <c r="Y161" s="205">
        <f t="shared" si="104"/>
        <v>5.9891803802861698</v>
      </c>
    </row>
    <row r="162" spans="1:25">
      <c r="A162" t="s">
        <v>838</v>
      </c>
      <c r="D162">
        <v>3598</v>
      </c>
      <c r="E162">
        <v>1.2</v>
      </c>
      <c r="H162" s="1">
        <f t="shared" si="75"/>
        <v>0</v>
      </c>
      <c r="I162" s="43">
        <f t="shared" si="89"/>
        <v>2.3347144717837834E-3</v>
      </c>
      <c r="J162" s="1">
        <f t="shared" si="90"/>
        <v>0</v>
      </c>
      <c r="K162" s="1">
        <f t="shared" si="91"/>
        <v>0</v>
      </c>
      <c r="L162" s="43">
        <f t="shared" si="92"/>
        <v>8.6063048648648641E-3</v>
      </c>
      <c r="M162" s="43">
        <f t="shared" si="93"/>
        <v>4.1955736216216207E-3</v>
      </c>
      <c r="N162" s="43">
        <f t="shared" si="94"/>
        <v>5.7375365765765764E-5</v>
      </c>
      <c r="O162" s="43">
        <f t="shared" si="95"/>
        <v>1.0903898856840032E-2</v>
      </c>
      <c r="P162" s="43">
        <f t="shared" si="96"/>
        <v>4.6986627662957066</v>
      </c>
      <c r="Q162" s="43">
        <v>147.36000000000001</v>
      </c>
      <c r="R162" s="43">
        <f t="shared" si="97"/>
        <v>1.8509883624801273</v>
      </c>
      <c r="S162" s="43">
        <f t="shared" si="98"/>
        <v>225.9155027027027</v>
      </c>
      <c r="T162" s="43">
        <f t="shared" si="99"/>
        <v>451.83100540540539</v>
      </c>
      <c r="U162" s="43">
        <f t="shared" si="100"/>
        <v>1.1409873873873871E-3</v>
      </c>
      <c r="V162" s="43">
        <f t="shared" si="101"/>
        <v>7.1719207207207198E-5</v>
      </c>
      <c r="W162" s="43">
        <f t="shared" si="102"/>
        <v>8.149909909909909E-4</v>
      </c>
      <c r="X162" s="43">
        <f t="shared" si="103"/>
        <v>8.1499099099099088E-13</v>
      </c>
      <c r="Y162" s="205">
        <f t="shared" si="104"/>
        <v>482.20551694826241</v>
      </c>
    </row>
    <row r="163" spans="1:25">
      <c r="A163" t="s">
        <v>839</v>
      </c>
      <c r="D163">
        <v>3081</v>
      </c>
      <c r="E163">
        <v>1.2</v>
      </c>
      <c r="H163" s="1">
        <f t="shared" si="75"/>
        <v>0</v>
      </c>
      <c r="I163" s="43">
        <f t="shared" si="89"/>
        <v>1.9992371560772198E-3</v>
      </c>
      <c r="J163" s="1">
        <f t="shared" si="90"/>
        <v>0</v>
      </c>
      <c r="K163" s="1">
        <f t="shared" si="91"/>
        <v>0</v>
      </c>
      <c r="L163" s="43">
        <f t="shared" si="92"/>
        <v>7.3696568339768325E-3</v>
      </c>
      <c r="M163" s="43">
        <f t="shared" si="93"/>
        <v>3.5927077065637061E-3</v>
      </c>
      <c r="N163" s="43">
        <f t="shared" si="94"/>
        <v>4.9131045559845557E-5</v>
      </c>
      <c r="O163" s="43">
        <f t="shared" si="95"/>
        <v>1.0903898856840032E-2</v>
      </c>
      <c r="P163" s="43">
        <f t="shared" si="96"/>
        <v>4.0235074994322044</v>
      </c>
      <c r="Q163" s="43">
        <v>148.36000000000001</v>
      </c>
      <c r="R163" s="43">
        <f t="shared" si="97"/>
        <v>1.5850181058369295</v>
      </c>
      <c r="S163" s="43">
        <f t="shared" si="98"/>
        <v>193.45349189189187</v>
      </c>
      <c r="T163" s="43">
        <f t="shared" si="99"/>
        <v>386.90698378378374</v>
      </c>
      <c r="U163" s="43">
        <f t="shared" si="100"/>
        <v>9.7703783783783778E-4</v>
      </c>
      <c r="V163" s="43">
        <f t="shared" si="101"/>
        <v>6.1413806949806946E-5</v>
      </c>
      <c r="W163" s="43">
        <f t="shared" si="102"/>
        <v>6.9788416988416984E-4</v>
      </c>
      <c r="X163" s="43">
        <f t="shared" si="103"/>
        <v>6.9788416988416977E-13</v>
      </c>
      <c r="Y163" s="205">
        <f t="shared" si="104"/>
        <v>413.80426979629033</v>
      </c>
    </row>
    <row r="164" spans="1:25">
      <c r="A164" t="s">
        <v>840</v>
      </c>
      <c r="D164">
        <v>1118</v>
      </c>
      <c r="E164">
        <v>1.2</v>
      </c>
      <c r="H164" s="1">
        <f t="shared" si="75"/>
        <v>0</v>
      </c>
      <c r="I164" s="43">
        <f t="shared" si="89"/>
        <v>7.2546158406177599E-4</v>
      </c>
      <c r="J164" s="1">
        <f t="shared" si="90"/>
        <v>0</v>
      </c>
      <c r="K164" s="1">
        <f t="shared" si="91"/>
        <v>0</v>
      </c>
      <c r="L164" s="43">
        <f t="shared" si="92"/>
        <v>2.6742214671814668E-3</v>
      </c>
      <c r="M164" s="43">
        <f t="shared" si="93"/>
        <v>1.3036829652509651E-3</v>
      </c>
      <c r="N164" s="43">
        <f t="shared" si="94"/>
        <v>1.7828143114543114E-5</v>
      </c>
      <c r="O164" s="43">
        <f t="shared" si="95"/>
        <v>1.0903898856840032E-2</v>
      </c>
      <c r="P164" s="43">
        <f t="shared" si="96"/>
        <v>1.4600069407222345</v>
      </c>
      <c r="Q164" s="43">
        <v>149.36000000000001</v>
      </c>
      <c r="R164" s="43">
        <f t="shared" si="97"/>
        <v>0.57515424937542592</v>
      </c>
      <c r="S164" s="43">
        <f t="shared" si="98"/>
        <v>70.198313513513511</v>
      </c>
      <c r="T164" s="43">
        <f t="shared" si="99"/>
        <v>140.39662702702702</v>
      </c>
      <c r="U164" s="43">
        <f t="shared" si="100"/>
        <v>3.5453693693693686E-4</v>
      </c>
      <c r="V164" s="43">
        <f t="shared" si="101"/>
        <v>2.228517889317889E-5</v>
      </c>
      <c r="W164" s="43">
        <f t="shared" si="102"/>
        <v>2.5324066924066918E-4</v>
      </c>
      <c r="X164" s="43">
        <f t="shared" si="103"/>
        <v>2.5324066924066923E-13</v>
      </c>
      <c r="Y164" s="205">
        <f t="shared" si="104"/>
        <v>153.97934105485652</v>
      </c>
    </row>
    <row r="165" spans="1:25">
      <c r="A165" t="s">
        <v>841</v>
      </c>
      <c r="D165">
        <v>262</v>
      </c>
      <c r="E165">
        <v>1.2</v>
      </c>
      <c r="H165" s="1">
        <f t="shared" si="75"/>
        <v>0</v>
      </c>
      <c r="I165" s="43">
        <f t="shared" si="89"/>
        <v>1.7000978088030887E-4</v>
      </c>
      <c r="J165" s="1">
        <f t="shared" si="90"/>
        <v>0</v>
      </c>
      <c r="K165" s="1">
        <f t="shared" si="91"/>
        <v>0</v>
      </c>
      <c r="L165" s="43">
        <f t="shared" si="92"/>
        <v>6.2669590733590728E-4</v>
      </c>
      <c r="M165" s="43">
        <f t="shared" si="93"/>
        <v>3.0551425482625477E-4</v>
      </c>
      <c r="N165" s="43">
        <f t="shared" si="94"/>
        <v>4.1779727155727153E-6</v>
      </c>
      <c r="O165" s="43">
        <f t="shared" si="95"/>
        <v>1.0903898856840032E-2</v>
      </c>
      <c r="P165" s="43">
        <f t="shared" si="96"/>
        <v>0.3421483170565523</v>
      </c>
      <c r="Q165" s="43">
        <v>150.36000000000001</v>
      </c>
      <c r="R165" s="43">
        <f t="shared" si="97"/>
        <v>0.13478570065864184</v>
      </c>
      <c r="S165" s="43">
        <f t="shared" si="98"/>
        <v>16.450767567567567</v>
      </c>
      <c r="T165" s="43">
        <f t="shared" si="99"/>
        <v>32.901535135135134</v>
      </c>
      <c r="U165" s="43">
        <f t="shared" si="100"/>
        <v>8.3084684684684674E-5</v>
      </c>
      <c r="V165" s="43">
        <f t="shared" si="101"/>
        <v>5.2224658944658941E-6</v>
      </c>
      <c r="W165" s="43">
        <f t="shared" si="102"/>
        <v>5.9346203346203337E-5</v>
      </c>
      <c r="X165" s="43">
        <f t="shared" si="103"/>
        <v>5.9346203346203337E-14</v>
      </c>
      <c r="Y165" s="205">
        <f t="shared" si="104"/>
        <v>40.700757762616384</v>
      </c>
    </row>
    <row r="166" spans="1:25">
      <c r="A166" t="s">
        <v>842</v>
      </c>
      <c r="D166">
        <v>641</v>
      </c>
      <c r="E166">
        <v>1.2</v>
      </c>
      <c r="H166" s="1">
        <f t="shared" si="75"/>
        <v>0</v>
      </c>
      <c r="I166" s="43">
        <f t="shared" si="89"/>
        <v>4.1593996009266405E-4</v>
      </c>
      <c r="J166" s="1">
        <f t="shared" si="90"/>
        <v>0</v>
      </c>
      <c r="K166" s="1">
        <f t="shared" si="91"/>
        <v>0</v>
      </c>
      <c r="L166" s="43">
        <f t="shared" si="92"/>
        <v>1.5332522007722004E-3</v>
      </c>
      <c r="M166" s="43">
        <f t="shared" si="93"/>
        <v>7.4746044787644776E-4</v>
      </c>
      <c r="N166" s="43">
        <f t="shared" si="94"/>
        <v>1.0221681338481337E-5</v>
      </c>
      <c r="O166" s="43">
        <f t="shared" si="95"/>
        <v>1.0903898856840032E-2</v>
      </c>
      <c r="P166" s="43">
        <f t="shared" si="96"/>
        <v>0.83708805814217568</v>
      </c>
      <c r="Q166" s="43">
        <v>151.36000000000001</v>
      </c>
      <c r="R166" s="43">
        <f t="shared" si="97"/>
        <v>0.32976196229843291</v>
      </c>
      <c r="S166" s="43">
        <f t="shared" si="98"/>
        <v>40.247870270270269</v>
      </c>
      <c r="T166" s="43">
        <f t="shared" si="99"/>
        <v>80.495740540540538</v>
      </c>
      <c r="U166" s="43">
        <f t="shared" si="100"/>
        <v>2.0327207207207205E-4</v>
      </c>
      <c r="V166" s="43">
        <f t="shared" si="101"/>
        <v>1.2777101673101672E-5</v>
      </c>
      <c r="W166" s="43">
        <f t="shared" si="102"/>
        <v>1.4519433719433717E-4</v>
      </c>
      <c r="X166" s="43">
        <f t="shared" si="103"/>
        <v>1.4519433719433719E-13</v>
      </c>
      <c r="Y166" s="205">
        <f t="shared" si="104"/>
        <v>90.913354804390934</v>
      </c>
    </row>
    <row r="167" spans="1:25">
      <c r="A167" t="s">
        <v>843</v>
      </c>
      <c r="D167">
        <v>1028</v>
      </c>
      <c r="E167">
        <v>1.2</v>
      </c>
      <c r="H167" s="1">
        <f t="shared" si="75"/>
        <v>0</v>
      </c>
      <c r="I167" s="43">
        <f t="shared" si="89"/>
        <v>6.6706127765250953E-4</v>
      </c>
      <c r="J167" s="1">
        <f t="shared" si="90"/>
        <v>0</v>
      </c>
      <c r="K167" s="1">
        <f t="shared" si="91"/>
        <v>0</v>
      </c>
      <c r="L167" s="43">
        <f t="shared" si="92"/>
        <v>2.4589442471042466E-3</v>
      </c>
      <c r="M167" s="43">
        <f t="shared" si="93"/>
        <v>1.1987353204633202E-3</v>
      </c>
      <c r="N167" s="43">
        <f t="shared" si="94"/>
        <v>1.6392961647361647E-5</v>
      </c>
      <c r="O167" s="43">
        <f t="shared" si="95"/>
        <v>1.0903898856840032E-2</v>
      </c>
      <c r="P167" s="43">
        <f t="shared" si="96"/>
        <v>1.3424750760844877</v>
      </c>
      <c r="Q167" s="43">
        <v>152.36000000000001</v>
      </c>
      <c r="R167" s="43">
        <f t="shared" si="97"/>
        <v>0.5288538178514649</v>
      </c>
      <c r="S167" s="43">
        <f t="shared" si="98"/>
        <v>64.547286486486485</v>
      </c>
      <c r="T167" s="43">
        <f t="shared" si="99"/>
        <v>129.09457297297297</v>
      </c>
      <c r="U167" s="43">
        <f t="shared" si="100"/>
        <v>3.2599639639639634E-4</v>
      </c>
      <c r="V167" s="43">
        <f t="shared" si="101"/>
        <v>2.0491202059202057E-5</v>
      </c>
      <c r="W167" s="43">
        <f t="shared" si="102"/>
        <v>2.3285456885456881E-4</v>
      </c>
      <c r="X167" s="43">
        <f t="shared" si="103"/>
        <v>2.3285456885456885E-13</v>
      </c>
      <c r="Y167" s="205">
        <f t="shared" si="104"/>
        <v>142.18500402646677</v>
      </c>
    </row>
    <row r="168" spans="1:25">
      <c r="A168" t="s">
        <v>844</v>
      </c>
      <c r="D168">
        <v>1072</v>
      </c>
      <c r="E168">
        <v>1.2</v>
      </c>
      <c r="H168" s="1">
        <f t="shared" si="75"/>
        <v>0</v>
      </c>
      <c r="I168" s="43">
        <f t="shared" si="89"/>
        <v>6.9561253856370651E-4</v>
      </c>
      <c r="J168" s="1">
        <f t="shared" si="90"/>
        <v>0</v>
      </c>
      <c r="K168" s="1">
        <f t="shared" si="91"/>
        <v>0</v>
      </c>
      <c r="L168" s="43">
        <f t="shared" si="92"/>
        <v>2.5641908880308876E-3</v>
      </c>
      <c r="M168" s="43">
        <f t="shared" si="93"/>
        <v>1.2500430579150577E-3</v>
      </c>
      <c r="N168" s="43">
        <f t="shared" si="94"/>
        <v>1.7094605920205919E-5</v>
      </c>
      <c r="O168" s="43">
        <f t="shared" si="95"/>
        <v>1.0903898856840032E-2</v>
      </c>
      <c r="P168" s="43">
        <f t="shared" si="96"/>
        <v>1.3999350987962751</v>
      </c>
      <c r="Q168" s="43">
        <v>153.36000000000001</v>
      </c>
      <c r="R168" s="43">
        <f t="shared" si="97"/>
        <v>0.5514895843742903</v>
      </c>
      <c r="S168" s="43">
        <f t="shared" si="98"/>
        <v>67.310010810810809</v>
      </c>
      <c r="T168" s="43">
        <f t="shared" si="99"/>
        <v>134.62002162162162</v>
      </c>
      <c r="U168" s="43">
        <f t="shared" si="100"/>
        <v>3.3994954954954951E-4</v>
      </c>
      <c r="V168" s="43">
        <f t="shared" si="101"/>
        <v>2.1368257400257399E-5</v>
      </c>
      <c r="W168" s="43">
        <f t="shared" si="102"/>
        <v>2.4282110682110678E-4</v>
      </c>
      <c r="X168" s="43">
        <f t="shared" si="103"/>
        <v>2.4282110682110677E-13</v>
      </c>
      <c r="Y168" s="205">
        <f t="shared" si="104"/>
        <v>148.04979101812401</v>
      </c>
    </row>
    <row r="169" spans="1:25">
      <c r="A169" t="s">
        <v>845</v>
      </c>
      <c r="D169">
        <v>440</v>
      </c>
      <c r="E169">
        <v>1.2</v>
      </c>
      <c r="H169" s="1">
        <f t="shared" si="75"/>
        <v>0</v>
      </c>
      <c r="I169" s="43">
        <f t="shared" si="89"/>
        <v>2.8551260911196906E-4</v>
      </c>
      <c r="J169" s="1">
        <f t="shared" si="90"/>
        <v>0</v>
      </c>
      <c r="K169" s="1">
        <f t="shared" si="91"/>
        <v>0</v>
      </c>
      <c r="L169" s="43">
        <f t="shared" si="92"/>
        <v>1.0524664092664091E-3</v>
      </c>
      <c r="M169" s="43">
        <f t="shared" si="93"/>
        <v>5.1307737451737438E-4</v>
      </c>
      <c r="N169" s="43">
        <f t="shared" si="94"/>
        <v>7.0164427284427283E-6</v>
      </c>
      <c r="O169" s="43">
        <f t="shared" si="95"/>
        <v>1.0903898856840032E-2</v>
      </c>
      <c r="P169" s="43">
        <f t="shared" si="96"/>
        <v>0.57460022711787406</v>
      </c>
      <c r="Q169" s="43">
        <v>154.36000000000001</v>
      </c>
      <c r="R169" s="43">
        <f t="shared" si="97"/>
        <v>0.22635766522825349</v>
      </c>
      <c r="S169" s="43">
        <f t="shared" si="98"/>
        <v>27.627243243243242</v>
      </c>
      <c r="T169" s="43">
        <f t="shared" si="99"/>
        <v>55.254486486486485</v>
      </c>
      <c r="U169" s="43">
        <f t="shared" si="100"/>
        <v>1.3953153153153152E-4</v>
      </c>
      <c r="V169" s="43">
        <f t="shared" si="101"/>
        <v>8.7705534105534104E-6</v>
      </c>
      <c r="W169" s="43">
        <f t="shared" si="102"/>
        <v>9.9665379665379649E-5</v>
      </c>
      <c r="X169" s="43">
        <f t="shared" si="103"/>
        <v>9.9665379665379648E-14</v>
      </c>
      <c r="Y169" s="205">
        <f t="shared" si="104"/>
        <v>64.424668774320523</v>
      </c>
    </row>
    <row r="170" spans="1:25">
      <c r="A170" t="s">
        <v>846</v>
      </c>
      <c r="D170">
        <v>468</v>
      </c>
      <c r="E170">
        <v>1.2</v>
      </c>
      <c r="H170" s="1">
        <f t="shared" si="75"/>
        <v>0</v>
      </c>
      <c r="I170" s="43">
        <f t="shared" si="89"/>
        <v>3.0368159332818528E-4</v>
      </c>
      <c r="J170" s="1">
        <f t="shared" si="90"/>
        <v>0</v>
      </c>
      <c r="K170" s="1">
        <f t="shared" si="91"/>
        <v>0</v>
      </c>
      <c r="L170" s="43">
        <f t="shared" si="92"/>
        <v>1.1194415444015441E-3</v>
      </c>
      <c r="M170" s="43">
        <f t="shared" si="93"/>
        <v>5.4572775289575277E-4</v>
      </c>
      <c r="N170" s="43">
        <f t="shared" si="94"/>
        <v>7.4629436293436285E-6</v>
      </c>
      <c r="O170" s="43">
        <f t="shared" si="95"/>
        <v>1.0903898856840032E-2</v>
      </c>
      <c r="P170" s="43">
        <f t="shared" si="96"/>
        <v>0.61116569611628424</v>
      </c>
      <c r="Q170" s="43">
        <v>155.36000000000001</v>
      </c>
      <c r="R170" s="43">
        <f t="shared" si="97"/>
        <v>0.24076224392459689</v>
      </c>
      <c r="S170" s="43">
        <f t="shared" si="98"/>
        <v>29.38534054054054</v>
      </c>
      <c r="T170" s="43">
        <f t="shared" si="99"/>
        <v>58.770681081081079</v>
      </c>
      <c r="U170" s="43">
        <f t="shared" si="100"/>
        <v>1.484108108108108E-4</v>
      </c>
      <c r="V170" s="43">
        <f t="shared" si="101"/>
        <v>9.3286795366795369E-6</v>
      </c>
      <c r="W170" s="43">
        <f t="shared" si="102"/>
        <v>1.0600772200772199E-4</v>
      </c>
      <c r="X170" s="43">
        <f t="shared" si="103"/>
        <v>1.0600772200772199E-13</v>
      </c>
      <c r="Y170" s="205">
        <f t="shared" si="104"/>
        <v>68.171351405375134</v>
      </c>
    </row>
    <row r="171" spans="1:25">
      <c r="A171" t="s">
        <v>847</v>
      </c>
      <c r="D171">
        <v>20</v>
      </c>
      <c r="E171">
        <v>1.2</v>
      </c>
      <c r="H171" s="1">
        <f t="shared" si="75"/>
        <v>0</v>
      </c>
      <c r="I171" s="43">
        <f t="shared" si="89"/>
        <v>1.2977845868725867E-5</v>
      </c>
      <c r="J171" s="1">
        <f t="shared" si="90"/>
        <v>0</v>
      </c>
      <c r="K171" s="1">
        <f t="shared" si="91"/>
        <v>0</v>
      </c>
      <c r="L171" s="43">
        <f t="shared" si="92"/>
        <v>4.783938223938223E-5</v>
      </c>
      <c r="M171" s="43">
        <f t="shared" si="93"/>
        <v>2.3321698841698837E-5</v>
      </c>
      <c r="N171" s="43">
        <f t="shared" si="94"/>
        <v>3.1892921492921491E-7</v>
      </c>
      <c r="O171" s="43">
        <f t="shared" si="95"/>
        <v>1.0903898856840032E-2</v>
      </c>
      <c r="P171" s="43">
        <f t="shared" si="96"/>
        <v>2.611819214172155E-2</v>
      </c>
      <c r="Q171" s="43">
        <v>156.36000000000001</v>
      </c>
      <c r="R171" s="43">
        <f t="shared" si="97"/>
        <v>1.0288984783102431E-2</v>
      </c>
      <c r="S171" s="43">
        <f t="shared" si="98"/>
        <v>1.2557837837837837</v>
      </c>
      <c r="T171" s="43">
        <f t="shared" si="99"/>
        <v>2.5115675675675675</v>
      </c>
      <c r="U171" s="43">
        <f t="shared" si="100"/>
        <v>6.3423423423423418E-6</v>
      </c>
      <c r="V171" s="43">
        <f t="shared" si="101"/>
        <v>3.9866151866151865E-7</v>
      </c>
      <c r="W171" s="43">
        <f t="shared" si="102"/>
        <v>4.5302445302445297E-6</v>
      </c>
      <c r="X171" s="43">
        <f t="shared" si="103"/>
        <v>4.5302445302445295E-15</v>
      </c>
      <c r="Y171" s="205">
        <f t="shared" si="104"/>
        <v>8.9044293085017809</v>
      </c>
    </row>
    <row r="172" spans="1:25">
      <c r="A172" t="s">
        <v>848</v>
      </c>
      <c r="D172">
        <v>867</v>
      </c>
      <c r="E172">
        <v>1.2</v>
      </c>
      <c r="H172" s="1">
        <f t="shared" si="75"/>
        <v>0</v>
      </c>
      <c r="I172" s="43">
        <f t="shared" si="89"/>
        <v>5.6258961840926634E-4</v>
      </c>
      <c r="J172" s="1">
        <f t="shared" si="90"/>
        <v>0</v>
      </c>
      <c r="K172" s="1">
        <f t="shared" si="91"/>
        <v>0</v>
      </c>
      <c r="L172" s="43">
        <f t="shared" si="92"/>
        <v>2.0738372200772197E-3</v>
      </c>
      <c r="M172" s="43">
        <f t="shared" si="93"/>
        <v>1.0109956447876447E-3</v>
      </c>
      <c r="N172" s="43">
        <f t="shared" si="94"/>
        <v>1.3825581467181466E-5</v>
      </c>
      <c r="O172" s="43">
        <f t="shared" si="95"/>
        <v>1.0903898856840032E-2</v>
      </c>
      <c r="P172" s="43">
        <f t="shared" si="96"/>
        <v>1.1322236293436292</v>
      </c>
      <c r="Q172" s="43">
        <v>157.36000000000001</v>
      </c>
      <c r="R172" s="43">
        <f t="shared" si="97"/>
        <v>0.4460274903474904</v>
      </c>
      <c r="S172" s="43">
        <f t="shared" si="98"/>
        <v>54.438227027027025</v>
      </c>
      <c r="T172" s="43">
        <f t="shared" si="99"/>
        <v>108.87645405405405</v>
      </c>
      <c r="U172" s="43">
        <f t="shared" si="100"/>
        <v>2.7494054054054049E-4</v>
      </c>
      <c r="V172" s="43">
        <f t="shared" si="101"/>
        <v>1.7281976833976831E-5</v>
      </c>
      <c r="W172" s="43">
        <f t="shared" si="102"/>
        <v>1.9638610038610037E-4</v>
      </c>
      <c r="X172" s="43">
        <f t="shared" si="103"/>
        <v>1.9638610038610036E-13</v>
      </c>
      <c r="Y172" s="205">
        <f t="shared" si="104"/>
        <v>121.07157889790294</v>
      </c>
    </row>
    <row r="173" spans="1:25">
      <c r="A173" t="s">
        <v>849</v>
      </c>
      <c r="D173">
        <v>540</v>
      </c>
      <c r="E173">
        <v>1.2</v>
      </c>
      <c r="H173" s="1">
        <f t="shared" si="75"/>
        <v>0</v>
      </c>
      <c r="I173" s="43">
        <f t="shared" si="89"/>
        <v>3.5040183845559843E-4</v>
      </c>
      <c r="J173" s="1">
        <f t="shared" si="90"/>
        <v>0</v>
      </c>
      <c r="K173" s="1">
        <f t="shared" si="91"/>
        <v>0</v>
      </c>
      <c r="L173" s="43">
        <f t="shared" si="92"/>
        <v>1.2916633204633203E-3</v>
      </c>
      <c r="M173" s="43">
        <f t="shared" si="93"/>
        <v>6.2968586872586864E-4</v>
      </c>
      <c r="N173" s="43">
        <f t="shared" si="94"/>
        <v>8.6110888030888018E-6</v>
      </c>
      <c r="O173" s="43">
        <f t="shared" si="95"/>
        <v>1.0903898856840032E-2</v>
      </c>
      <c r="P173" s="43">
        <f t="shared" si="96"/>
        <v>0.70519118782648182</v>
      </c>
      <c r="Q173" s="43">
        <v>158.36000000000001</v>
      </c>
      <c r="R173" s="43">
        <f t="shared" si="97"/>
        <v>0.27780258914376565</v>
      </c>
      <c r="S173" s="43">
        <f t="shared" si="98"/>
        <v>33.906162162162161</v>
      </c>
      <c r="T173" s="43">
        <f t="shared" si="99"/>
        <v>67.812324324324322</v>
      </c>
      <c r="U173" s="43">
        <f t="shared" si="100"/>
        <v>1.7124324324324322E-4</v>
      </c>
      <c r="V173" s="43">
        <f t="shared" si="101"/>
        <v>1.0763861003861004E-5</v>
      </c>
      <c r="W173" s="43">
        <f t="shared" si="102"/>
        <v>1.223166023166023E-4</v>
      </c>
      <c r="X173" s="43">
        <f t="shared" si="103"/>
        <v>1.2231660231660229E-13</v>
      </c>
      <c r="Y173" s="205">
        <f t="shared" si="104"/>
        <v>77.822821028086878</v>
      </c>
    </row>
    <row r="174" spans="1:25">
      <c r="A174" t="s">
        <v>850</v>
      </c>
      <c r="D174">
        <v>500</v>
      </c>
      <c r="E174">
        <v>1.2</v>
      </c>
      <c r="H174" s="1">
        <f t="shared" si="75"/>
        <v>0</v>
      </c>
      <c r="I174" s="43">
        <f t="shared" si="89"/>
        <v>3.2444614671814668E-4</v>
      </c>
      <c r="J174" s="1">
        <f t="shared" si="90"/>
        <v>0</v>
      </c>
      <c r="K174" s="1">
        <f t="shared" si="91"/>
        <v>0</v>
      </c>
      <c r="L174" s="43">
        <f t="shared" si="92"/>
        <v>1.1959845559845557E-3</v>
      </c>
      <c r="M174" s="43">
        <f t="shared" si="93"/>
        <v>5.8304247104247096E-4</v>
      </c>
      <c r="N174" s="43">
        <f t="shared" si="94"/>
        <v>7.9732303732303728E-6</v>
      </c>
      <c r="O174" s="43">
        <f t="shared" si="95"/>
        <v>1.0903898856840032E-2</v>
      </c>
      <c r="P174" s="43">
        <f t="shared" si="96"/>
        <v>0.6529548035430387</v>
      </c>
      <c r="Q174" s="43">
        <v>159.36000000000001</v>
      </c>
      <c r="R174" s="43">
        <f t="shared" si="97"/>
        <v>0.25722461957756076</v>
      </c>
      <c r="S174" s="43">
        <f t="shared" si="98"/>
        <v>31.394594594594594</v>
      </c>
      <c r="T174" s="43">
        <f t="shared" si="99"/>
        <v>62.789189189189187</v>
      </c>
      <c r="U174" s="43">
        <f t="shared" si="100"/>
        <v>1.5855855855855853E-4</v>
      </c>
      <c r="V174" s="43">
        <f t="shared" si="101"/>
        <v>9.9665379665379659E-6</v>
      </c>
      <c r="W174" s="43">
        <f t="shared" si="102"/>
        <v>1.1325611325611324E-4</v>
      </c>
      <c r="X174" s="43">
        <f t="shared" si="103"/>
        <v>1.1325611325611325E-13</v>
      </c>
      <c r="Y174" s="205">
        <f t="shared" si="104"/>
        <v>72.567560126580346</v>
      </c>
    </row>
    <row r="175" spans="1:25">
      <c r="A175" t="s">
        <v>851</v>
      </c>
      <c r="D175">
        <v>17</v>
      </c>
      <c r="E175">
        <v>1.2</v>
      </c>
      <c r="H175" s="1">
        <f t="shared" si="75"/>
        <v>0</v>
      </c>
      <c r="I175" s="43">
        <f t="shared" si="89"/>
        <v>1.1031168988416988E-5</v>
      </c>
      <c r="J175" s="1">
        <f t="shared" si="90"/>
        <v>0</v>
      </c>
      <c r="K175" s="1">
        <f t="shared" si="91"/>
        <v>0</v>
      </c>
      <c r="L175" s="43">
        <f t="shared" si="92"/>
        <v>4.0663474903474896E-5</v>
      </c>
      <c r="M175" s="43">
        <f t="shared" si="93"/>
        <v>1.9823444015444014E-5</v>
      </c>
      <c r="N175" s="43">
        <f t="shared" si="94"/>
        <v>2.7108983268983269E-7</v>
      </c>
      <c r="O175" s="43">
        <f t="shared" si="95"/>
        <v>1.0903898856840032E-2</v>
      </c>
      <c r="P175" s="43">
        <f t="shared" si="96"/>
        <v>2.2200463320463316E-2</v>
      </c>
      <c r="Q175" s="43">
        <v>160.36000000000001</v>
      </c>
      <c r="R175" s="43">
        <f t="shared" si="97"/>
        <v>8.7456370656370658E-3</v>
      </c>
      <c r="S175" s="43">
        <f t="shared" si="98"/>
        <v>1.0674162162162162</v>
      </c>
      <c r="T175" s="43">
        <f t="shared" si="99"/>
        <v>2.1348324324324324</v>
      </c>
      <c r="U175" s="43">
        <f t="shared" si="100"/>
        <v>5.3909909909909899E-6</v>
      </c>
      <c r="V175" s="43">
        <f t="shared" si="101"/>
        <v>3.3886229086229082E-7</v>
      </c>
      <c r="W175" s="43">
        <f t="shared" si="102"/>
        <v>3.8507078507078499E-6</v>
      </c>
      <c r="X175" s="43">
        <f t="shared" si="103"/>
        <v>3.8507078507078506E-15</v>
      </c>
      <c r="Y175" s="205">
        <f t="shared" si="104"/>
        <v>8.667284740888789</v>
      </c>
    </row>
    <row r="176" spans="1:25">
      <c r="A176" t="s">
        <v>852</v>
      </c>
      <c r="D176">
        <v>1</v>
      </c>
      <c r="E176">
        <v>1.2</v>
      </c>
      <c r="H176" s="1">
        <f t="shared" si="75"/>
        <v>0</v>
      </c>
      <c r="I176" s="43">
        <f t="shared" si="89"/>
        <v>6.4889229343629337E-7</v>
      </c>
      <c r="J176" s="1">
        <f t="shared" si="90"/>
        <v>0</v>
      </c>
      <c r="K176" s="1">
        <f t="shared" si="91"/>
        <v>0</v>
      </c>
      <c r="L176" s="43">
        <f t="shared" si="92"/>
        <v>2.3919691119691116E-6</v>
      </c>
      <c r="M176" s="43">
        <f t="shared" si="93"/>
        <v>1.1660849420849419E-6</v>
      </c>
      <c r="N176" s="43">
        <f t="shared" si="94"/>
        <v>1.5946460746460745E-8</v>
      </c>
      <c r="O176" s="43">
        <f t="shared" si="95"/>
        <v>1.0903898856840032E-2</v>
      </c>
      <c r="P176" s="43">
        <f t="shared" si="96"/>
        <v>1.3059096070860774E-3</v>
      </c>
      <c r="Q176" s="43">
        <v>161.36000000000001</v>
      </c>
      <c r="R176" s="43">
        <f t="shared" si="97"/>
        <v>5.1444923915512154E-4</v>
      </c>
      <c r="S176" s="43">
        <f t="shared" si="98"/>
        <v>6.2789189189189187E-2</v>
      </c>
      <c r="T176" s="43">
        <f t="shared" si="99"/>
        <v>0.12557837837837837</v>
      </c>
      <c r="U176" s="43">
        <f t="shared" si="100"/>
        <v>3.1711711711711707E-7</v>
      </c>
      <c r="V176" s="43">
        <f t="shared" si="101"/>
        <v>1.9933075933075932E-8</v>
      </c>
      <c r="W176" s="43">
        <f t="shared" si="102"/>
        <v>2.2651222651222648E-7</v>
      </c>
      <c r="X176" s="43">
        <f t="shared" si="103"/>
        <v>2.2651222651222649E-16</v>
      </c>
      <c r="Y176" s="205">
        <f t="shared" si="104"/>
        <v>6.5891803802861695</v>
      </c>
    </row>
    <row r="177" spans="1:25">
      <c r="A177" t="s">
        <v>853</v>
      </c>
      <c r="D177">
        <v>71</v>
      </c>
      <c r="E177">
        <v>1.2</v>
      </c>
      <c r="H177" s="1">
        <f t="shared" si="75"/>
        <v>0</v>
      </c>
      <c r="I177" s="43">
        <f t="shared" si="89"/>
        <v>4.6071352833976832E-5</v>
      </c>
      <c r="J177" s="1">
        <f t="shared" si="90"/>
        <v>0</v>
      </c>
      <c r="K177" s="1">
        <f t="shared" si="91"/>
        <v>0</v>
      </c>
      <c r="L177" s="43">
        <f t="shared" si="92"/>
        <v>1.6982980694980692E-4</v>
      </c>
      <c r="M177" s="43">
        <f t="shared" si="93"/>
        <v>8.2792030888030878E-5</v>
      </c>
      <c r="N177" s="43">
        <f t="shared" si="94"/>
        <v>1.132198712998713E-6</v>
      </c>
      <c r="O177" s="43">
        <f t="shared" si="95"/>
        <v>1.0903898856840032E-2</v>
      </c>
      <c r="P177" s="43">
        <f t="shared" si="96"/>
        <v>9.27195821031115E-2</v>
      </c>
      <c r="Q177" s="43">
        <v>162.36000000000001</v>
      </c>
      <c r="R177" s="43">
        <f t="shared" si="97"/>
        <v>3.6525895980013628E-2</v>
      </c>
      <c r="S177" s="43">
        <f t="shared" si="98"/>
        <v>4.4580324324324323</v>
      </c>
      <c r="T177" s="43">
        <f t="shared" si="99"/>
        <v>8.9160648648648646</v>
      </c>
      <c r="U177" s="43">
        <f t="shared" si="100"/>
        <v>2.2515315315315311E-5</v>
      </c>
      <c r="V177" s="43">
        <f t="shared" si="101"/>
        <v>1.4152483912483913E-6</v>
      </c>
      <c r="W177" s="43">
        <f t="shared" si="102"/>
        <v>1.6082368082368079E-5</v>
      </c>
      <c r="X177" s="43">
        <f t="shared" si="103"/>
        <v>1.6082368082368081E-14</v>
      </c>
      <c r="Y177" s="205">
        <f t="shared" si="104"/>
        <v>15.895886957922629</v>
      </c>
    </row>
    <row r="178" spans="1:25">
      <c r="A178" t="s">
        <v>854</v>
      </c>
      <c r="D178">
        <v>758</v>
      </c>
      <c r="E178">
        <v>1.2</v>
      </c>
      <c r="H178" s="1">
        <f t="shared" si="75"/>
        <v>0</v>
      </c>
      <c r="I178" s="43">
        <f t="shared" si="89"/>
        <v>4.9186035842471037E-4</v>
      </c>
      <c r="J178" s="1">
        <f t="shared" si="90"/>
        <v>0</v>
      </c>
      <c r="K178" s="1">
        <f t="shared" si="91"/>
        <v>0</v>
      </c>
      <c r="L178" s="43">
        <f t="shared" si="92"/>
        <v>1.8131125868725865E-3</v>
      </c>
      <c r="M178" s="43">
        <f t="shared" si="93"/>
        <v>8.8389238610038598E-4</v>
      </c>
      <c r="N178" s="43">
        <f t="shared" si="94"/>
        <v>1.2087417245817246E-5</v>
      </c>
      <c r="O178" s="43">
        <f t="shared" si="95"/>
        <v>1.0903898856840032E-2</v>
      </c>
      <c r="P178" s="43">
        <f t="shared" si="96"/>
        <v>0.98987948217124666</v>
      </c>
      <c r="Q178" s="43">
        <v>163.36000000000001</v>
      </c>
      <c r="R178" s="43">
        <f t="shared" si="97"/>
        <v>0.38995252327958213</v>
      </c>
      <c r="S178" s="43">
        <f t="shared" si="98"/>
        <v>47.594205405405404</v>
      </c>
      <c r="T178" s="43">
        <f t="shared" si="99"/>
        <v>95.188410810810808</v>
      </c>
      <c r="U178" s="43">
        <f t="shared" si="100"/>
        <v>2.4037477477477473E-4</v>
      </c>
      <c r="V178" s="43">
        <f t="shared" si="101"/>
        <v>1.5109271557271557E-5</v>
      </c>
      <c r="W178" s="43">
        <f t="shared" si="102"/>
        <v>1.7169626769626768E-4</v>
      </c>
      <c r="X178" s="43">
        <f t="shared" si="103"/>
        <v>1.7169626769626768E-13</v>
      </c>
      <c r="Y178" s="205">
        <f t="shared" si="104"/>
        <v>106.8819929412976</v>
      </c>
    </row>
    <row r="179" spans="1:25">
      <c r="A179" t="s">
        <v>855</v>
      </c>
      <c r="D179">
        <v>1</v>
      </c>
      <c r="E179">
        <v>1.2</v>
      </c>
      <c r="H179" s="1">
        <f t="shared" si="75"/>
        <v>0</v>
      </c>
      <c r="I179" s="43">
        <f t="shared" si="89"/>
        <v>6.4889229343629337E-7</v>
      </c>
      <c r="J179" s="1">
        <f t="shared" si="90"/>
        <v>0</v>
      </c>
      <c r="K179" s="1">
        <f t="shared" si="91"/>
        <v>0</v>
      </c>
      <c r="L179" s="43">
        <f t="shared" si="92"/>
        <v>2.3919691119691116E-6</v>
      </c>
      <c r="M179" s="43">
        <f t="shared" si="93"/>
        <v>1.1660849420849419E-6</v>
      </c>
      <c r="N179" s="43">
        <f t="shared" si="94"/>
        <v>1.5946460746460745E-8</v>
      </c>
      <c r="O179" s="43">
        <f t="shared" si="95"/>
        <v>1.0903898856840032E-2</v>
      </c>
      <c r="P179" s="43">
        <f t="shared" si="96"/>
        <v>1.3059096070860774E-3</v>
      </c>
      <c r="Q179" s="43">
        <v>164.36</v>
      </c>
      <c r="R179" s="43">
        <f t="shared" si="97"/>
        <v>5.1444923915512154E-4</v>
      </c>
      <c r="S179" s="43">
        <f t="shared" si="98"/>
        <v>6.2789189189189187E-2</v>
      </c>
      <c r="T179" s="43">
        <f t="shared" si="99"/>
        <v>0.12557837837837837</v>
      </c>
      <c r="U179" s="43">
        <f t="shared" si="100"/>
        <v>3.1711711711711707E-7</v>
      </c>
      <c r="V179" s="43">
        <f t="shared" si="101"/>
        <v>1.9933075933075932E-8</v>
      </c>
      <c r="W179" s="43">
        <f t="shared" si="102"/>
        <v>2.2651222651222648E-7</v>
      </c>
      <c r="X179" s="43">
        <f t="shared" si="103"/>
        <v>2.2651222651222649E-16</v>
      </c>
      <c r="Y179" s="205">
        <f t="shared" si="104"/>
        <v>6.7091803802861696</v>
      </c>
    </row>
    <row r="180" spans="1:25">
      <c r="A180" t="s">
        <v>856</v>
      </c>
      <c r="D180">
        <v>16</v>
      </c>
      <c r="E180">
        <v>1.2</v>
      </c>
      <c r="H180" s="1">
        <f t="shared" si="75"/>
        <v>0</v>
      </c>
      <c r="I180" s="43">
        <f t="shared" si="89"/>
        <v>1.0382276694980694E-5</v>
      </c>
      <c r="J180" s="1">
        <f t="shared" si="90"/>
        <v>0</v>
      </c>
      <c r="K180" s="1">
        <f t="shared" si="91"/>
        <v>0</v>
      </c>
      <c r="L180" s="43">
        <f t="shared" si="92"/>
        <v>3.8271505791505785E-5</v>
      </c>
      <c r="M180" s="43">
        <f t="shared" si="93"/>
        <v>1.865735907335907E-5</v>
      </c>
      <c r="N180" s="43">
        <f t="shared" si="94"/>
        <v>2.5514337194337193E-7</v>
      </c>
      <c r="O180" s="43">
        <f t="shared" si="95"/>
        <v>1.0903898856840032E-2</v>
      </c>
      <c r="P180" s="43">
        <f t="shared" si="96"/>
        <v>2.0894553713377239E-2</v>
      </c>
      <c r="Q180" s="43">
        <v>165.36</v>
      </c>
      <c r="R180" s="43">
        <f t="shared" si="97"/>
        <v>8.2311878264819446E-3</v>
      </c>
      <c r="S180" s="43">
        <f t="shared" si="98"/>
        <v>1.004627027027027</v>
      </c>
      <c r="T180" s="43">
        <f t="shared" si="99"/>
        <v>2.009254054054054</v>
      </c>
      <c r="U180" s="43">
        <f t="shared" si="100"/>
        <v>5.0738738738738731E-6</v>
      </c>
      <c r="V180" s="43">
        <f t="shared" si="101"/>
        <v>3.1892921492921491E-7</v>
      </c>
      <c r="W180" s="43">
        <f t="shared" si="102"/>
        <v>3.6241956241956237E-6</v>
      </c>
      <c r="X180" s="43">
        <f t="shared" si="103"/>
        <v>3.6241956241956238E-15</v>
      </c>
      <c r="Y180" s="205">
        <f t="shared" si="104"/>
        <v>8.734903218351123</v>
      </c>
    </row>
    <row r="181" spans="1:25">
      <c r="A181" t="s">
        <v>857</v>
      </c>
      <c r="D181">
        <v>3353</v>
      </c>
      <c r="E181">
        <v>1.2</v>
      </c>
      <c r="H181" s="1">
        <f t="shared" si="75"/>
        <v>0</v>
      </c>
      <c r="I181" s="43">
        <f t="shared" si="89"/>
        <v>2.1757358598918919E-3</v>
      </c>
      <c r="J181" s="1">
        <f t="shared" si="90"/>
        <v>0</v>
      </c>
      <c r="K181" s="1">
        <f t="shared" si="91"/>
        <v>0</v>
      </c>
      <c r="L181" s="43">
        <f t="shared" si="92"/>
        <v>8.0202724324324303E-3</v>
      </c>
      <c r="M181" s="43">
        <f t="shared" si="93"/>
        <v>3.9098828108108099E-3</v>
      </c>
      <c r="N181" s="43">
        <f t="shared" si="94"/>
        <v>5.346848288288288E-5</v>
      </c>
      <c r="O181" s="43">
        <f t="shared" si="95"/>
        <v>1.0903898856840032E-2</v>
      </c>
      <c r="P181" s="43">
        <f t="shared" si="96"/>
        <v>4.3787149125596176</v>
      </c>
      <c r="Q181" s="43">
        <v>166.36</v>
      </c>
      <c r="R181" s="43">
        <f t="shared" si="97"/>
        <v>1.7249482988871225</v>
      </c>
      <c r="S181" s="43">
        <f t="shared" si="98"/>
        <v>210.53215135135133</v>
      </c>
      <c r="T181" s="43">
        <f t="shared" si="99"/>
        <v>421.06430270270266</v>
      </c>
      <c r="U181" s="43">
        <f t="shared" si="100"/>
        <v>1.0632936936936935E-3</v>
      </c>
      <c r="V181" s="43">
        <f t="shared" si="101"/>
        <v>6.6835603603603602E-5</v>
      </c>
      <c r="W181" s="43">
        <f t="shared" si="102"/>
        <v>7.5949549549549544E-4</v>
      </c>
      <c r="X181" s="43">
        <f t="shared" si="103"/>
        <v>7.5949549549549545E-13</v>
      </c>
      <c r="Y181" s="205">
        <f t="shared" si="104"/>
        <v>450.53204392653487</v>
      </c>
    </row>
    <row r="182" spans="1:25">
      <c r="A182" t="s">
        <v>858</v>
      </c>
      <c r="D182">
        <v>509</v>
      </c>
      <c r="E182">
        <v>1.2</v>
      </c>
      <c r="H182" s="1">
        <f t="shared" si="75"/>
        <v>0</v>
      </c>
      <c r="I182" s="43">
        <f t="shared" si="89"/>
        <v>3.3028617735907334E-4</v>
      </c>
      <c r="J182" s="1">
        <f t="shared" si="90"/>
        <v>0</v>
      </c>
      <c r="K182" s="1">
        <f t="shared" si="91"/>
        <v>0</v>
      </c>
      <c r="L182" s="43">
        <f t="shared" si="92"/>
        <v>1.2175122779922779E-3</v>
      </c>
      <c r="M182" s="43">
        <f t="shared" si="93"/>
        <v>5.9353723552123543E-4</v>
      </c>
      <c r="N182" s="43">
        <f t="shared" si="94"/>
        <v>8.1167485199485194E-6</v>
      </c>
      <c r="O182" s="43">
        <f t="shared" si="95"/>
        <v>1.0903898856840032E-2</v>
      </c>
      <c r="P182" s="43">
        <f t="shared" si="96"/>
        <v>0.66470799000681347</v>
      </c>
      <c r="Q182" s="43">
        <v>167.36</v>
      </c>
      <c r="R182" s="43">
        <f t="shared" si="97"/>
        <v>0.26185466272995689</v>
      </c>
      <c r="S182" s="43">
        <f t="shared" si="98"/>
        <v>31.959697297297296</v>
      </c>
      <c r="T182" s="43">
        <f t="shared" si="99"/>
        <v>63.919394594594593</v>
      </c>
      <c r="U182" s="43">
        <f t="shared" si="100"/>
        <v>1.6141261261261259E-4</v>
      </c>
      <c r="V182" s="43">
        <f t="shared" si="101"/>
        <v>1.0145935649935649E-5</v>
      </c>
      <c r="W182" s="43">
        <f t="shared" si="102"/>
        <v>1.1529472329472328E-4</v>
      </c>
      <c r="X182" s="43">
        <f t="shared" si="103"/>
        <v>1.1529472329472328E-13</v>
      </c>
      <c r="Y182" s="205">
        <f t="shared" si="104"/>
        <v>74.078993829419318</v>
      </c>
    </row>
    <row r="183" spans="1:25">
      <c r="A183" t="s">
        <v>859</v>
      </c>
      <c r="D183">
        <v>587</v>
      </c>
      <c r="E183">
        <v>1.2</v>
      </c>
      <c r="H183" s="1">
        <f t="shared" si="75"/>
        <v>0</v>
      </c>
      <c r="I183" s="43">
        <f t="shared" si="89"/>
        <v>3.8089977624710422E-4</v>
      </c>
      <c r="J183" s="1">
        <f t="shared" si="90"/>
        <v>0</v>
      </c>
      <c r="K183" s="1">
        <f t="shared" si="91"/>
        <v>0</v>
      </c>
      <c r="L183" s="43">
        <f t="shared" si="92"/>
        <v>1.4040858687258686E-3</v>
      </c>
      <c r="M183" s="43">
        <f t="shared" si="93"/>
        <v>6.8449186100386094E-4</v>
      </c>
      <c r="N183" s="43">
        <f t="shared" si="94"/>
        <v>9.3605724581724572E-6</v>
      </c>
      <c r="O183" s="43">
        <f t="shared" si="95"/>
        <v>1.0903898856840032E-2</v>
      </c>
      <c r="P183" s="43">
        <f t="shared" si="96"/>
        <v>0.76656893935952741</v>
      </c>
      <c r="Q183" s="43">
        <v>168.36</v>
      </c>
      <c r="R183" s="43">
        <f t="shared" si="97"/>
        <v>0.30198170338405633</v>
      </c>
      <c r="S183" s="43">
        <f t="shared" si="98"/>
        <v>36.857254054054053</v>
      </c>
      <c r="T183" s="43">
        <f t="shared" si="99"/>
        <v>73.714508108108106</v>
      </c>
      <c r="U183" s="43">
        <f t="shared" si="100"/>
        <v>1.8614774774774773E-4</v>
      </c>
      <c r="V183" s="43">
        <f t="shared" si="101"/>
        <v>1.1700715572715572E-5</v>
      </c>
      <c r="W183" s="43">
        <f t="shared" si="102"/>
        <v>1.3296267696267695E-4</v>
      </c>
      <c r="X183" s="43">
        <f t="shared" si="103"/>
        <v>1.3296267696267695E-13</v>
      </c>
      <c r="Y183" s="205">
        <f t="shared" si="104"/>
        <v>84.444752587357101</v>
      </c>
    </row>
    <row r="184" spans="1:25">
      <c r="A184" t="s">
        <v>860</v>
      </c>
      <c r="D184">
        <v>492</v>
      </c>
      <c r="E184">
        <v>1.2</v>
      </c>
      <c r="H184" s="1">
        <f t="shared" si="75"/>
        <v>0</v>
      </c>
      <c r="I184" s="43">
        <f t="shared" si="89"/>
        <v>3.1925500837065633E-4</v>
      </c>
      <c r="J184" s="1">
        <f t="shared" si="90"/>
        <v>0</v>
      </c>
      <c r="K184" s="1">
        <f t="shared" si="91"/>
        <v>0</v>
      </c>
      <c r="L184" s="43">
        <f t="shared" si="92"/>
        <v>1.1768488030888028E-3</v>
      </c>
      <c r="M184" s="43">
        <f t="shared" si="93"/>
        <v>5.7371379150579146E-4</v>
      </c>
      <c r="N184" s="43">
        <f t="shared" si="94"/>
        <v>7.8456586872586863E-6</v>
      </c>
      <c r="O184" s="43">
        <f t="shared" si="95"/>
        <v>1.0903898856840032E-2</v>
      </c>
      <c r="P184" s="43">
        <f t="shared" si="96"/>
        <v>0.64250752668635014</v>
      </c>
      <c r="Q184" s="43">
        <v>169.36</v>
      </c>
      <c r="R184" s="43">
        <f t="shared" si="97"/>
        <v>0.25310902566431981</v>
      </c>
      <c r="S184" s="43">
        <f t="shared" si="98"/>
        <v>30.89228108108108</v>
      </c>
      <c r="T184" s="43">
        <f t="shared" si="99"/>
        <v>61.78456216216216</v>
      </c>
      <c r="U184" s="43">
        <f t="shared" si="100"/>
        <v>1.5602162162162161E-4</v>
      </c>
      <c r="V184" s="43">
        <f t="shared" si="101"/>
        <v>9.8070733590733591E-6</v>
      </c>
      <c r="W184" s="43">
        <f t="shared" si="102"/>
        <v>1.1144401544401542E-4</v>
      </c>
      <c r="X184" s="43">
        <f t="shared" si="103"/>
        <v>1.1144401544401543E-13</v>
      </c>
      <c r="Y184" s="205">
        <f t="shared" si="104"/>
        <v>71.90850794627903</v>
      </c>
    </row>
    <row r="185" spans="1:25">
      <c r="A185" s="45" t="s">
        <v>861</v>
      </c>
      <c r="D185">
        <v>69</v>
      </c>
      <c r="E185">
        <v>1.2</v>
      </c>
      <c r="H185" s="1">
        <f t="shared" si="75"/>
        <v>0</v>
      </c>
      <c r="I185" s="43">
        <f t="shared" si="89"/>
        <v>4.4773568247104244E-5</v>
      </c>
      <c r="J185" s="1">
        <f t="shared" si="90"/>
        <v>0</v>
      </c>
      <c r="K185" s="1">
        <f t="shared" si="91"/>
        <v>0</v>
      </c>
      <c r="L185" s="43">
        <f t="shared" si="92"/>
        <v>1.650458687258687E-4</v>
      </c>
      <c r="M185" s="43">
        <f t="shared" si="93"/>
        <v>8.0459861003860992E-5</v>
      </c>
      <c r="N185" s="43">
        <f t="shared" si="94"/>
        <v>1.1003057915057913E-6</v>
      </c>
      <c r="O185" s="43">
        <f t="shared" si="95"/>
        <v>1.0903898856840032E-2</v>
      </c>
      <c r="P185" s="43">
        <f t="shared" si="96"/>
        <v>9.0107762888939347E-2</v>
      </c>
      <c r="Q185" s="43">
        <v>170.36</v>
      </c>
      <c r="R185" s="43">
        <f t="shared" si="97"/>
        <v>3.5496997501703383E-2</v>
      </c>
      <c r="S185" s="43">
        <f t="shared" si="98"/>
        <v>4.3324540540540539</v>
      </c>
      <c r="T185" s="43">
        <f t="shared" si="99"/>
        <v>8.6649081081081079</v>
      </c>
      <c r="U185" s="43">
        <f t="shared" si="100"/>
        <v>2.1881081081081078E-5</v>
      </c>
      <c r="V185" s="43">
        <f t="shared" si="101"/>
        <v>1.3753822393822393E-6</v>
      </c>
      <c r="W185" s="43">
        <f t="shared" si="102"/>
        <v>1.5629343629343627E-5</v>
      </c>
      <c r="X185" s="43">
        <f t="shared" si="103"/>
        <v>1.5629343629343628E-14</v>
      </c>
      <c r="Y185" s="205">
        <f t="shared" si="104"/>
        <v>15.951123912847299</v>
      </c>
    </row>
    <row r="186" spans="1:25">
      <c r="A186" t="s">
        <v>862</v>
      </c>
      <c r="D186">
        <v>79</v>
      </c>
      <c r="E186">
        <v>1.2</v>
      </c>
      <c r="H186" s="1">
        <f t="shared" ref="H186:H249" si="105">F186*0.000179</f>
        <v>0</v>
      </c>
      <c r="I186" s="43">
        <f t="shared" si="89"/>
        <v>5.1262491181467174E-5</v>
      </c>
      <c r="J186" s="1">
        <f t="shared" si="90"/>
        <v>0</v>
      </c>
      <c r="K186" s="1">
        <f t="shared" si="91"/>
        <v>0</v>
      </c>
      <c r="L186" s="43">
        <f t="shared" ref="L186:L217" si="106">CO2_malnutrition_charfact*D186</f>
        <v>1.8896555984555981E-4</v>
      </c>
      <c r="M186" s="43">
        <f t="shared" ref="M186:M217" si="107">CO2_workingcapacity_charfact*D186</f>
        <v>9.2120710424710412E-5</v>
      </c>
      <c r="N186" s="43">
        <f t="shared" ref="N186:N217" si="108">CO2_diarrhea_charfact*D186</f>
        <v>1.2597703989703988E-6</v>
      </c>
      <c r="O186" s="43">
        <f t="shared" ref="O186:O217" si="109">CO2_crop_charfact</f>
        <v>1.0903898856840032E-2</v>
      </c>
      <c r="P186" s="43">
        <f t="shared" ref="P186:P217" si="110">CO2_fruitandveg_charfact*D186</f>
        <v>0.10316685895980011</v>
      </c>
      <c r="Q186" s="43">
        <v>171.36</v>
      </c>
      <c r="R186" s="43">
        <f t="shared" ref="R186:R217" si="111">CO2_meatandfish_charfact*D186</f>
        <v>4.0641489893254598E-2</v>
      </c>
      <c r="S186" s="43">
        <f t="shared" ref="S186:S217" si="112">CO2_drinkingwater_charfact*D186</f>
        <v>4.9603459459459458</v>
      </c>
      <c r="T186" s="43">
        <f t="shared" ref="T186:T217" si="113">CO2_irrigationwater_charfact*D186</f>
        <v>9.9206918918918916</v>
      </c>
      <c r="U186" s="43">
        <f t="shared" ref="U186:U217" si="114">CO2_energyaccess_charfact*D186</f>
        <v>2.5052252252252249E-5</v>
      </c>
      <c r="V186" s="43">
        <f t="shared" ref="V186:V217" si="115">CO2_housing_charfact*D186</f>
        <v>1.5747129987129985E-6</v>
      </c>
      <c r="W186" s="43">
        <f t="shared" ref="W186:W217" si="116">CO2_separations_charfact*D186</f>
        <v>1.7894465894465892E-5</v>
      </c>
      <c r="X186" s="43">
        <f t="shared" ref="X186:X217" si="117">CO2_NEX_charfact*D186</f>
        <v>1.7894465894465892E-14</v>
      </c>
      <c r="Y186" s="205">
        <f t="shared" ref="Y186:Y217" si="118">(H186+I186)*YOLLvalue+J186*skincancervalue+K186*Lowvisionvalue+L186*malnutrition+M186*working_capacity+N186*diarrhea+O186*cropvalue+P186*Fruitandveg_value+Q186*woodvalue+R186*fishandmeatvalue+S186*drinkingwatervalue+T186*irrigationwatervalue+U186*energy_access+V186*housingvalue+W186*migrationvalue+X186*speciesvalue</f>
        <v>17.314939138223934</v>
      </c>
    </row>
    <row r="187" spans="1:25">
      <c r="A187" t="s">
        <v>863</v>
      </c>
      <c r="D187">
        <v>54</v>
      </c>
      <c r="E187">
        <v>1.2</v>
      </c>
      <c r="H187" s="1">
        <f t="shared" si="105"/>
        <v>0</v>
      </c>
      <c r="I187" s="43">
        <f t="shared" si="89"/>
        <v>3.5040183845559839E-5</v>
      </c>
      <c r="J187" s="1">
        <f t="shared" si="90"/>
        <v>0</v>
      </c>
      <c r="K187" s="1">
        <f t="shared" si="91"/>
        <v>0</v>
      </c>
      <c r="L187" s="43">
        <f t="shared" si="106"/>
        <v>1.2916633204633203E-4</v>
      </c>
      <c r="M187" s="43">
        <f t="shared" si="107"/>
        <v>6.2968586872586861E-5</v>
      </c>
      <c r="N187" s="43">
        <f t="shared" si="108"/>
        <v>8.6110888030888023E-7</v>
      </c>
      <c r="O187" s="43">
        <f t="shared" si="109"/>
        <v>1.0903898856840032E-2</v>
      </c>
      <c r="P187" s="43">
        <f t="shared" si="110"/>
        <v>7.0519118782648188E-2</v>
      </c>
      <c r="Q187" s="43">
        <v>172.36</v>
      </c>
      <c r="R187" s="43">
        <f t="shared" si="111"/>
        <v>2.7780258914376563E-2</v>
      </c>
      <c r="S187" s="43">
        <f t="shared" si="112"/>
        <v>3.3906162162162161</v>
      </c>
      <c r="T187" s="43">
        <f t="shared" si="113"/>
        <v>6.7812324324324322</v>
      </c>
      <c r="U187" s="43">
        <f t="shared" si="114"/>
        <v>1.7124324324324322E-5</v>
      </c>
      <c r="V187" s="43">
        <f t="shared" si="115"/>
        <v>1.0763861003861002E-6</v>
      </c>
      <c r="W187" s="43">
        <f t="shared" si="116"/>
        <v>1.223166023166023E-5</v>
      </c>
      <c r="X187" s="43">
        <f t="shared" si="117"/>
        <v>1.223166023166023E-14</v>
      </c>
      <c r="Y187" s="205">
        <f t="shared" si="118"/>
        <v>14.045401074782344</v>
      </c>
    </row>
    <row r="188" spans="1:25">
      <c r="A188" s="45" t="s">
        <v>864</v>
      </c>
      <c r="D188">
        <v>6260</v>
      </c>
      <c r="E188">
        <v>1.2</v>
      </c>
      <c r="H188" s="1">
        <f t="shared" si="105"/>
        <v>0</v>
      </c>
      <c r="I188" s="43">
        <f t="shared" si="89"/>
        <v>4.0620657569111962E-3</v>
      </c>
      <c r="J188" s="1">
        <f t="shared" si="90"/>
        <v>0</v>
      </c>
      <c r="K188" s="1">
        <f t="shared" si="91"/>
        <v>0</v>
      </c>
      <c r="L188" s="43">
        <f t="shared" si="106"/>
        <v>1.4973726640926638E-2</v>
      </c>
      <c r="M188" s="43">
        <f t="shared" si="107"/>
        <v>7.2996917374517365E-3</v>
      </c>
      <c r="N188" s="43">
        <f t="shared" si="108"/>
        <v>9.9824844272844261E-5</v>
      </c>
      <c r="O188" s="43">
        <f t="shared" si="109"/>
        <v>1.0903898856840032E-2</v>
      </c>
      <c r="P188" s="43">
        <f t="shared" si="110"/>
        <v>8.1749941403588444</v>
      </c>
      <c r="Q188" s="43">
        <v>173.36</v>
      </c>
      <c r="R188" s="43">
        <f t="shared" si="111"/>
        <v>3.2204522371110609</v>
      </c>
      <c r="S188" s="43">
        <f t="shared" si="112"/>
        <v>393.06032432432431</v>
      </c>
      <c r="T188" s="43">
        <f t="shared" si="113"/>
        <v>786.12064864864863</v>
      </c>
      <c r="U188" s="43">
        <f t="shared" si="114"/>
        <v>1.9851531531531528E-3</v>
      </c>
      <c r="V188" s="43">
        <f t="shared" si="115"/>
        <v>1.2478105534105533E-4</v>
      </c>
      <c r="W188" s="43">
        <f t="shared" si="116"/>
        <v>1.4179665379665377E-3</v>
      </c>
      <c r="X188" s="43">
        <f t="shared" si="117"/>
        <v>1.4179665379665378E-12</v>
      </c>
      <c r="Y188" s="205">
        <f t="shared" si="118"/>
        <v>835.64512994352333</v>
      </c>
    </row>
    <row r="189" spans="1:25">
      <c r="A189" t="s">
        <v>865</v>
      </c>
      <c r="D189">
        <v>3466</v>
      </c>
      <c r="E189">
        <v>1.2</v>
      </c>
      <c r="H189" s="1">
        <f t="shared" si="105"/>
        <v>0</v>
      </c>
      <c r="I189" s="43">
        <f t="shared" si="89"/>
        <v>2.249060689050193E-3</v>
      </c>
      <c r="J189" s="1">
        <f t="shared" si="90"/>
        <v>0</v>
      </c>
      <c r="K189" s="1">
        <f t="shared" si="91"/>
        <v>0</v>
      </c>
      <c r="L189" s="43">
        <f t="shared" si="106"/>
        <v>8.2905649420849416E-3</v>
      </c>
      <c r="M189" s="43">
        <f t="shared" si="107"/>
        <v>4.0416504092664089E-3</v>
      </c>
      <c r="N189" s="43">
        <f t="shared" si="108"/>
        <v>5.5270432947232946E-5</v>
      </c>
      <c r="O189" s="43">
        <f t="shared" si="109"/>
        <v>1.0903898856840032E-2</v>
      </c>
      <c r="P189" s="43">
        <f t="shared" si="110"/>
        <v>4.5262826981603448</v>
      </c>
      <c r="Q189" s="43">
        <v>174.36</v>
      </c>
      <c r="R189" s="43">
        <f t="shared" si="111"/>
        <v>1.7830810629116511</v>
      </c>
      <c r="S189" s="43">
        <f t="shared" si="112"/>
        <v>217.62732972972972</v>
      </c>
      <c r="T189" s="43">
        <f t="shared" si="113"/>
        <v>435.25465945945945</v>
      </c>
      <c r="U189" s="43">
        <f t="shared" si="114"/>
        <v>1.0991279279279277E-3</v>
      </c>
      <c r="V189" s="43">
        <f t="shared" si="115"/>
        <v>6.9088041184041176E-5</v>
      </c>
      <c r="W189" s="43">
        <f t="shared" si="116"/>
        <v>7.8509137709137703E-4</v>
      </c>
      <c r="X189" s="43">
        <f t="shared" si="117"/>
        <v>7.8509137709137697E-13</v>
      </c>
      <c r="Y189" s="205">
        <f t="shared" si="118"/>
        <v>465.81115597329097</v>
      </c>
    </row>
    <row r="190" spans="1:25">
      <c r="A190" t="s">
        <v>866</v>
      </c>
      <c r="D190">
        <v>221</v>
      </c>
      <c r="E190">
        <v>1.2</v>
      </c>
      <c r="H190" s="1">
        <f t="shared" si="105"/>
        <v>0</v>
      </c>
      <c r="I190" s="43">
        <f t="shared" si="89"/>
        <v>1.4340519684942084E-4</v>
      </c>
      <c r="J190" s="1">
        <f t="shared" si="90"/>
        <v>0</v>
      </c>
      <c r="K190" s="1">
        <f t="shared" si="91"/>
        <v>0</v>
      </c>
      <c r="L190" s="43">
        <f t="shared" si="106"/>
        <v>5.2862517374517365E-4</v>
      </c>
      <c r="M190" s="43">
        <f t="shared" si="107"/>
        <v>2.5770477220077217E-4</v>
      </c>
      <c r="N190" s="43">
        <f t="shared" si="108"/>
        <v>3.5241678249678247E-6</v>
      </c>
      <c r="O190" s="43">
        <f t="shared" si="109"/>
        <v>1.0903898856840032E-2</v>
      </c>
      <c r="P190" s="43">
        <f t="shared" si="110"/>
        <v>0.28860602316602313</v>
      </c>
      <c r="Q190" s="43">
        <v>175.36</v>
      </c>
      <c r="R190" s="43">
        <f t="shared" si="111"/>
        <v>0.11369328185328186</v>
      </c>
      <c r="S190" s="43">
        <f t="shared" si="112"/>
        <v>13.87641081081081</v>
      </c>
      <c r="T190" s="43">
        <f t="shared" si="113"/>
        <v>27.752821621621621</v>
      </c>
      <c r="U190" s="43">
        <f t="shared" si="114"/>
        <v>7.0082882882882875E-5</v>
      </c>
      <c r="V190" s="43">
        <f t="shared" si="115"/>
        <v>4.4052097812097808E-6</v>
      </c>
      <c r="W190" s="43">
        <f t="shared" si="116"/>
        <v>5.0059202059202055E-5</v>
      </c>
      <c r="X190" s="43">
        <f t="shared" si="117"/>
        <v>5.0059202059202056E-14</v>
      </c>
      <c r="Y190" s="205">
        <f t="shared" si="118"/>
        <v>36.273115338572183</v>
      </c>
    </row>
    <row r="191" spans="1:25">
      <c r="A191" t="s">
        <v>867</v>
      </c>
      <c r="D191">
        <v>3250</v>
      </c>
      <c r="E191">
        <v>1.2</v>
      </c>
      <c r="H191" s="1">
        <f t="shared" si="105"/>
        <v>0</v>
      </c>
      <c r="I191" s="43">
        <f t="shared" si="89"/>
        <v>2.1088999536679537E-3</v>
      </c>
      <c r="J191" s="1">
        <f t="shared" si="90"/>
        <v>0</v>
      </c>
      <c r="K191" s="1">
        <f t="shared" si="91"/>
        <v>0</v>
      </c>
      <c r="L191" s="43">
        <f t="shared" si="106"/>
        <v>7.7738996138996125E-3</v>
      </c>
      <c r="M191" s="43">
        <f t="shared" si="107"/>
        <v>3.7897760617760612E-3</v>
      </c>
      <c r="N191" s="43">
        <f t="shared" si="108"/>
        <v>5.182599742599742E-5</v>
      </c>
      <c r="O191" s="43">
        <f t="shared" si="109"/>
        <v>1.0903898856840032E-2</v>
      </c>
      <c r="P191" s="43">
        <f t="shared" si="110"/>
        <v>4.2442062230297513</v>
      </c>
      <c r="Q191" s="43">
        <v>176.36</v>
      </c>
      <c r="R191" s="43">
        <f t="shared" si="111"/>
        <v>1.6719600272541451</v>
      </c>
      <c r="S191" s="43">
        <f t="shared" si="112"/>
        <v>204.06486486486486</v>
      </c>
      <c r="T191" s="43">
        <f t="shared" si="113"/>
        <v>408.12972972972972</v>
      </c>
      <c r="U191" s="43">
        <f t="shared" si="114"/>
        <v>1.0306306306306304E-3</v>
      </c>
      <c r="V191" s="43">
        <f t="shared" si="115"/>
        <v>6.4782496782496776E-5</v>
      </c>
      <c r="W191" s="43">
        <f t="shared" si="116"/>
        <v>7.3616473616473603E-4</v>
      </c>
      <c r="X191" s="43">
        <f t="shared" si="117"/>
        <v>7.3616473616473609E-13</v>
      </c>
      <c r="Y191" s="205">
        <f t="shared" si="118"/>
        <v>437.29674710515553</v>
      </c>
    </row>
    <row r="192" spans="1:25">
      <c r="A192" t="s">
        <v>868</v>
      </c>
      <c r="D192">
        <v>3400</v>
      </c>
      <c r="E192">
        <v>1.2</v>
      </c>
      <c r="H192" s="1">
        <f t="shared" si="105"/>
        <v>0</v>
      </c>
      <c r="I192" s="43">
        <f t="shared" si="89"/>
        <v>2.2062337976833974E-3</v>
      </c>
      <c r="J192" s="1">
        <f t="shared" si="90"/>
        <v>0</v>
      </c>
      <c r="K192" s="1">
        <f t="shared" si="91"/>
        <v>0</v>
      </c>
      <c r="L192" s="43">
        <f t="shared" si="106"/>
        <v>8.1326949806949794E-3</v>
      </c>
      <c r="M192" s="43">
        <f t="shared" si="107"/>
        <v>3.9646888030888021E-3</v>
      </c>
      <c r="N192" s="43">
        <f t="shared" si="108"/>
        <v>5.4217966537966537E-5</v>
      </c>
      <c r="O192" s="43">
        <f t="shared" si="109"/>
        <v>1.0903898856840032E-2</v>
      </c>
      <c r="P192" s="43">
        <f t="shared" si="110"/>
        <v>4.4400926640926635</v>
      </c>
      <c r="Q192" s="43">
        <v>177.36</v>
      </c>
      <c r="R192" s="43">
        <f t="shared" si="111"/>
        <v>1.7491274131274133</v>
      </c>
      <c r="S192" s="43">
        <f t="shared" si="112"/>
        <v>213.48324324324324</v>
      </c>
      <c r="T192" s="43">
        <f t="shared" si="113"/>
        <v>426.96648648648647</v>
      </c>
      <c r="U192" s="43">
        <f t="shared" si="114"/>
        <v>1.0781981981981981E-3</v>
      </c>
      <c r="V192" s="43">
        <f t="shared" si="115"/>
        <v>6.7772458172458172E-5</v>
      </c>
      <c r="W192" s="43">
        <f t="shared" si="116"/>
        <v>7.7014157014157003E-4</v>
      </c>
      <c r="X192" s="43">
        <f t="shared" si="117"/>
        <v>7.7014157014157001E-13</v>
      </c>
      <c r="Y192" s="205">
        <f t="shared" si="118"/>
        <v>457.19397548580508</v>
      </c>
    </row>
    <row r="193" spans="1:25">
      <c r="A193" s="45" t="s">
        <v>869</v>
      </c>
      <c r="D193">
        <v>6201</v>
      </c>
      <c r="E193">
        <v>1.2</v>
      </c>
      <c r="H193" s="1">
        <f t="shared" si="105"/>
        <v>0</v>
      </c>
      <c r="I193" s="43">
        <f t="shared" si="89"/>
        <v>4.023781111598455E-3</v>
      </c>
      <c r="J193" s="1">
        <f t="shared" si="90"/>
        <v>0</v>
      </c>
      <c r="K193" s="1">
        <f t="shared" si="91"/>
        <v>0</v>
      </c>
      <c r="L193" s="43">
        <f t="shared" si="106"/>
        <v>1.4832600463320461E-2</v>
      </c>
      <c r="M193" s="43">
        <f t="shared" si="107"/>
        <v>7.2308927258687246E-3</v>
      </c>
      <c r="N193" s="43">
        <f t="shared" si="108"/>
        <v>9.8884003088803082E-5</v>
      </c>
      <c r="O193" s="43">
        <f t="shared" si="109"/>
        <v>1.0903898856840032E-2</v>
      </c>
      <c r="P193" s="43">
        <f t="shared" si="110"/>
        <v>8.0979454735407668</v>
      </c>
      <c r="Q193" s="43">
        <v>178.36</v>
      </c>
      <c r="R193" s="43">
        <f t="shared" si="111"/>
        <v>3.1900997320009088</v>
      </c>
      <c r="S193" s="43">
        <f t="shared" si="112"/>
        <v>389.35576216216214</v>
      </c>
      <c r="T193" s="43">
        <f t="shared" si="113"/>
        <v>778.71152432432427</v>
      </c>
      <c r="U193" s="43">
        <f t="shared" si="114"/>
        <v>1.9664432432432428E-3</v>
      </c>
      <c r="V193" s="43">
        <f t="shared" si="115"/>
        <v>1.2360500386100385E-4</v>
      </c>
      <c r="W193" s="43">
        <f t="shared" si="116"/>
        <v>1.4046023166023164E-3</v>
      </c>
      <c r="X193" s="43">
        <f t="shared" si="117"/>
        <v>1.4046023166023164E-12</v>
      </c>
      <c r="Y193" s="205">
        <f t="shared" si="118"/>
        <v>828.03462011380111</v>
      </c>
    </row>
    <row r="194" spans="1:25">
      <c r="A194" s="45" t="s">
        <v>870</v>
      </c>
      <c r="D194">
        <v>4628</v>
      </c>
      <c r="E194">
        <v>1.2</v>
      </c>
      <c r="H194" s="1">
        <f t="shared" si="105"/>
        <v>0</v>
      </c>
      <c r="I194" s="43">
        <f t="shared" si="89"/>
        <v>3.0030735340231657E-3</v>
      </c>
      <c r="J194" s="1">
        <f t="shared" si="90"/>
        <v>0</v>
      </c>
      <c r="K194" s="1">
        <f t="shared" si="91"/>
        <v>0</v>
      </c>
      <c r="L194" s="43">
        <f t="shared" si="106"/>
        <v>1.1070033050193048E-2</v>
      </c>
      <c r="M194" s="43">
        <f t="shared" si="107"/>
        <v>5.3966411119691108E-3</v>
      </c>
      <c r="N194" s="43">
        <f t="shared" si="108"/>
        <v>7.3800220334620332E-5</v>
      </c>
      <c r="O194" s="43">
        <f t="shared" si="109"/>
        <v>1.0903898856840032E-2</v>
      </c>
      <c r="P194" s="43">
        <f t="shared" si="110"/>
        <v>6.043749661594366</v>
      </c>
      <c r="Q194" s="43">
        <v>179.36</v>
      </c>
      <c r="R194" s="43">
        <f t="shared" si="111"/>
        <v>2.3808710788099026</v>
      </c>
      <c r="S194" s="43">
        <f t="shared" si="112"/>
        <v>290.58836756756756</v>
      </c>
      <c r="T194" s="43">
        <f t="shared" si="113"/>
        <v>581.17673513513512</v>
      </c>
      <c r="U194" s="43">
        <f t="shared" si="114"/>
        <v>1.4676180180180178E-3</v>
      </c>
      <c r="V194" s="43">
        <f t="shared" si="115"/>
        <v>9.2250275418275418E-5</v>
      </c>
      <c r="W194" s="43">
        <f t="shared" si="116"/>
        <v>1.0482985842985842E-3</v>
      </c>
      <c r="X194" s="43">
        <f t="shared" si="117"/>
        <v>1.0482985842985841E-12</v>
      </c>
      <c r="Y194" s="205">
        <f t="shared" si="118"/>
        <v>619.83848516205626</v>
      </c>
    </row>
    <row r="195" spans="1:25">
      <c r="A195" s="45" t="s">
        <v>871</v>
      </c>
      <c r="D195">
        <v>8575</v>
      </c>
      <c r="E195">
        <v>1.2</v>
      </c>
      <c r="H195" s="1">
        <f t="shared" si="105"/>
        <v>0</v>
      </c>
      <c r="I195" s="43">
        <f t="shared" si="89"/>
        <v>5.5642514162162161E-3</v>
      </c>
      <c r="J195" s="1">
        <f t="shared" si="90"/>
        <v>0</v>
      </c>
      <c r="K195" s="1">
        <f t="shared" si="91"/>
        <v>0</v>
      </c>
      <c r="L195" s="43">
        <f t="shared" si="106"/>
        <v>2.0511135135135132E-2</v>
      </c>
      <c r="M195" s="43">
        <f t="shared" si="107"/>
        <v>9.9991783783783764E-3</v>
      </c>
      <c r="N195" s="43">
        <f t="shared" si="108"/>
        <v>1.3674090090090089E-4</v>
      </c>
      <c r="O195" s="43">
        <f t="shared" si="109"/>
        <v>1.0903898856840032E-2</v>
      </c>
      <c r="P195" s="43">
        <f t="shared" si="110"/>
        <v>11.198174880763114</v>
      </c>
      <c r="Q195" s="43">
        <v>180.36</v>
      </c>
      <c r="R195" s="43">
        <f t="shared" si="111"/>
        <v>4.4114022257551673</v>
      </c>
      <c r="S195" s="43">
        <f t="shared" si="112"/>
        <v>538.4172972972973</v>
      </c>
      <c r="T195" s="43">
        <f t="shared" si="113"/>
        <v>1076.8345945945946</v>
      </c>
      <c r="U195" s="43">
        <f t="shared" si="114"/>
        <v>2.7192792792792787E-3</v>
      </c>
      <c r="V195" s="43">
        <f t="shared" si="115"/>
        <v>1.7092612612612613E-4</v>
      </c>
      <c r="W195" s="43">
        <f t="shared" si="116"/>
        <v>1.9423423423423421E-3</v>
      </c>
      <c r="X195" s="43">
        <f t="shared" si="117"/>
        <v>1.9423423423423421E-12</v>
      </c>
      <c r="Y195" s="205">
        <f t="shared" si="118"/>
        <v>1142.3883546182149</v>
      </c>
    </row>
    <row r="196" spans="1:25">
      <c r="A196" t="s">
        <v>872</v>
      </c>
      <c r="D196">
        <v>74</v>
      </c>
      <c r="E196">
        <v>1.2</v>
      </c>
      <c r="H196" s="1">
        <f t="shared" si="105"/>
        <v>0</v>
      </c>
      <c r="I196" s="43">
        <f t="shared" ref="I196:I259" si="119">charco2yoll*D196</f>
        <v>4.8018029714285713E-5</v>
      </c>
      <c r="J196" s="1">
        <f t="shared" si="90"/>
        <v>0</v>
      </c>
      <c r="K196" s="1">
        <f t="shared" si="91"/>
        <v>0</v>
      </c>
      <c r="L196" s="43">
        <f t="shared" si="106"/>
        <v>1.7700571428571425E-4</v>
      </c>
      <c r="M196" s="43">
        <f t="shared" si="107"/>
        <v>8.6290285714285702E-5</v>
      </c>
      <c r="N196" s="43">
        <f t="shared" si="108"/>
        <v>1.1800380952380952E-6</v>
      </c>
      <c r="O196" s="43">
        <f t="shared" si="109"/>
        <v>1.0903898856840032E-2</v>
      </c>
      <c r="P196" s="43">
        <f t="shared" si="110"/>
        <v>9.6637310924369724E-2</v>
      </c>
      <c r="Q196" s="43">
        <v>181.36</v>
      </c>
      <c r="R196" s="43">
        <f t="shared" si="111"/>
        <v>3.8069243697478994E-2</v>
      </c>
      <c r="S196" s="43">
        <f t="shared" si="112"/>
        <v>4.6463999999999999</v>
      </c>
      <c r="T196" s="43">
        <f t="shared" si="113"/>
        <v>9.2927999999999997</v>
      </c>
      <c r="U196" s="43">
        <f t="shared" si="114"/>
        <v>2.3466666666666663E-5</v>
      </c>
      <c r="V196" s="43">
        <f t="shared" si="115"/>
        <v>1.475047619047619E-6</v>
      </c>
      <c r="W196" s="43">
        <f t="shared" si="116"/>
        <v>1.6761904761904761E-5</v>
      </c>
      <c r="X196" s="43">
        <f t="shared" si="117"/>
        <v>1.6761904761904759E-14</v>
      </c>
      <c r="Y196" s="205">
        <f t="shared" si="118"/>
        <v>17.053031525535619</v>
      </c>
    </row>
    <row r="197" spans="1:25">
      <c r="A197" t="s">
        <v>873</v>
      </c>
      <c r="D197">
        <v>1</v>
      </c>
      <c r="E197">
        <v>1.2</v>
      </c>
      <c r="H197" s="1">
        <f t="shared" si="105"/>
        <v>0</v>
      </c>
      <c r="I197" s="43">
        <f t="shared" si="119"/>
        <v>6.4889229343629337E-7</v>
      </c>
      <c r="J197" s="1">
        <f t="shared" ref="J197:J260" si="120">F197*0.00000133</f>
        <v>0</v>
      </c>
      <c r="K197" s="1">
        <f t="shared" ref="K197:K260" si="121">F197*0.000266</f>
        <v>0</v>
      </c>
      <c r="L197" s="43">
        <f t="shared" si="106"/>
        <v>2.3919691119691116E-6</v>
      </c>
      <c r="M197" s="43">
        <f t="shared" si="107"/>
        <v>1.1660849420849419E-6</v>
      </c>
      <c r="N197" s="43">
        <f t="shared" si="108"/>
        <v>1.5946460746460745E-8</v>
      </c>
      <c r="O197" s="43">
        <f t="shared" si="109"/>
        <v>1.0903898856840032E-2</v>
      </c>
      <c r="P197" s="43">
        <f t="shared" si="110"/>
        <v>1.3059096070860774E-3</v>
      </c>
      <c r="Q197" s="43">
        <v>182.36</v>
      </c>
      <c r="R197" s="43">
        <f t="shared" si="111"/>
        <v>5.1444923915512154E-4</v>
      </c>
      <c r="S197" s="43">
        <f t="shared" si="112"/>
        <v>6.2789189189189187E-2</v>
      </c>
      <c r="T197" s="43">
        <f t="shared" si="113"/>
        <v>0.12557837837837837</v>
      </c>
      <c r="U197" s="43">
        <f t="shared" si="114"/>
        <v>3.1711711711711707E-7</v>
      </c>
      <c r="V197" s="43">
        <f t="shared" si="115"/>
        <v>1.9933075933075932E-8</v>
      </c>
      <c r="W197" s="43">
        <f t="shared" si="116"/>
        <v>2.2651222651222648E-7</v>
      </c>
      <c r="X197" s="43">
        <f t="shared" si="117"/>
        <v>2.2651222651222649E-16</v>
      </c>
      <c r="Y197" s="205">
        <f t="shared" si="118"/>
        <v>7.4291803802861693</v>
      </c>
    </row>
    <row r="198" spans="1:25">
      <c r="A198" t="s">
        <v>874</v>
      </c>
      <c r="D198">
        <v>1051</v>
      </c>
      <c r="E198">
        <v>1.2</v>
      </c>
      <c r="H198" s="1">
        <f t="shared" si="105"/>
        <v>0</v>
      </c>
      <c r="I198" s="43">
        <f t="shared" si="119"/>
        <v>6.8198580040154438E-4</v>
      </c>
      <c r="J198" s="1">
        <f t="shared" si="120"/>
        <v>0</v>
      </c>
      <c r="K198" s="1">
        <f t="shared" si="121"/>
        <v>0</v>
      </c>
      <c r="L198" s="43">
        <f t="shared" si="106"/>
        <v>2.5139595366795364E-3</v>
      </c>
      <c r="M198" s="43">
        <f t="shared" si="107"/>
        <v>1.225555274131274E-3</v>
      </c>
      <c r="N198" s="43">
        <f t="shared" si="108"/>
        <v>1.6759730244530243E-5</v>
      </c>
      <c r="O198" s="43">
        <f t="shared" si="109"/>
        <v>1.0903898856840032E-2</v>
      </c>
      <c r="P198" s="43">
        <f t="shared" si="110"/>
        <v>1.3725109970474674</v>
      </c>
      <c r="Q198" s="43">
        <v>183.36</v>
      </c>
      <c r="R198" s="43">
        <f t="shared" si="111"/>
        <v>0.54068615035203271</v>
      </c>
      <c r="S198" s="43">
        <f t="shared" si="112"/>
        <v>65.991437837837836</v>
      </c>
      <c r="T198" s="43">
        <f t="shared" si="113"/>
        <v>131.98287567567567</v>
      </c>
      <c r="U198" s="43">
        <f t="shared" si="114"/>
        <v>3.3329009009009004E-4</v>
      </c>
      <c r="V198" s="43">
        <f t="shared" si="115"/>
        <v>2.0949662805662804E-5</v>
      </c>
      <c r="W198" s="43">
        <f t="shared" si="116"/>
        <v>2.3806435006435003E-4</v>
      </c>
      <c r="X198" s="43">
        <f t="shared" si="117"/>
        <v>2.3806435006435003E-13</v>
      </c>
      <c r="Y198" s="205">
        <f t="shared" si="118"/>
        <v>146.46977904483305</v>
      </c>
    </row>
    <row r="199" spans="1:25">
      <c r="A199" t="s">
        <v>875</v>
      </c>
      <c r="D199">
        <v>68</v>
      </c>
      <c r="E199">
        <v>1.2</v>
      </c>
      <c r="H199" s="1">
        <f t="shared" si="105"/>
        <v>0</v>
      </c>
      <c r="I199" s="43">
        <f t="shared" si="119"/>
        <v>4.4124675953667951E-5</v>
      </c>
      <c r="J199" s="1">
        <f t="shared" si="120"/>
        <v>0</v>
      </c>
      <c r="K199" s="1">
        <f t="shared" si="121"/>
        <v>0</v>
      </c>
      <c r="L199" s="43">
        <f t="shared" si="106"/>
        <v>1.6265389961389959E-4</v>
      </c>
      <c r="M199" s="43">
        <f t="shared" si="107"/>
        <v>7.9293776061776055E-5</v>
      </c>
      <c r="N199" s="43">
        <f t="shared" si="108"/>
        <v>1.0843593307593307E-6</v>
      </c>
      <c r="O199" s="43">
        <f t="shared" si="109"/>
        <v>1.0903898856840032E-2</v>
      </c>
      <c r="P199" s="43">
        <f t="shared" si="110"/>
        <v>8.8801853281853263E-2</v>
      </c>
      <c r="Q199" s="43">
        <v>184.36</v>
      </c>
      <c r="R199" s="43">
        <f t="shared" si="111"/>
        <v>3.4982548262548263E-2</v>
      </c>
      <c r="S199" s="43">
        <f t="shared" si="112"/>
        <v>4.2696648648648647</v>
      </c>
      <c r="T199" s="43">
        <f t="shared" si="113"/>
        <v>8.5393297297297295</v>
      </c>
      <c r="U199" s="43">
        <f t="shared" si="114"/>
        <v>2.1563963963963959E-5</v>
      </c>
      <c r="V199" s="43">
        <f t="shared" si="115"/>
        <v>1.3554491634491633E-6</v>
      </c>
      <c r="W199" s="43">
        <f t="shared" si="116"/>
        <v>1.54028314028314E-5</v>
      </c>
      <c r="X199" s="43">
        <f t="shared" si="117"/>
        <v>1.5402831402831402E-14</v>
      </c>
      <c r="Y199" s="205">
        <f t="shared" si="118"/>
        <v>16.37874239030964</v>
      </c>
    </row>
    <row r="200" spans="1:25">
      <c r="A200" t="s">
        <v>876</v>
      </c>
      <c r="D200">
        <v>15</v>
      </c>
      <c r="E200">
        <v>1.2</v>
      </c>
      <c r="H200" s="1">
        <f t="shared" si="105"/>
        <v>0</v>
      </c>
      <c r="I200" s="43">
        <f t="shared" si="119"/>
        <v>9.7333844015444003E-6</v>
      </c>
      <c r="J200" s="1">
        <f t="shared" si="120"/>
        <v>0</v>
      </c>
      <c r="K200" s="1">
        <f t="shared" si="121"/>
        <v>0</v>
      </c>
      <c r="L200" s="43">
        <f t="shared" si="106"/>
        <v>3.5879536679536674E-5</v>
      </c>
      <c r="M200" s="43">
        <f t="shared" si="107"/>
        <v>1.7491274131274127E-5</v>
      </c>
      <c r="N200" s="43">
        <f t="shared" si="108"/>
        <v>2.3919691119691117E-7</v>
      </c>
      <c r="O200" s="43">
        <f t="shared" si="109"/>
        <v>1.0903898856840032E-2</v>
      </c>
      <c r="P200" s="43">
        <f t="shared" si="110"/>
        <v>1.9588644106291162E-2</v>
      </c>
      <c r="Q200" s="43">
        <v>185.36</v>
      </c>
      <c r="R200" s="43">
        <f t="shared" si="111"/>
        <v>7.7167385873268234E-3</v>
      </c>
      <c r="S200" s="43">
        <f t="shared" si="112"/>
        <v>0.94183783783783781</v>
      </c>
      <c r="T200" s="43">
        <f t="shared" si="113"/>
        <v>1.8836756756756756</v>
      </c>
      <c r="U200" s="43">
        <f t="shared" si="114"/>
        <v>4.7567567567567564E-6</v>
      </c>
      <c r="V200" s="43">
        <f t="shared" si="115"/>
        <v>2.98996138996139E-7</v>
      </c>
      <c r="W200" s="43">
        <f t="shared" si="116"/>
        <v>3.3976833976833971E-6</v>
      </c>
      <c r="X200" s="43">
        <f t="shared" si="117"/>
        <v>3.3976833976833973E-15</v>
      </c>
      <c r="Y200" s="205">
        <f t="shared" si="118"/>
        <v>9.4025216958134603</v>
      </c>
    </row>
    <row r="201" spans="1:25">
      <c r="A201" t="s">
        <v>877</v>
      </c>
      <c r="D201">
        <v>175</v>
      </c>
      <c r="E201">
        <v>1.2</v>
      </c>
      <c r="H201" s="1">
        <f t="shared" si="105"/>
        <v>0</v>
      </c>
      <c r="I201" s="43">
        <f t="shared" si="119"/>
        <v>1.1355615135135134E-4</v>
      </c>
      <c r="J201" s="1">
        <f t="shared" si="120"/>
        <v>0</v>
      </c>
      <c r="K201" s="1">
        <f t="shared" si="121"/>
        <v>0</v>
      </c>
      <c r="L201" s="43">
        <f t="shared" si="106"/>
        <v>4.1859459459459453E-4</v>
      </c>
      <c r="M201" s="43">
        <f t="shared" si="107"/>
        <v>2.0406486486486484E-4</v>
      </c>
      <c r="N201" s="43">
        <f t="shared" si="108"/>
        <v>2.7906306306306304E-6</v>
      </c>
      <c r="O201" s="43">
        <f t="shared" si="109"/>
        <v>1.0903898856840032E-2</v>
      </c>
      <c r="P201" s="43">
        <f t="shared" si="110"/>
        <v>0.22853418124006356</v>
      </c>
      <c r="Q201" s="43">
        <v>186.36</v>
      </c>
      <c r="R201" s="43">
        <f t="shared" si="111"/>
        <v>9.0028616852146262E-2</v>
      </c>
      <c r="S201" s="43">
        <f t="shared" si="112"/>
        <v>10.988108108108108</v>
      </c>
      <c r="T201" s="43">
        <f t="shared" si="113"/>
        <v>21.976216216216216</v>
      </c>
      <c r="U201" s="43">
        <f t="shared" si="114"/>
        <v>5.5495495495495487E-5</v>
      </c>
      <c r="V201" s="43">
        <f t="shared" si="115"/>
        <v>3.4882882882882881E-6</v>
      </c>
      <c r="W201" s="43">
        <f t="shared" si="116"/>
        <v>3.9639639639639633E-5</v>
      </c>
      <c r="X201" s="43">
        <f t="shared" si="117"/>
        <v>3.9639639639639633E-14</v>
      </c>
      <c r="Y201" s="205">
        <f t="shared" si="118"/>
        <v>30.623565301839658</v>
      </c>
    </row>
    <row r="202" spans="1:25">
      <c r="A202" t="s">
        <v>878</v>
      </c>
      <c r="D202">
        <v>159</v>
      </c>
      <c r="E202">
        <v>1.2</v>
      </c>
      <c r="H202" s="1">
        <f t="shared" si="105"/>
        <v>0</v>
      </c>
      <c r="I202" s="43">
        <f t="shared" si="119"/>
        <v>1.0317387465637064E-4</v>
      </c>
      <c r="J202" s="1">
        <f t="shared" si="120"/>
        <v>0</v>
      </c>
      <c r="K202" s="1">
        <f t="shared" si="121"/>
        <v>0</v>
      </c>
      <c r="L202" s="43">
        <f t="shared" si="106"/>
        <v>3.8032308880308875E-4</v>
      </c>
      <c r="M202" s="43">
        <f t="shared" si="107"/>
        <v>1.8540750579150577E-4</v>
      </c>
      <c r="N202" s="43">
        <f t="shared" si="108"/>
        <v>2.5354872586872587E-6</v>
      </c>
      <c r="O202" s="43">
        <f t="shared" si="109"/>
        <v>1.0903898856840032E-2</v>
      </c>
      <c r="P202" s="43">
        <f t="shared" si="110"/>
        <v>0.2076396275266863</v>
      </c>
      <c r="Q202" s="43">
        <v>187.36</v>
      </c>
      <c r="R202" s="43">
        <f t="shared" si="111"/>
        <v>8.1797429025664323E-2</v>
      </c>
      <c r="S202" s="43">
        <f t="shared" si="112"/>
        <v>9.9834810810810808</v>
      </c>
      <c r="T202" s="43">
        <f t="shared" si="113"/>
        <v>19.966962162162162</v>
      </c>
      <c r="U202" s="43">
        <f t="shared" si="114"/>
        <v>5.0421621621621613E-5</v>
      </c>
      <c r="V202" s="43">
        <f t="shared" si="115"/>
        <v>3.1693590733590731E-6</v>
      </c>
      <c r="W202" s="43">
        <f t="shared" si="116"/>
        <v>3.6015444015444014E-5</v>
      </c>
      <c r="X202" s="43">
        <f t="shared" si="117"/>
        <v>3.601544401544401E-14</v>
      </c>
      <c r="Y202" s="205">
        <f t="shared" si="118"/>
        <v>28.545460941237035</v>
      </c>
    </row>
    <row r="203" spans="1:25">
      <c r="A203" t="s">
        <v>879</v>
      </c>
      <c r="D203">
        <v>748</v>
      </c>
      <c r="E203">
        <v>1.2</v>
      </c>
      <c r="H203" s="1">
        <f t="shared" si="105"/>
        <v>0</v>
      </c>
      <c r="I203" s="43">
        <f t="shared" si="119"/>
        <v>4.8537143549034746E-4</v>
      </c>
      <c r="J203" s="1">
        <f t="shared" si="120"/>
        <v>0</v>
      </c>
      <c r="K203" s="1">
        <f t="shared" si="121"/>
        <v>0</v>
      </c>
      <c r="L203" s="43">
        <f t="shared" si="106"/>
        <v>1.7891928957528955E-3</v>
      </c>
      <c r="M203" s="43">
        <f t="shared" si="107"/>
        <v>8.7223153667953654E-4</v>
      </c>
      <c r="N203" s="43">
        <f t="shared" si="108"/>
        <v>1.1927952638352637E-5</v>
      </c>
      <c r="O203" s="43">
        <f t="shared" si="109"/>
        <v>1.0903898856840032E-2</v>
      </c>
      <c r="P203" s="43">
        <f t="shared" si="110"/>
        <v>0.97682038610038591</v>
      </c>
      <c r="Q203" s="43">
        <v>188.36</v>
      </c>
      <c r="R203" s="43">
        <f t="shared" si="111"/>
        <v>0.38480803088803089</v>
      </c>
      <c r="S203" s="43">
        <f t="shared" si="112"/>
        <v>46.966313513513512</v>
      </c>
      <c r="T203" s="43">
        <f t="shared" si="113"/>
        <v>93.932627027027024</v>
      </c>
      <c r="U203" s="43">
        <f t="shared" si="114"/>
        <v>2.3720360360360358E-4</v>
      </c>
      <c r="V203" s="43">
        <f t="shared" si="115"/>
        <v>1.4909940797940797E-5</v>
      </c>
      <c r="W203" s="43">
        <f t="shared" si="116"/>
        <v>1.694311454311454E-4</v>
      </c>
      <c r="X203" s="43">
        <f t="shared" si="117"/>
        <v>1.6943114543114541E-13</v>
      </c>
      <c r="Y203" s="205">
        <f t="shared" si="118"/>
        <v>106.55817771592098</v>
      </c>
    </row>
    <row r="204" spans="1:25">
      <c r="A204" t="s">
        <v>880</v>
      </c>
      <c r="D204">
        <v>909</v>
      </c>
      <c r="E204">
        <v>1.2</v>
      </c>
      <c r="H204" s="1">
        <f t="shared" si="105"/>
        <v>0</v>
      </c>
      <c r="I204" s="43">
        <f t="shared" si="119"/>
        <v>5.8984309473359071E-4</v>
      </c>
      <c r="J204" s="1">
        <f t="shared" si="120"/>
        <v>0</v>
      </c>
      <c r="K204" s="1">
        <f t="shared" si="121"/>
        <v>0</v>
      </c>
      <c r="L204" s="43">
        <f t="shared" si="106"/>
        <v>2.1742999227799225E-3</v>
      </c>
      <c r="M204" s="43">
        <f t="shared" si="107"/>
        <v>1.0599712123552122E-3</v>
      </c>
      <c r="N204" s="43">
        <f t="shared" si="108"/>
        <v>1.4495332818532817E-5</v>
      </c>
      <c r="O204" s="43">
        <f t="shared" si="109"/>
        <v>1.0903898856840032E-2</v>
      </c>
      <c r="P204" s="43">
        <f t="shared" si="110"/>
        <v>1.1870718328412444</v>
      </c>
      <c r="Q204" s="43">
        <v>189.36</v>
      </c>
      <c r="R204" s="43">
        <f t="shared" si="111"/>
        <v>0.46763435839200546</v>
      </c>
      <c r="S204" s="43">
        <f t="shared" si="112"/>
        <v>57.075372972972971</v>
      </c>
      <c r="T204" s="43">
        <f t="shared" si="113"/>
        <v>114.15074594594594</v>
      </c>
      <c r="U204" s="43">
        <f t="shared" si="114"/>
        <v>2.8825945945945943E-4</v>
      </c>
      <c r="V204" s="43">
        <f t="shared" si="115"/>
        <v>1.811916602316602E-5</v>
      </c>
      <c r="W204" s="43">
        <f t="shared" si="116"/>
        <v>2.0589961389961387E-4</v>
      </c>
      <c r="X204" s="43">
        <f t="shared" si="117"/>
        <v>2.0589961389961387E-13</v>
      </c>
      <c r="Y204" s="205">
        <f t="shared" si="118"/>
        <v>127.91160284448482</v>
      </c>
    </row>
    <row r="205" spans="1:25">
      <c r="A205" s="45" t="s">
        <v>1848</v>
      </c>
      <c r="D205">
        <v>269</v>
      </c>
      <c r="E205">
        <v>1.2</v>
      </c>
      <c r="H205" s="1">
        <f t="shared" si="105"/>
        <v>0</v>
      </c>
      <c r="I205" s="43">
        <f t="shared" si="119"/>
        <v>1.7455202693436291E-4</v>
      </c>
      <c r="J205" s="1">
        <f t="shared" si="120"/>
        <v>0</v>
      </c>
      <c r="K205" s="1">
        <f t="shared" si="121"/>
        <v>0</v>
      </c>
      <c r="L205" s="43">
        <f t="shared" si="106"/>
        <v>6.4343969111969098E-4</v>
      </c>
      <c r="M205" s="43">
        <f t="shared" si="107"/>
        <v>3.136768494208494E-4</v>
      </c>
      <c r="N205" s="43">
        <f t="shared" si="108"/>
        <v>4.2895979407979407E-6</v>
      </c>
      <c r="O205" s="43">
        <f t="shared" si="109"/>
        <v>1.0903898856840032E-2</v>
      </c>
      <c r="P205" s="43">
        <f t="shared" si="110"/>
        <v>0.35128968430615481</v>
      </c>
      <c r="Q205" s="43">
        <v>190.36</v>
      </c>
      <c r="R205" s="43">
        <f t="shared" si="111"/>
        <v>0.13838684533272769</v>
      </c>
      <c r="S205" s="43">
        <f t="shared" si="112"/>
        <v>16.890291891891891</v>
      </c>
      <c r="T205" s="43">
        <f t="shared" si="113"/>
        <v>33.780583783783783</v>
      </c>
      <c r="U205" s="43">
        <f t="shared" si="114"/>
        <v>8.5304504504504493E-5</v>
      </c>
      <c r="V205" s="43">
        <f t="shared" si="115"/>
        <v>5.3619974259974253E-6</v>
      </c>
      <c r="W205" s="43">
        <f t="shared" si="116"/>
        <v>6.0931788931788926E-5</v>
      </c>
      <c r="X205" s="43">
        <f t="shared" si="117"/>
        <v>6.0931788931788925E-14</v>
      </c>
      <c r="Y205" s="205">
        <f t="shared" si="118"/>
        <v>43.227428420380029</v>
      </c>
    </row>
    <row r="206" spans="1:25">
      <c r="A206" s="45" t="s">
        <v>1849</v>
      </c>
      <c r="D206">
        <v>287</v>
      </c>
      <c r="E206">
        <v>1.2</v>
      </c>
      <c r="H206" s="1">
        <f t="shared" si="105"/>
        <v>0</v>
      </c>
      <c r="I206" s="43">
        <f t="shared" si="119"/>
        <v>1.8623208821621619E-4</v>
      </c>
      <c r="J206" s="1">
        <f t="shared" si="120"/>
        <v>0</v>
      </c>
      <c r="K206" s="1">
        <f t="shared" si="121"/>
        <v>0</v>
      </c>
      <c r="L206" s="43">
        <f t="shared" si="106"/>
        <v>6.8649513513513504E-4</v>
      </c>
      <c r="M206" s="43">
        <f t="shared" si="107"/>
        <v>3.3466637837837834E-4</v>
      </c>
      <c r="N206" s="43">
        <f t="shared" si="108"/>
        <v>4.5766342342342341E-6</v>
      </c>
      <c r="O206" s="43">
        <f t="shared" si="109"/>
        <v>1.0903898856840032E-2</v>
      </c>
      <c r="P206" s="43">
        <f t="shared" si="110"/>
        <v>0.37479605723370424</v>
      </c>
      <c r="Q206" s="43">
        <v>191.36</v>
      </c>
      <c r="R206" s="43">
        <f t="shared" si="111"/>
        <v>0.14764693163751988</v>
      </c>
      <c r="S206" s="43">
        <f t="shared" si="112"/>
        <v>18.020497297297297</v>
      </c>
      <c r="T206" s="43">
        <f t="shared" si="113"/>
        <v>36.040994594594594</v>
      </c>
      <c r="U206" s="43">
        <f t="shared" si="114"/>
        <v>9.1012612612612604E-5</v>
      </c>
      <c r="V206" s="43">
        <f t="shared" si="115"/>
        <v>5.7207927927927928E-6</v>
      </c>
      <c r="W206" s="43">
        <f t="shared" si="116"/>
        <v>6.5009009009009007E-5</v>
      </c>
      <c r="X206" s="43">
        <f t="shared" si="117"/>
        <v>6.5009009009009007E-14</v>
      </c>
      <c r="Y206" s="205">
        <f t="shared" si="118"/>
        <v>45.650295826057977</v>
      </c>
    </row>
    <row r="207" spans="1:25">
      <c r="A207" s="45" t="s">
        <v>1850</v>
      </c>
      <c r="D207">
        <v>268</v>
      </c>
      <c r="E207">
        <v>1.2</v>
      </c>
      <c r="H207" s="1">
        <f t="shared" si="105"/>
        <v>0</v>
      </c>
      <c r="I207" s="43">
        <f t="shared" si="119"/>
        <v>1.7390313464092663E-4</v>
      </c>
      <c r="J207" s="1">
        <f t="shared" si="120"/>
        <v>0</v>
      </c>
      <c r="K207" s="1">
        <f t="shared" si="121"/>
        <v>0</v>
      </c>
      <c r="L207" s="43">
        <f t="shared" si="106"/>
        <v>6.410477220077219E-4</v>
      </c>
      <c r="M207" s="43">
        <f t="shared" si="107"/>
        <v>3.1251076447876442E-4</v>
      </c>
      <c r="N207" s="43">
        <f t="shared" si="108"/>
        <v>4.2736514800514797E-6</v>
      </c>
      <c r="O207" s="43">
        <f t="shared" si="109"/>
        <v>1.0903898856840032E-2</v>
      </c>
      <c r="P207" s="43">
        <f t="shared" si="110"/>
        <v>0.34998377469906877</v>
      </c>
      <c r="Q207" s="43">
        <v>192.36</v>
      </c>
      <c r="R207" s="43">
        <f t="shared" si="111"/>
        <v>0.13787239609357257</v>
      </c>
      <c r="S207" s="43">
        <f t="shared" si="112"/>
        <v>16.827502702702702</v>
      </c>
      <c r="T207" s="43">
        <f t="shared" si="113"/>
        <v>33.655005405405404</v>
      </c>
      <c r="U207" s="43">
        <f t="shared" si="114"/>
        <v>8.4987387387387378E-5</v>
      </c>
      <c r="V207" s="43">
        <f t="shared" si="115"/>
        <v>5.3420643500643496E-6</v>
      </c>
      <c r="W207" s="43">
        <f t="shared" si="116"/>
        <v>6.0705276705276695E-5</v>
      </c>
      <c r="X207" s="43">
        <f t="shared" si="117"/>
        <v>6.0705276705276693E-14</v>
      </c>
      <c r="Y207" s="205">
        <f t="shared" si="118"/>
        <v>43.175046897842378</v>
      </c>
    </row>
    <row r="208" spans="1:25">
      <c r="A208" t="s">
        <v>881</v>
      </c>
      <c r="D208">
        <v>5241</v>
      </c>
      <c r="E208">
        <v>1.2</v>
      </c>
      <c r="H208" s="1">
        <f t="shared" si="105"/>
        <v>0</v>
      </c>
      <c r="I208" s="43">
        <f t="shared" si="119"/>
        <v>3.4008445098996135E-3</v>
      </c>
      <c r="J208" s="1">
        <f t="shared" si="120"/>
        <v>0</v>
      </c>
      <c r="K208" s="1">
        <f t="shared" si="121"/>
        <v>0</v>
      </c>
      <c r="L208" s="43">
        <f t="shared" si="106"/>
        <v>1.2536310115830113E-2</v>
      </c>
      <c r="M208" s="43">
        <f t="shared" si="107"/>
        <v>6.1114511814671802E-3</v>
      </c>
      <c r="N208" s="43">
        <f t="shared" si="108"/>
        <v>8.3575400772200771E-5</v>
      </c>
      <c r="O208" s="43">
        <f t="shared" si="109"/>
        <v>1.0903898856840032E-2</v>
      </c>
      <c r="P208" s="43">
        <f t="shared" si="110"/>
        <v>6.8442722507381317</v>
      </c>
      <c r="Q208" s="43">
        <v>193.36</v>
      </c>
      <c r="R208" s="43">
        <f t="shared" si="111"/>
        <v>2.6962284624119919</v>
      </c>
      <c r="S208" s="43">
        <f t="shared" si="112"/>
        <v>329.07814054054052</v>
      </c>
      <c r="T208" s="43">
        <f t="shared" si="113"/>
        <v>658.15628108108103</v>
      </c>
      <c r="U208" s="43">
        <f t="shared" si="114"/>
        <v>1.6620108108108106E-3</v>
      </c>
      <c r="V208" s="43">
        <f t="shared" si="115"/>
        <v>1.0446925096525096E-4</v>
      </c>
      <c r="W208" s="43">
        <f t="shared" si="116"/>
        <v>1.1871505791505789E-3</v>
      </c>
      <c r="X208" s="43">
        <f t="shared" si="117"/>
        <v>1.187150579150579E-12</v>
      </c>
      <c r="Y208" s="205">
        <f t="shared" si="118"/>
        <v>701.548358477644</v>
      </c>
    </row>
    <row r="209" spans="1:25">
      <c r="A209" t="s">
        <v>882</v>
      </c>
      <c r="D209">
        <v>1</v>
      </c>
      <c r="E209">
        <v>1.2</v>
      </c>
      <c r="H209" s="1">
        <f t="shared" si="105"/>
        <v>0</v>
      </c>
      <c r="I209" s="43">
        <f t="shared" si="119"/>
        <v>6.4889229343629337E-7</v>
      </c>
      <c r="J209" s="1">
        <f t="shared" si="120"/>
        <v>0</v>
      </c>
      <c r="K209" s="1">
        <f t="shared" si="121"/>
        <v>0</v>
      </c>
      <c r="L209" s="43">
        <f t="shared" si="106"/>
        <v>2.3919691119691116E-6</v>
      </c>
      <c r="M209" s="43">
        <f t="shared" si="107"/>
        <v>1.1660849420849419E-6</v>
      </c>
      <c r="N209" s="43">
        <f t="shared" si="108"/>
        <v>1.5946460746460745E-8</v>
      </c>
      <c r="O209" s="43">
        <f t="shared" si="109"/>
        <v>1.0903898856840032E-2</v>
      </c>
      <c r="P209" s="43">
        <f t="shared" si="110"/>
        <v>1.3059096070860774E-3</v>
      </c>
      <c r="Q209" s="43">
        <v>194.36</v>
      </c>
      <c r="R209" s="43">
        <f t="shared" si="111"/>
        <v>5.1444923915512154E-4</v>
      </c>
      <c r="S209" s="43">
        <f t="shared" si="112"/>
        <v>6.2789189189189187E-2</v>
      </c>
      <c r="T209" s="43">
        <f t="shared" si="113"/>
        <v>0.12557837837837837</v>
      </c>
      <c r="U209" s="43">
        <f t="shared" si="114"/>
        <v>3.1711711711711707E-7</v>
      </c>
      <c r="V209" s="43">
        <f t="shared" si="115"/>
        <v>1.9933075933075932E-8</v>
      </c>
      <c r="W209" s="43">
        <f t="shared" si="116"/>
        <v>2.2651222651222648E-7</v>
      </c>
      <c r="X209" s="43">
        <f t="shared" si="117"/>
        <v>2.2651222651222649E-16</v>
      </c>
      <c r="Y209" s="205">
        <f t="shared" si="118"/>
        <v>7.9091803802861698</v>
      </c>
    </row>
    <row r="210" spans="1:25">
      <c r="A210" t="s">
        <v>883</v>
      </c>
      <c r="D210">
        <v>1</v>
      </c>
      <c r="E210">
        <v>1.2</v>
      </c>
      <c r="H210" s="1">
        <f t="shared" si="105"/>
        <v>0</v>
      </c>
      <c r="I210" s="43">
        <f t="shared" si="119"/>
        <v>6.4889229343629337E-7</v>
      </c>
      <c r="J210" s="1">
        <f t="shared" si="120"/>
        <v>0</v>
      </c>
      <c r="K210" s="1">
        <f t="shared" si="121"/>
        <v>0</v>
      </c>
      <c r="L210" s="43">
        <f t="shared" si="106"/>
        <v>2.3919691119691116E-6</v>
      </c>
      <c r="M210" s="43">
        <f t="shared" si="107"/>
        <v>1.1660849420849419E-6</v>
      </c>
      <c r="N210" s="43">
        <f t="shared" si="108"/>
        <v>1.5946460746460745E-8</v>
      </c>
      <c r="O210" s="43">
        <f t="shared" si="109"/>
        <v>1.0903898856840032E-2</v>
      </c>
      <c r="P210" s="43">
        <f t="shared" si="110"/>
        <v>1.3059096070860774E-3</v>
      </c>
      <c r="Q210" s="43">
        <v>195.36</v>
      </c>
      <c r="R210" s="43">
        <f t="shared" si="111"/>
        <v>5.1444923915512154E-4</v>
      </c>
      <c r="S210" s="43">
        <f t="shared" si="112"/>
        <v>6.2789189189189187E-2</v>
      </c>
      <c r="T210" s="43">
        <f t="shared" si="113"/>
        <v>0.12557837837837837</v>
      </c>
      <c r="U210" s="43">
        <f t="shared" si="114"/>
        <v>3.1711711711711707E-7</v>
      </c>
      <c r="V210" s="43">
        <f t="shared" si="115"/>
        <v>1.9933075933075932E-8</v>
      </c>
      <c r="W210" s="43">
        <f t="shared" si="116"/>
        <v>2.2651222651222648E-7</v>
      </c>
      <c r="X210" s="43">
        <f t="shared" si="117"/>
        <v>2.2651222651222649E-16</v>
      </c>
      <c r="Y210" s="205">
        <f t="shared" si="118"/>
        <v>7.9491803802861698</v>
      </c>
    </row>
    <row r="211" spans="1:25">
      <c r="A211" t="s">
        <v>884</v>
      </c>
      <c r="D211">
        <v>1</v>
      </c>
      <c r="E211">
        <v>1.2</v>
      </c>
      <c r="H211" s="1">
        <f t="shared" si="105"/>
        <v>0</v>
      </c>
      <c r="I211" s="43">
        <f t="shared" si="119"/>
        <v>6.4889229343629337E-7</v>
      </c>
      <c r="J211" s="1">
        <f t="shared" si="120"/>
        <v>0</v>
      </c>
      <c r="K211" s="1">
        <f t="shared" si="121"/>
        <v>0</v>
      </c>
      <c r="L211" s="43">
        <f t="shared" si="106"/>
        <v>2.3919691119691116E-6</v>
      </c>
      <c r="M211" s="43">
        <f t="shared" si="107"/>
        <v>1.1660849420849419E-6</v>
      </c>
      <c r="N211" s="43">
        <f t="shared" si="108"/>
        <v>1.5946460746460745E-8</v>
      </c>
      <c r="O211" s="43">
        <f t="shared" si="109"/>
        <v>1.0903898856840032E-2</v>
      </c>
      <c r="P211" s="43">
        <f t="shared" si="110"/>
        <v>1.3059096070860774E-3</v>
      </c>
      <c r="Q211" s="43">
        <v>196.36</v>
      </c>
      <c r="R211" s="43">
        <f t="shared" si="111"/>
        <v>5.1444923915512154E-4</v>
      </c>
      <c r="S211" s="43">
        <f t="shared" si="112"/>
        <v>6.2789189189189187E-2</v>
      </c>
      <c r="T211" s="43">
        <f t="shared" si="113"/>
        <v>0.12557837837837837</v>
      </c>
      <c r="U211" s="43">
        <f t="shared" si="114"/>
        <v>3.1711711711711707E-7</v>
      </c>
      <c r="V211" s="43">
        <f t="shared" si="115"/>
        <v>1.9933075933075932E-8</v>
      </c>
      <c r="W211" s="43">
        <f t="shared" si="116"/>
        <v>2.2651222651222648E-7</v>
      </c>
      <c r="X211" s="43">
        <f t="shared" si="117"/>
        <v>2.2651222651222649E-16</v>
      </c>
      <c r="Y211" s="205">
        <f t="shared" si="118"/>
        <v>7.9891803802861698</v>
      </c>
    </row>
    <row r="212" spans="1:25">
      <c r="A212" t="s">
        <v>885</v>
      </c>
      <c r="D212">
        <v>149</v>
      </c>
      <c r="E212">
        <v>1.2</v>
      </c>
      <c r="H212" s="1">
        <f t="shared" si="105"/>
        <v>0</v>
      </c>
      <c r="I212" s="43">
        <f t="shared" si="119"/>
        <v>9.6684951722007719E-5</v>
      </c>
      <c r="J212" s="1">
        <f t="shared" si="120"/>
        <v>0</v>
      </c>
      <c r="K212" s="1">
        <f t="shared" si="121"/>
        <v>0</v>
      </c>
      <c r="L212" s="43">
        <f t="shared" si="106"/>
        <v>3.5640339768339764E-4</v>
      </c>
      <c r="M212" s="43">
        <f t="shared" si="107"/>
        <v>1.7374665637065635E-4</v>
      </c>
      <c r="N212" s="43">
        <f t="shared" si="108"/>
        <v>2.376022651222651E-6</v>
      </c>
      <c r="O212" s="43">
        <f t="shared" si="109"/>
        <v>1.0903898856840032E-2</v>
      </c>
      <c r="P212" s="43">
        <f t="shared" si="110"/>
        <v>0.19458053145582554</v>
      </c>
      <c r="Q212" s="43">
        <v>197.36</v>
      </c>
      <c r="R212" s="43">
        <f t="shared" si="111"/>
        <v>7.6652936634113114E-2</v>
      </c>
      <c r="S212" s="43">
        <f t="shared" si="112"/>
        <v>9.3555891891891889</v>
      </c>
      <c r="T212" s="43">
        <f t="shared" si="113"/>
        <v>18.711178378378378</v>
      </c>
      <c r="U212" s="43">
        <f t="shared" si="114"/>
        <v>4.7250450450450442E-5</v>
      </c>
      <c r="V212" s="43">
        <f t="shared" si="115"/>
        <v>2.9700283140283137E-6</v>
      </c>
      <c r="W212" s="43">
        <f t="shared" si="116"/>
        <v>3.3750321750321746E-5</v>
      </c>
      <c r="X212" s="43">
        <f t="shared" si="117"/>
        <v>3.3750321750321743E-14</v>
      </c>
      <c r="Y212" s="205">
        <f t="shared" si="118"/>
        <v>27.621645715860396</v>
      </c>
    </row>
    <row r="213" spans="1:25">
      <c r="A213" t="s">
        <v>886</v>
      </c>
      <c r="D213">
        <v>10789</v>
      </c>
      <c r="E213">
        <v>1.2</v>
      </c>
      <c r="H213" s="1">
        <f t="shared" si="105"/>
        <v>0</v>
      </c>
      <c r="I213" s="43">
        <f t="shared" si="119"/>
        <v>7.0008989538841689E-3</v>
      </c>
      <c r="J213" s="1">
        <f t="shared" si="120"/>
        <v>0</v>
      </c>
      <c r="K213" s="1">
        <f t="shared" si="121"/>
        <v>0</v>
      </c>
      <c r="L213" s="43">
        <f t="shared" si="106"/>
        <v>2.5806954749034744E-2</v>
      </c>
      <c r="M213" s="43">
        <f t="shared" si="107"/>
        <v>1.2580890440154438E-2</v>
      </c>
      <c r="N213" s="43">
        <f t="shared" si="108"/>
        <v>1.7204636499356499E-4</v>
      </c>
      <c r="O213" s="43">
        <f t="shared" si="109"/>
        <v>1.0903898856840032E-2</v>
      </c>
      <c r="P213" s="43">
        <f t="shared" si="110"/>
        <v>14.089458750851689</v>
      </c>
      <c r="Q213" s="43">
        <v>198.36</v>
      </c>
      <c r="R213" s="43">
        <f t="shared" si="111"/>
        <v>5.550392841244606</v>
      </c>
      <c r="S213" s="43">
        <f t="shared" si="112"/>
        <v>677.43256216216218</v>
      </c>
      <c r="T213" s="43">
        <f t="shared" si="113"/>
        <v>1354.8651243243244</v>
      </c>
      <c r="U213" s="43">
        <f t="shared" si="114"/>
        <v>3.4213765765765763E-3</v>
      </c>
      <c r="V213" s="43">
        <f t="shared" si="115"/>
        <v>2.1505795624195622E-4</v>
      </c>
      <c r="W213" s="43">
        <f t="shared" si="116"/>
        <v>2.4438404118404117E-3</v>
      </c>
      <c r="X213" s="43">
        <f t="shared" si="117"/>
        <v>2.4438404118404116E-12</v>
      </c>
      <c r="Y213" s="205">
        <f t="shared" si="118"/>
        <v>1436.2010455166019</v>
      </c>
    </row>
    <row r="214" spans="1:25">
      <c r="A214" t="s">
        <v>887</v>
      </c>
      <c r="D214">
        <v>1</v>
      </c>
      <c r="E214">
        <v>1.2</v>
      </c>
      <c r="H214" s="1">
        <f t="shared" si="105"/>
        <v>0</v>
      </c>
      <c r="I214" s="43">
        <f t="shared" si="119"/>
        <v>6.4889229343629337E-7</v>
      </c>
      <c r="J214" s="1">
        <f t="shared" si="120"/>
        <v>0</v>
      </c>
      <c r="K214" s="1">
        <f t="shared" si="121"/>
        <v>0</v>
      </c>
      <c r="L214" s="43">
        <f t="shared" si="106"/>
        <v>2.3919691119691116E-6</v>
      </c>
      <c r="M214" s="43">
        <f t="shared" si="107"/>
        <v>1.1660849420849419E-6</v>
      </c>
      <c r="N214" s="43">
        <f t="shared" si="108"/>
        <v>1.5946460746460745E-8</v>
      </c>
      <c r="O214" s="43">
        <f t="shared" si="109"/>
        <v>1.0903898856840032E-2</v>
      </c>
      <c r="P214" s="43">
        <f t="shared" si="110"/>
        <v>1.3059096070860774E-3</v>
      </c>
      <c r="Q214" s="43">
        <v>199.36</v>
      </c>
      <c r="R214" s="43">
        <f t="shared" si="111"/>
        <v>5.1444923915512154E-4</v>
      </c>
      <c r="S214" s="43">
        <f t="shared" si="112"/>
        <v>6.2789189189189187E-2</v>
      </c>
      <c r="T214" s="43">
        <f t="shared" si="113"/>
        <v>0.12557837837837837</v>
      </c>
      <c r="U214" s="43">
        <f t="shared" si="114"/>
        <v>3.1711711711711707E-7</v>
      </c>
      <c r="V214" s="43">
        <f t="shared" si="115"/>
        <v>1.9933075933075932E-8</v>
      </c>
      <c r="W214" s="43">
        <f t="shared" si="116"/>
        <v>2.2651222651222648E-7</v>
      </c>
      <c r="X214" s="43">
        <f t="shared" si="117"/>
        <v>2.2651222651222649E-16</v>
      </c>
      <c r="Y214" s="205">
        <f t="shared" si="118"/>
        <v>8.1091803802861691</v>
      </c>
    </row>
    <row r="215" spans="1:25">
      <c r="A215" t="s">
        <v>888</v>
      </c>
      <c r="D215">
        <v>712</v>
      </c>
      <c r="E215">
        <v>1.2</v>
      </c>
      <c r="H215" s="1">
        <f t="shared" si="105"/>
        <v>0</v>
      </c>
      <c r="I215" s="43">
        <f t="shared" si="119"/>
        <v>4.6201131292664089E-4</v>
      </c>
      <c r="J215" s="1">
        <f t="shared" si="120"/>
        <v>0</v>
      </c>
      <c r="K215" s="1">
        <f t="shared" si="121"/>
        <v>0</v>
      </c>
      <c r="L215" s="43">
        <f t="shared" si="106"/>
        <v>1.7030820077220074E-3</v>
      </c>
      <c r="M215" s="43">
        <f t="shared" si="107"/>
        <v>8.3025247876447866E-4</v>
      </c>
      <c r="N215" s="43">
        <f t="shared" si="108"/>
        <v>1.135388005148005E-5</v>
      </c>
      <c r="O215" s="43">
        <f t="shared" si="109"/>
        <v>1.0903898856840032E-2</v>
      </c>
      <c r="P215" s="43">
        <f t="shared" si="110"/>
        <v>0.92980764024528717</v>
      </c>
      <c r="Q215" s="43">
        <v>200.36</v>
      </c>
      <c r="R215" s="43">
        <f t="shared" si="111"/>
        <v>0.36628785827844651</v>
      </c>
      <c r="S215" s="43">
        <f t="shared" si="112"/>
        <v>44.705902702702701</v>
      </c>
      <c r="T215" s="43">
        <f t="shared" si="113"/>
        <v>89.411805405405403</v>
      </c>
      <c r="U215" s="43">
        <f t="shared" si="114"/>
        <v>2.2578738738738736E-4</v>
      </c>
      <c r="V215" s="43">
        <f t="shared" si="115"/>
        <v>1.4192350064350063E-5</v>
      </c>
      <c r="W215" s="43">
        <f t="shared" si="116"/>
        <v>1.6127670527670525E-4</v>
      </c>
      <c r="X215" s="43">
        <f t="shared" si="117"/>
        <v>1.6127670527670527E-13</v>
      </c>
      <c r="Y215" s="205">
        <f t="shared" si="118"/>
        <v>102.27244290456505</v>
      </c>
    </row>
    <row r="216" spans="1:25">
      <c r="A216" t="s">
        <v>889</v>
      </c>
      <c r="D216">
        <v>703</v>
      </c>
      <c r="E216">
        <v>1.2</v>
      </c>
      <c r="H216" s="1">
        <f t="shared" si="105"/>
        <v>0</v>
      </c>
      <c r="I216" s="43">
        <f t="shared" si="119"/>
        <v>4.5617128228571423E-4</v>
      </c>
      <c r="J216" s="1">
        <f t="shared" si="120"/>
        <v>0</v>
      </c>
      <c r="K216" s="1">
        <f t="shared" si="121"/>
        <v>0</v>
      </c>
      <c r="L216" s="43">
        <f t="shared" si="106"/>
        <v>1.6815542857142854E-3</v>
      </c>
      <c r="M216" s="43">
        <f t="shared" si="107"/>
        <v>8.1975771428571419E-4</v>
      </c>
      <c r="N216" s="43">
        <f t="shared" si="108"/>
        <v>1.1210361904761904E-5</v>
      </c>
      <c r="O216" s="43">
        <f t="shared" si="109"/>
        <v>1.0903898856840032E-2</v>
      </c>
      <c r="P216" s="43">
        <f t="shared" si="110"/>
        <v>0.9180544537815124</v>
      </c>
      <c r="Q216" s="43">
        <v>201.36</v>
      </c>
      <c r="R216" s="43">
        <f t="shared" si="111"/>
        <v>0.36165781512605044</v>
      </c>
      <c r="S216" s="43">
        <f t="shared" si="112"/>
        <v>44.140799999999999</v>
      </c>
      <c r="T216" s="43">
        <f t="shared" si="113"/>
        <v>88.281599999999997</v>
      </c>
      <c r="U216" s="43">
        <f t="shared" si="114"/>
        <v>2.229333333333333E-4</v>
      </c>
      <c r="V216" s="43">
        <f t="shared" si="115"/>
        <v>1.401295238095238E-5</v>
      </c>
      <c r="W216" s="43">
        <f t="shared" si="116"/>
        <v>1.5923809523809521E-4</v>
      </c>
      <c r="X216" s="43">
        <f t="shared" si="117"/>
        <v>1.5923809523809522E-13</v>
      </c>
      <c r="Y216" s="205">
        <f t="shared" si="118"/>
        <v>101.12100920172607</v>
      </c>
    </row>
    <row r="217" spans="1:25">
      <c r="A217" t="s">
        <v>890</v>
      </c>
      <c r="D217">
        <v>456</v>
      </c>
      <c r="E217">
        <v>1.2</v>
      </c>
      <c r="H217" s="1">
        <f t="shared" si="105"/>
        <v>0</v>
      </c>
      <c r="I217" s="43">
        <f t="shared" si="119"/>
        <v>2.9589488580694976E-4</v>
      </c>
      <c r="J217" s="1">
        <f t="shared" si="120"/>
        <v>0</v>
      </c>
      <c r="K217" s="1">
        <f t="shared" si="121"/>
        <v>0</v>
      </c>
      <c r="L217" s="43">
        <f t="shared" si="106"/>
        <v>1.0907379150579149E-3</v>
      </c>
      <c r="M217" s="43">
        <f t="shared" si="107"/>
        <v>5.3173473359073348E-4</v>
      </c>
      <c r="N217" s="43">
        <f t="shared" si="108"/>
        <v>7.2715861003860996E-6</v>
      </c>
      <c r="O217" s="43">
        <f t="shared" si="109"/>
        <v>1.0903898856840032E-2</v>
      </c>
      <c r="P217" s="43">
        <f t="shared" si="110"/>
        <v>0.59549478083125129</v>
      </c>
      <c r="Q217" s="43">
        <v>202.36</v>
      </c>
      <c r="R217" s="43">
        <f t="shared" si="111"/>
        <v>0.23458885305473542</v>
      </c>
      <c r="S217" s="43">
        <f t="shared" si="112"/>
        <v>28.631870270270269</v>
      </c>
      <c r="T217" s="43">
        <f t="shared" si="113"/>
        <v>57.263740540540539</v>
      </c>
      <c r="U217" s="43">
        <f t="shared" si="114"/>
        <v>1.4460540540540539E-4</v>
      </c>
      <c r="V217" s="43">
        <f t="shared" si="115"/>
        <v>9.0894826254826241E-6</v>
      </c>
      <c r="W217" s="43">
        <f t="shared" si="116"/>
        <v>1.0328957528957528E-4</v>
      </c>
      <c r="X217" s="43">
        <f t="shared" si="117"/>
        <v>1.0328957528957528E-13</v>
      </c>
      <c r="Y217" s="205">
        <f t="shared" si="118"/>
        <v>68.462773134923125</v>
      </c>
    </row>
    <row r="218" spans="1:25">
      <c r="A218" t="s">
        <v>891</v>
      </c>
      <c r="D218">
        <v>475</v>
      </c>
      <c r="E218">
        <v>1.2</v>
      </c>
      <c r="H218" s="1">
        <f t="shared" si="105"/>
        <v>0</v>
      </c>
      <c r="I218" s="43">
        <f t="shared" si="119"/>
        <v>3.0822383938223933E-4</v>
      </c>
      <c r="J218" s="1">
        <f t="shared" si="120"/>
        <v>0</v>
      </c>
      <c r="K218" s="1">
        <f t="shared" si="121"/>
        <v>0</v>
      </c>
      <c r="L218" s="43">
        <f t="shared" ref="L218:L249" si="122">CO2_malnutrition_charfact*D218</f>
        <v>1.1361853281853279E-3</v>
      </c>
      <c r="M218" s="43">
        <f t="shared" ref="M218:M249" si="123">CO2_workingcapacity_charfact*D218</f>
        <v>5.5389034749034739E-4</v>
      </c>
      <c r="N218" s="43">
        <f t="shared" ref="N218:N249" si="124">CO2_diarrhea_charfact*D218</f>
        <v>7.5745688545688539E-6</v>
      </c>
      <c r="O218" s="43">
        <f t="shared" ref="O218:O249" si="125">CO2_crop_charfact</f>
        <v>1.0903898856840032E-2</v>
      </c>
      <c r="P218" s="43">
        <f t="shared" ref="P218:P249" si="126">CO2_fruitandveg_charfact*D218</f>
        <v>0.62030706336588681</v>
      </c>
      <c r="Q218" s="43">
        <v>203.36</v>
      </c>
      <c r="R218" s="43">
        <f t="shared" ref="R218:R249" si="127">CO2_meatandfish_charfact*D218</f>
        <v>0.24436338859868273</v>
      </c>
      <c r="S218" s="43">
        <f t="shared" ref="S218:S249" si="128">CO2_drinkingwater_charfact*D218</f>
        <v>29.824864864864864</v>
      </c>
      <c r="T218" s="43">
        <f t="shared" ref="T218:T249" si="129">CO2_irrigationwater_charfact*D218</f>
        <v>59.649729729729728</v>
      </c>
      <c r="U218" s="43">
        <f t="shared" ref="U218:U249" si="130">CO2_energyaccess_charfact*D218</f>
        <v>1.506306306306306E-4</v>
      </c>
      <c r="V218" s="43">
        <f t="shared" ref="V218:V249" si="131">CO2_housing_charfact*D218</f>
        <v>9.4682110682110672E-6</v>
      </c>
      <c r="W218" s="43">
        <f t="shared" ref="W218:W249" si="132">CO2_separations_charfact*D218</f>
        <v>1.0759330759330758E-4</v>
      </c>
      <c r="X218" s="43">
        <f t="shared" ref="X218:X249" si="133">CO2_NEX_charfact*D218</f>
        <v>1.0759330759330758E-13</v>
      </c>
      <c r="Y218" s="205">
        <f t="shared" ref="Y218:Y249" si="134">(H218+I218)*YOLLvalue+J218*skincancervalue+K218*Lowvisionvalue+L218*malnutrition+M218*working_capacity+N218*diarrhea+O218*cropvalue+P218*Fruitandveg_value+Q218*woodvalue+R218*fishandmeatvalue+S218*drinkingwatervalue+T218*irrigationwatervalue+U218*energy_access+V218*housingvalue+W218*migrationvalue+X218*speciesvalue</f>
        <v>71.018022063138744</v>
      </c>
    </row>
    <row r="219" spans="1:25">
      <c r="A219" t="s">
        <v>892</v>
      </c>
      <c r="D219">
        <v>41</v>
      </c>
      <c r="E219">
        <v>1.2</v>
      </c>
      <c r="H219" s="1">
        <f t="shared" si="105"/>
        <v>0</v>
      </c>
      <c r="I219" s="43">
        <f t="shared" si="119"/>
        <v>2.6604584030888028E-5</v>
      </c>
      <c r="J219" s="1">
        <f t="shared" si="120"/>
        <v>0</v>
      </c>
      <c r="K219" s="1">
        <f t="shared" si="121"/>
        <v>0</v>
      </c>
      <c r="L219" s="43">
        <f t="shared" si="122"/>
        <v>9.8070733590733571E-5</v>
      </c>
      <c r="M219" s="43">
        <f t="shared" si="123"/>
        <v>4.7809482625482618E-5</v>
      </c>
      <c r="N219" s="43">
        <f t="shared" si="124"/>
        <v>6.5380489060489052E-7</v>
      </c>
      <c r="O219" s="43">
        <f t="shared" si="125"/>
        <v>1.0903898856840032E-2</v>
      </c>
      <c r="P219" s="43">
        <f t="shared" si="126"/>
        <v>5.3542293890529176E-2</v>
      </c>
      <c r="Q219" s="43">
        <v>204.36</v>
      </c>
      <c r="R219" s="43">
        <f t="shared" si="127"/>
        <v>2.1092418805359982E-2</v>
      </c>
      <c r="S219" s="43">
        <f t="shared" si="128"/>
        <v>2.5743567567567567</v>
      </c>
      <c r="T219" s="43">
        <f t="shared" si="129"/>
        <v>5.1487135135135134</v>
      </c>
      <c r="U219" s="43">
        <f t="shared" si="130"/>
        <v>1.30018018018018E-5</v>
      </c>
      <c r="V219" s="43">
        <f t="shared" si="131"/>
        <v>8.1725611325611315E-7</v>
      </c>
      <c r="W219" s="43">
        <f t="shared" si="132"/>
        <v>9.2870012870012853E-6</v>
      </c>
      <c r="X219" s="43">
        <f t="shared" si="133"/>
        <v>9.2870012870012867E-15</v>
      </c>
      <c r="Y219" s="205">
        <f t="shared" si="134"/>
        <v>13.604441281792717</v>
      </c>
    </row>
    <row r="220" spans="1:25">
      <c r="A220" t="s">
        <v>893</v>
      </c>
      <c r="D220">
        <v>21</v>
      </c>
      <c r="E220">
        <v>1.2</v>
      </c>
      <c r="H220" s="1">
        <f t="shared" si="105"/>
        <v>0</v>
      </c>
      <c r="I220" s="43">
        <f t="shared" si="119"/>
        <v>1.3626738162162161E-5</v>
      </c>
      <c r="J220" s="1">
        <f t="shared" si="120"/>
        <v>0</v>
      </c>
      <c r="K220" s="1">
        <f t="shared" si="121"/>
        <v>0</v>
      </c>
      <c r="L220" s="43">
        <f t="shared" si="122"/>
        <v>5.0231351351351341E-5</v>
      </c>
      <c r="M220" s="43">
        <f t="shared" si="123"/>
        <v>2.448778378378378E-5</v>
      </c>
      <c r="N220" s="43">
        <f t="shared" si="124"/>
        <v>3.3487567567567567E-7</v>
      </c>
      <c r="O220" s="43">
        <f t="shared" si="125"/>
        <v>1.0903898856840032E-2</v>
      </c>
      <c r="P220" s="43">
        <f t="shared" si="126"/>
        <v>2.7424101748807626E-2</v>
      </c>
      <c r="Q220" s="43">
        <v>205.36</v>
      </c>
      <c r="R220" s="43">
        <f t="shared" si="127"/>
        <v>1.0803434022257552E-2</v>
      </c>
      <c r="S220" s="43">
        <f t="shared" si="128"/>
        <v>1.3185729729729729</v>
      </c>
      <c r="T220" s="43">
        <f t="shared" si="129"/>
        <v>2.6371459459459459</v>
      </c>
      <c r="U220" s="43">
        <f t="shared" si="130"/>
        <v>6.6594594594594586E-6</v>
      </c>
      <c r="V220" s="43">
        <f t="shared" si="131"/>
        <v>4.1859459459459456E-7</v>
      </c>
      <c r="W220" s="43">
        <f t="shared" si="132"/>
        <v>4.7567567567567564E-6</v>
      </c>
      <c r="X220" s="43">
        <f t="shared" si="133"/>
        <v>4.7567567567567564E-15</v>
      </c>
      <c r="Y220" s="205">
        <f t="shared" si="134"/>
        <v>10.996810831039443</v>
      </c>
    </row>
    <row r="221" spans="1:25">
      <c r="A221" t="s">
        <v>894</v>
      </c>
      <c r="D221">
        <v>569</v>
      </c>
      <c r="E221">
        <v>1.2</v>
      </c>
      <c r="H221" s="1">
        <f t="shared" si="105"/>
        <v>0</v>
      </c>
      <c r="I221" s="43">
        <f t="shared" si="119"/>
        <v>3.6921971496525091E-4</v>
      </c>
      <c r="J221" s="1">
        <f t="shared" si="120"/>
        <v>0</v>
      </c>
      <c r="K221" s="1">
        <f t="shared" si="121"/>
        <v>0</v>
      </c>
      <c r="L221" s="43">
        <f t="shared" si="122"/>
        <v>1.3610304247104244E-3</v>
      </c>
      <c r="M221" s="43">
        <f t="shared" si="123"/>
        <v>6.635023320463319E-4</v>
      </c>
      <c r="N221" s="43">
        <f t="shared" si="124"/>
        <v>9.0735361647361639E-6</v>
      </c>
      <c r="O221" s="43">
        <f t="shared" si="125"/>
        <v>1.0903898856840032E-2</v>
      </c>
      <c r="P221" s="43">
        <f t="shared" si="126"/>
        <v>0.7430625664319781</v>
      </c>
      <c r="Q221" s="43">
        <v>206.36</v>
      </c>
      <c r="R221" s="43">
        <f t="shared" si="127"/>
        <v>0.29272161707926414</v>
      </c>
      <c r="S221" s="43">
        <f t="shared" si="128"/>
        <v>35.727048648648648</v>
      </c>
      <c r="T221" s="43">
        <f t="shared" si="129"/>
        <v>71.454097297297295</v>
      </c>
      <c r="U221" s="43">
        <f t="shared" si="130"/>
        <v>1.8043963963963961E-4</v>
      </c>
      <c r="V221" s="43">
        <f t="shared" si="131"/>
        <v>1.1341920205920205E-5</v>
      </c>
      <c r="W221" s="43">
        <f t="shared" si="132"/>
        <v>1.2888545688545687E-4</v>
      </c>
      <c r="X221" s="43">
        <f t="shared" si="133"/>
        <v>1.2888545688545686E-13</v>
      </c>
      <c r="Y221" s="205">
        <f t="shared" si="134"/>
        <v>83.581885181679127</v>
      </c>
    </row>
    <row r="222" spans="1:25">
      <c r="A222" t="s">
        <v>895</v>
      </c>
      <c r="D222">
        <v>403</v>
      </c>
      <c r="E222">
        <v>1.2</v>
      </c>
      <c r="H222" s="1">
        <f t="shared" si="105"/>
        <v>0</v>
      </c>
      <c r="I222" s="43">
        <f t="shared" si="119"/>
        <v>2.6150359425482623E-4</v>
      </c>
      <c r="J222" s="1">
        <f t="shared" si="120"/>
        <v>0</v>
      </c>
      <c r="K222" s="1">
        <f t="shared" si="121"/>
        <v>0</v>
      </c>
      <c r="L222" s="43">
        <f t="shared" si="122"/>
        <v>9.6396355212355193E-4</v>
      </c>
      <c r="M222" s="43">
        <f t="shared" si="123"/>
        <v>4.6993223166023158E-4</v>
      </c>
      <c r="N222" s="43">
        <f t="shared" si="124"/>
        <v>6.4264236808236806E-6</v>
      </c>
      <c r="O222" s="43">
        <f t="shared" si="125"/>
        <v>1.0903898856840032E-2</v>
      </c>
      <c r="P222" s="43">
        <f t="shared" si="126"/>
        <v>0.52628157165568923</v>
      </c>
      <c r="Q222" s="43">
        <v>207.36</v>
      </c>
      <c r="R222" s="43">
        <f t="shared" si="127"/>
        <v>0.20732304337951399</v>
      </c>
      <c r="S222" s="43">
        <f t="shared" si="128"/>
        <v>25.304043243243243</v>
      </c>
      <c r="T222" s="43">
        <f t="shared" si="129"/>
        <v>50.608086486486485</v>
      </c>
      <c r="U222" s="43">
        <f t="shared" si="130"/>
        <v>1.2779819819819818E-4</v>
      </c>
      <c r="V222" s="43">
        <f t="shared" si="131"/>
        <v>8.0330296010296005E-6</v>
      </c>
      <c r="W222" s="43">
        <f t="shared" si="132"/>
        <v>9.128442728442727E-5</v>
      </c>
      <c r="X222" s="43">
        <f t="shared" si="133"/>
        <v>9.1284427284427278E-14</v>
      </c>
      <c r="Y222" s="205">
        <f t="shared" si="134"/>
        <v>61.646552440426966</v>
      </c>
    </row>
    <row r="223" spans="1:25">
      <c r="A223" t="s">
        <v>896</v>
      </c>
      <c r="D223">
        <v>2</v>
      </c>
      <c r="E223">
        <v>1.2</v>
      </c>
      <c r="H223" s="1">
        <f t="shared" si="105"/>
        <v>0</v>
      </c>
      <c r="I223" s="43">
        <f t="shared" si="119"/>
        <v>1.2977845868725867E-6</v>
      </c>
      <c r="J223" s="1">
        <f t="shared" si="120"/>
        <v>0</v>
      </c>
      <c r="K223" s="1">
        <f t="shared" si="121"/>
        <v>0</v>
      </c>
      <c r="L223" s="43">
        <f t="shared" si="122"/>
        <v>4.7839382239382231E-6</v>
      </c>
      <c r="M223" s="43">
        <f t="shared" si="123"/>
        <v>2.3321698841698838E-6</v>
      </c>
      <c r="N223" s="43">
        <f t="shared" si="124"/>
        <v>3.1892921492921491E-8</v>
      </c>
      <c r="O223" s="43">
        <f t="shared" si="125"/>
        <v>1.0903898856840032E-2</v>
      </c>
      <c r="P223" s="43">
        <f t="shared" si="126"/>
        <v>2.6118192141721549E-3</v>
      </c>
      <c r="Q223" s="43">
        <v>208.36</v>
      </c>
      <c r="R223" s="43">
        <f t="shared" si="127"/>
        <v>1.0288984783102431E-3</v>
      </c>
      <c r="S223" s="43">
        <f t="shared" si="128"/>
        <v>0.12557837837837837</v>
      </c>
      <c r="T223" s="43">
        <f t="shared" si="129"/>
        <v>0.25115675675675675</v>
      </c>
      <c r="U223" s="43">
        <f t="shared" si="130"/>
        <v>6.3423423423423414E-7</v>
      </c>
      <c r="V223" s="43">
        <f t="shared" si="131"/>
        <v>3.9866151866151864E-8</v>
      </c>
      <c r="W223" s="43">
        <f t="shared" si="132"/>
        <v>4.5302445302445296E-7</v>
      </c>
      <c r="X223" s="43">
        <f t="shared" si="133"/>
        <v>4.5302445302445297E-16</v>
      </c>
      <c r="Y223" s="205">
        <f t="shared" si="134"/>
        <v>8.6015619028238337</v>
      </c>
    </row>
    <row r="224" spans="1:25">
      <c r="A224" t="s">
        <v>897</v>
      </c>
      <c r="D224">
        <v>2</v>
      </c>
      <c r="E224">
        <v>1.2</v>
      </c>
      <c r="H224" s="1">
        <f t="shared" si="105"/>
        <v>0</v>
      </c>
      <c r="I224" s="43">
        <f t="shared" si="119"/>
        <v>1.2977845868725867E-6</v>
      </c>
      <c r="J224" s="1">
        <f t="shared" si="120"/>
        <v>0</v>
      </c>
      <c r="K224" s="1">
        <f t="shared" si="121"/>
        <v>0</v>
      </c>
      <c r="L224" s="43">
        <f t="shared" si="122"/>
        <v>4.7839382239382231E-6</v>
      </c>
      <c r="M224" s="43">
        <f t="shared" si="123"/>
        <v>2.3321698841698838E-6</v>
      </c>
      <c r="N224" s="43">
        <f t="shared" si="124"/>
        <v>3.1892921492921491E-8</v>
      </c>
      <c r="O224" s="43">
        <f t="shared" si="125"/>
        <v>1.0903898856840032E-2</v>
      </c>
      <c r="P224" s="43">
        <f t="shared" si="126"/>
        <v>2.6118192141721549E-3</v>
      </c>
      <c r="Q224" s="43">
        <v>209.36</v>
      </c>
      <c r="R224" s="43">
        <f t="shared" si="127"/>
        <v>1.0288984783102431E-3</v>
      </c>
      <c r="S224" s="43">
        <f t="shared" si="128"/>
        <v>0.12557837837837837</v>
      </c>
      <c r="T224" s="43">
        <f t="shared" si="129"/>
        <v>0.25115675675675675</v>
      </c>
      <c r="U224" s="43">
        <f t="shared" si="130"/>
        <v>6.3423423423423414E-7</v>
      </c>
      <c r="V224" s="43">
        <f t="shared" si="131"/>
        <v>3.9866151866151864E-8</v>
      </c>
      <c r="W224" s="43">
        <f t="shared" si="132"/>
        <v>4.5302445302445296E-7</v>
      </c>
      <c r="X224" s="43">
        <f t="shared" si="133"/>
        <v>4.5302445302445297E-16</v>
      </c>
      <c r="Y224" s="205">
        <f t="shared" si="134"/>
        <v>8.6415619028238346</v>
      </c>
    </row>
    <row r="225" spans="1:25">
      <c r="A225" t="s">
        <v>898</v>
      </c>
      <c r="D225">
        <v>3</v>
      </c>
      <c r="E225">
        <v>1.2</v>
      </c>
      <c r="H225" s="1">
        <f t="shared" si="105"/>
        <v>0</v>
      </c>
      <c r="I225" s="43">
        <f t="shared" si="119"/>
        <v>1.9466768803088802E-6</v>
      </c>
      <c r="J225" s="1">
        <f t="shared" si="120"/>
        <v>0</v>
      </c>
      <c r="K225" s="1">
        <f t="shared" si="121"/>
        <v>0</v>
      </c>
      <c r="L225" s="43">
        <f t="shared" si="122"/>
        <v>7.1759073359073351E-6</v>
      </c>
      <c r="M225" s="43">
        <f t="shared" si="123"/>
        <v>3.4982548262548259E-6</v>
      </c>
      <c r="N225" s="43">
        <f t="shared" si="124"/>
        <v>4.7839382239382236E-8</v>
      </c>
      <c r="O225" s="43">
        <f t="shared" si="125"/>
        <v>1.0903898856840032E-2</v>
      </c>
      <c r="P225" s="43">
        <f t="shared" si="126"/>
        <v>3.9177288212582321E-3</v>
      </c>
      <c r="Q225" s="43">
        <v>210.36</v>
      </c>
      <c r="R225" s="43">
        <f t="shared" si="127"/>
        <v>1.5433477174653645E-3</v>
      </c>
      <c r="S225" s="43">
        <f t="shared" si="128"/>
        <v>0.18836756756756756</v>
      </c>
      <c r="T225" s="43">
        <f t="shared" si="129"/>
        <v>0.37673513513513512</v>
      </c>
      <c r="U225" s="43">
        <f t="shared" si="130"/>
        <v>9.5135135135135121E-7</v>
      </c>
      <c r="V225" s="43">
        <f t="shared" si="131"/>
        <v>5.9799227799227792E-8</v>
      </c>
      <c r="W225" s="43">
        <f t="shared" si="132"/>
        <v>6.7953667953667942E-7</v>
      </c>
      <c r="X225" s="43">
        <f t="shared" si="133"/>
        <v>6.7953667953667951E-16</v>
      </c>
      <c r="Y225" s="205">
        <f t="shared" si="134"/>
        <v>8.8139434253614937</v>
      </c>
    </row>
    <row r="226" spans="1:25">
      <c r="A226" t="s">
        <v>899</v>
      </c>
      <c r="D226">
        <v>3</v>
      </c>
      <c r="E226">
        <v>1.2</v>
      </c>
      <c r="H226" s="1">
        <f t="shared" si="105"/>
        <v>0</v>
      </c>
      <c r="I226" s="43">
        <f t="shared" si="119"/>
        <v>1.9466768803088802E-6</v>
      </c>
      <c r="J226" s="1">
        <f t="shared" si="120"/>
        <v>0</v>
      </c>
      <c r="K226" s="1">
        <f t="shared" si="121"/>
        <v>0</v>
      </c>
      <c r="L226" s="43">
        <f t="shared" si="122"/>
        <v>7.1759073359073351E-6</v>
      </c>
      <c r="M226" s="43">
        <f t="shared" si="123"/>
        <v>3.4982548262548259E-6</v>
      </c>
      <c r="N226" s="43">
        <f t="shared" si="124"/>
        <v>4.7839382239382236E-8</v>
      </c>
      <c r="O226" s="43">
        <f t="shared" si="125"/>
        <v>1.0903898856840032E-2</v>
      </c>
      <c r="P226" s="43">
        <f t="shared" si="126"/>
        <v>3.9177288212582321E-3</v>
      </c>
      <c r="Q226" s="43">
        <v>211.36</v>
      </c>
      <c r="R226" s="43">
        <f t="shared" si="127"/>
        <v>1.5433477174653645E-3</v>
      </c>
      <c r="S226" s="43">
        <f t="shared" si="128"/>
        <v>0.18836756756756756</v>
      </c>
      <c r="T226" s="43">
        <f t="shared" si="129"/>
        <v>0.37673513513513512</v>
      </c>
      <c r="U226" s="43">
        <f t="shared" si="130"/>
        <v>9.5135135135135121E-7</v>
      </c>
      <c r="V226" s="43">
        <f t="shared" si="131"/>
        <v>5.9799227799227792E-8</v>
      </c>
      <c r="W226" s="43">
        <f t="shared" si="132"/>
        <v>6.7953667953667942E-7</v>
      </c>
      <c r="X226" s="43">
        <f t="shared" si="133"/>
        <v>6.7953667953667951E-16</v>
      </c>
      <c r="Y226" s="205">
        <f t="shared" si="134"/>
        <v>8.8539434253614946</v>
      </c>
    </row>
    <row r="227" spans="1:25">
      <c r="A227" t="s">
        <v>900</v>
      </c>
      <c r="D227">
        <v>116</v>
      </c>
      <c r="E227">
        <v>1.2</v>
      </c>
      <c r="H227" s="1">
        <f t="shared" si="105"/>
        <v>0</v>
      </c>
      <c r="I227" s="43">
        <f t="shared" si="119"/>
        <v>7.5271506038610027E-5</v>
      </c>
      <c r="J227" s="1">
        <f t="shared" si="120"/>
        <v>0</v>
      </c>
      <c r="K227" s="1">
        <f t="shared" si="121"/>
        <v>0</v>
      </c>
      <c r="L227" s="43">
        <f t="shared" si="122"/>
        <v>2.7746841698841695E-4</v>
      </c>
      <c r="M227" s="43">
        <f t="shared" si="123"/>
        <v>1.3526585328185327E-4</v>
      </c>
      <c r="N227" s="43">
        <f t="shared" si="124"/>
        <v>1.8497894465894465E-6</v>
      </c>
      <c r="O227" s="43">
        <f t="shared" si="125"/>
        <v>1.0903898856840032E-2</v>
      </c>
      <c r="P227" s="43">
        <f t="shared" si="126"/>
        <v>0.15148551442198499</v>
      </c>
      <c r="Q227" s="43">
        <v>212.36</v>
      </c>
      <c r="R227" s="43">
        <f t="shared" si="127"/>
        <v>5.9676111741994095E-2</v>
      </c>
      <c r="S227" s="43">
        <f t="shared" si="128"/>
        <v>7.2835459459459457</v>
      </c>
      <c r="T227" s="43">
        <f t="shared" si="129"/>
        <v>14.567091891891891</v>
      </c>
      <c r="U227" s="43">
        <f t="shared" si="130"/>
        <v>3.6785585585585577E-5</v>
      </c>
      <c r="V227" s="43">
        <f t="shared" si="131"/>
        <v>2.3122368082368082E-6</v>
      </c>
      <c r="W227" s="43">
        <f t="shared" si="132"/>
        <v>2.627541827541827E-5</v>
      </c>
      <c r="X227" s="43">
        <f t="shared" si="133"/>
        <v>2.6275418275418271E-14</v>
      </c>
      <c r="Y227" s="205">
        <f t="shared" si="134"/>
        <v>23.853055472117497</v>
      </c>
    </row>
    <row r="228" spans="1:25">
      <c r="A228" t="s">
        <v>901</v>
      </c>
      <c r="D228">
        <v>33</v>
      </c>
      <c r="E228">
        <v>1.2</v>
      </c>
      <c r="H228" s="1">
        <f t="shared" si="105"/>
        <v>0</v>
      </c>
      <c r="I228" s="43">
        <f t="shared" si="119"/>
        <v>2.1413445683397682E-5</v>
      </c>
      <c r="J228" s="1">
        <f t="shared" si="120"/>
        <v>0</v>
      </c>
      <c r="K228" s="1">
        <f t="shared" si="121"/>
        <v>0</v>
      </c>
      <c r="L228" s="43">
        <f t="shared" si="122"/>
        <v>7.8934980694980681E-5</v>
      </c>
      <c r="M228" s="43">
        <f t="shared" si="123"/>
        <v>3.8480803088803084E-5</v>
      </c>
      <c r="N228" s="43">
        <f t="shared" si="124"/>
        <v>5.2623320463320456E-7</v>
      </c>
      <c r="O228" s="43">
        <f t="shared" si="125"/>
        <v>1.0903898856840032E-2</v>
      </c>
      <c r="P228" s="43">
        <f t="shared" si="126"/>
        <v>4.3095017033840555E-2</v>
      </c>
      <c r="Q228" s="43">
        <v>213.36</v>
      </c>
      <c r="R228" s="43">
        <f t="shared" si="127"/>
        <v>1.6976824892119012E-2</v>
      </c>
      <c r="S228" s="43">
        <f t="shared" si="128"/>
        <v>2.0720432432432432</v>
      </c>
      <c r="T228" s="43">
        <f t="shared" si="129"/>
        <v>4.1440864864864864</v>
      </c>
      <c r="U228" s="43">
        <f t="shared" si="130"/>
        <v>1.0464864864864863E-5</v>
      </c>
      <c r="V228" s="43">
        <f t="shared" si="131"/>
        <v>6.5779150579150578E-7</v>
      </c>
      <c r="W228" s="43">
        <f t="shared" si="132"/>
        <v>7.474903474903474E-6</v>
      </c>
      <c r="X228" s="43">
        <f t="shared" si="133"/>
        <v>7.4749034749034736E-15</v>
      </c>
      <c r="Y228" s="205">
        <f t="shared" si="134"/>
        <v>12.905389101491407</v>
      </c>
    </row>
    <row r="229" spans="1:25">
      <c r="A229" t="s">
        <v>902</v>
      </c>
      <c r="D229">
        <v>38</v>
      </c>
      <c r="E229">
        <v>1.2</v>
      </c>
      <c r="H229" s="1">
        <f t="shared" si="105"/>
        <v>0</v>
      </c>
      <c r="I229" s="43">
        <f t="shared" si="119"/>
        <v>2.4657907150579147E-5</v>
      </c>
      <c r="J229" s="1">
        <f t="shared" si="120"/>
        <v>0</v>
      </c>
      <c r="K229" s="1">
        <f t="shared" si="121"/>
        <v>0</v>
      </c>
      <c r="L229" s="43">
        <f t="shared" si="122"/>
        <v>9.0894826254826237E-5</v>
      </c>
      <c r="M229" s="43">
        <f t="shared" si="123"/>
        <v>4.4311227799227794E-5</v>
      </c>
      <c r="N229" s="43">
        <f t="shared" si="124"/>
        <v>6.059655083655083E-7</v>
      </c>
      <c r="O229" s="43">
        <f t="shared" si="125"/>
        <v>1.0903898856840032E-2</v>
      </c>
      <c r="P229" s="43">
        <f t="shared" si="126"/>
        <v>4.9624565069270946E-2</v>
      </c>
      <c r="Q229" s="43">
        <v>214.36</v>
      </c>
      <c r="R229" s="43">
        <f t="shared" si="127"/>
        <v>1.954907108789462E-2</v>
      </c>
      <c r="S229" s="43">
        <f t="shared" si="128"/>
        <v>2.3859891891891891</v>
      </c>
      <c r="T229" s="43">
        <f t="shared" si="129"/>
        <v>4.7719783783783782</v>
      </c>
      <c r="U229" s="43">
        <f t="shared" si="130"/>
        <v>1.2050450450450448E-5</v>
      </c>
      <c r="V229" s="43">
        <f t="shared" si="131"/>
        <v>7.5745688545688537E-7</v>
      </c>
      <c r="W229" s="43">
        <f t="shared" si="132"/>
        <v>8.6074646074646063E-6</v>
      </c>
      <c r="X229" s="43">
        <f t="shared" si="133"/>
        <v>8.607464607464607E-15</v>
      </c>
      <c r="Y229" s="205">
        <f t="shared" si="134"/>
        <v>13.607296714179725</v>
      </c>
    </row>
    <row r="230" spans="1:25">
      <c r="A230" t="s">
        <v>903</v>
      </c>
      <c r="D230">
        <v>2</v>
      </c>
      <c r="E230">
        <v>1.2</v>
      </c>
      <c r="H230" s="1">
        <f t="shared" si="105"/>
        <v>0</v>
      </c>
      <c r="I230" s="43">
        <f t="shared" si="119"/>
        <v>1.2977845868725867E-6</v>
      </c>
      <c r="J230" s="1">
        <f t="shared" si="120"/>
        <v>0</v>
      </c>
      <c r="K230" s="1">
        <f t="shared" si="121"/>
        <v>0</v>
      </c>
      <c r="L230" s="43">
        <f t="shared" si="122"/>
        <v>4.7839382239382231E-6</v>
      </c>
      <c r="M230" s="43">
        <f t="shared" si="123"/>
        <v>2.3321698841698838E-6</v>
      </c>
      <c r="N230" s="43">
        <f t="shared" si="124"/>
        <v>3.1892921492921491E-8</v>
      </c>
      <c r="O230" s="43">
        <f t="shared" si="125"/>
        <v>1.0903898856840032E-2</v>
      </c>
      <c r="P230" s="43">
        <f t="shared" si="126"/>
        <v>2.6118192141721549E-3</v>
      </c>
      <c r="Q230" s="43">
        <v>215.36</v>
      </c>
      <c r="R230" s="43">
        <f t="shared" si="127"/>
        <v>1.0288984783102431E-3</v>
      </c>
      <c r="S230" s="43">
        <f t="shared" si="128"/>
        <v>0.12557837837837837</v>
      </c>
      <c r="T230" s="43">
        <f t="shared" si="129"/>
        <v>0.25115675675675675</v>
      </c>
      <c r="U230" s="43">
        <f t="shared" si="130"/>
        <v>6.3423423423423414E-7</v>
      </c>
      <c r="V230" s="43">
        <f t="shared" si="131"/>
        <v>3.9866151866151864E-8</v>
      </c>
      <c r="W230" s="43">
        <f t="shared" si="132"/>
        <v>4.5302445302445296E-7</v>
      </c>
      <c r="X230" s="43">
        <f t="shared" si="133"/>
        <v>4.5302445302445297E-16</v>
      </c>
      <c r="Y230" s="205">
        <f t="shared" si="134"/>
        <v>8.8815619028238348</v>
      </c>
    </row>
    <row r="231" spans="1:25">
      <c r="A231" t="s">
        <v>904</v>
      </c>
      <c r="D231">
        <v>8</v>
      </c>
      <c r="E231">
        <v>1.2</v>
      </c>
      <c r="H231" s="1">
        <f t="shared" si="105"/>
        <v>0</v>
      </c>
      <c r="I231" s="43">
        <f t="shared" si="119"/>
        <v>5.191138347490347E-6</v>
      </c>
      <c r="J231" s="1">
        <f t="shared" si="120"/>
        <v>0</v>
      </c>
      <c r="K231" s="1">
        <f t="shared" si="121"/>
        <v>0</v>
      </c>
      <c r="L231" s="43">
        <f t="shared" si="122"/>
        <v>1.9135752895752893E-5</v>
      </c>
      <c r="M231" s="43">
        <f t="shared" si="123"/>
        <v>9.3286795366795352E-6</v>
      </c>
      <c r="N231" s="43">
        <f t="shared" si="124"/>
        <v>1.2757168597168596E-7</v>
      </c>
      <c r="O231" s="43">
        <f t="shared" si="125"/>
        <v>1.0903898856840032E-2</v>
      </c>
      <c r="P231" s="43">
        <f t="shared" si="126"/>
        <v>1.0447276856688619E-2</v>
      </c>
      <c r="Q231" s="43">
        <v>216.36</v>
      </c>
      <c r="R231" s="43">
        <f t="shared" si="127"/>
        <v>4.1155939132409723E-3</v>
      </c>
      <c r="S231" s="43">
        <f t="shared" si="128"/>
        <v>0.5023135135135135</v>
      </c>
      <c r="T231" s="43">
        <f t="shared" si="129"/>
        <v>1.004627027027027</v>
      </c>
      <c r="U231" s="43">
        <f t="shared" si="130"/>
        <v>2.5369369369369366E-6</v>
      </c>
      <c r="V231" s="43">
        <f t="shared" si="131"/>
        <v>1.5946460746460745E-7</v>
      </c>
      <c r="W231" s="43">
        <f t="shared" si="132"/>
        <v>1.8120978120978119E-6</v>
      </c>
      <c r="X231" s="43">
        <f t="shared" si="133"/>
        <v>1.8120978120978119E-15</v>
      </c>
      <c r="Y231" s="205">
        <f t="shared" si="134"/>
        <v>9.7158510380498146</v>
      </c>
    </row>
    <row r="232" spans="1:25">
      <c r="A232" t="s">
        <v>905</v>
      </c>
      <c r="D232">
        <v>64</v>
      </c>
      <c r="E232">
        <v>1.2</v>
      </c>
      <c r="H232" s="1">
        <f t="shared" si="105"/>
        <v>0</v>
      </c>
      <c r="I232" s="43">
        <f t="shared" si="119"/>
        <v>4.1529106779922776E-5</v>
      </c>
      <c r="J232" s="1">
        <f t="shared" si="120"/>
        <v>0</v>
      </c>
      <c r="K232" s="1">
        <f t="shared" si="121"/>
        <v>0</v>
      </c>
      <c r="L232" s="43">
        <f t="shared" si="122"/>
        <v>1.5308602316602314E-4</v>
      </c>
      <c r="M232" s="43">
        <f t="shared" si="123"/>
        <v>7.4629436293436281E-5</v>
      </c>
      <c r="N232" s="43">
        <f t="shared" si="124"/>
        <v>1.0205734877734877E-6</v>
      </c>
      <c r="O232" s="43">
        <f t="shared" si="125"/>
        <v>1.0903898856840032E-2</v>
      </c>
      <c r="P232" s="43">
        <f t="shared" si="126"/>
        <v>8.3578214853508956E-2</v>
      </c>
      <c r="Q232" s="43">
        <v>217.36</v>
      </c>
      <c r="R232" s="43">
        <f t="shared" si="127"/>
        <v>3.2924751305927778E-2</v>
      </c>
      <c r="S232" s="43">
        <f t="shared" si="128"/>
        <v>4.018508108108108</v>
      </c>
      <c r="T232" s="43">
        <f t="shared" si="129"/>
        <v>8.037016216216216</v>
      </c>
      <c r="U232" s="43">
        <f t="shared" si="130"/>
        <v>2.0295495495495492E-5</v>
      </c>
      <c r="V232" s="43">
        <f t="shared" si="131"/>
        <v>1.2757168597168596E-6</v>
      </c>
      <c r="W232" s="43">
        <f t="shared" si="132"/>
        <v>1.4496782496782495E-5</v>
      </c>
      <c r="X232" s="43">
        <f t="shared" si="133"/>
        <v>1.4496782496782495E-14</v>
      </c>
      <c r="Y232" s="205">
        <f t="shared" si="134"/>
        <v>17.169216300158979</v>
      </c>
    </row>
    <row r="233" spans="1:25">
      <c r="A233" t="s">
        <v>906</v>
      </c>
      <c r="D233">
        <v>4</v>
      </c>
      <c r="E233">
        <v>1.2</v>
      </c>
      <c r="H233" s="1">
        <f t="shared" si="105"/>
        <v>0</v>
      </c>
      <c r="I233" s="43">
        <f t="shared" si="119"/>
        <v>2.5955691737451735E-6</v>
      </c>
      <c r="J233" s="1">
        <f t="shared" si="120"/>
        <v>0</v>
      </c>
      <c r="K233" s="1">
        <f t="shared" si="121"/>
        <v>0</v>
      </c>
      <c r="L233" s="43">
        <f t="shared" si="122"/>
        <v>9.5678764478764463E-6</v>
      </c>
      <c r="M233" s="43">
        <f t="shared" si="123"/>
        <v>4.6643397683397676E-6</v>
      </c>
      <c r="N233" s="43">
        <f t="shared" si="124"/>
        <v>6.3785842985842982E-8</v>
      </c>
      <c r="O233" s="43">
        <f t="shared" si="125"/>
        <v>1.0903898856840032E-2</v>
      </c>
      <c r="P233" s="43">
        <f t="shared" si="126"/>
        <v>5.2236384283443097E-3</v>
      </c>
      <c r="Q233" s="43">
        <v>218.36</v>
      </c>
      <c r="R233" s="43">
        <f t="shared" si="127"/>
        <v>2.0577969566204861E-3</v>
      </c>
      <c r="S233" s="43">
        <f t="shared" si="128"/>
        <v>0.25115675675675675</v>
      </c>
      <c r="T233" s="43">
        <f t="shared" si="129"/>
        <v>0.5023135135135135</v>
      </c>
      <c r="U233" s="43">
        <f t="shared" si="130"/>
        <v>1.2684684684684683E-6</v>
      </c>
      <c r="V233" s="43">
        <f t="shared" si="131"/>
        <v>7.9732303732303727E-8</v>
      </c>
      <c r="W233" s="43">
        <f t="shared" si="132"/>
        <v>9.0604890604890593E-7</v>
      </c>
      <c r="X233" s="43">
        <f t="shared" si="133"/>
        <v>9.0604890604890594E-16</v>
      </c>
      <c r="Y233" s="205">
        <f t="shared" si="134"/>
        <v>9.2663249478991609</v>
      </c>
    </row>
    <row r="234" spans="1:25">
      <c r="A234" t="s">
        <v>907</v>
      </c>
      <c r="D234">
        <v>33</v>
      </c>
      <c r="E234">
        <v>1.2</v>
      </c>
      <c r="H234" s="1">
        <f t="shared" si="105"/>
        <v>0</v>
      </c>
      <c r="I234" s="43">
        <f t="shared" si="119"/>
        <v>2.1413445683397682E-5</v>
      </c>
      <c r="J234" s="1">
        <f t="shared" si="120"/>
        <v>0</v>
      </c>
      <c r="K234" s="1">
        <f t="shared" si="121"/>
        <v>0</v>
      </c>
      <c r="L234" s="43">
        <f t="shared" si="122"/>
        <v>7.8934980694980681E-5</v>
      </c>
      <c r="M234" s="43">
        <f t="shared" si="123"/>
        <v>3.8480803088803084E-5</v>
      </c>
      <c r="N234" s="43">
        <f t="shared" si="124"/>
        <v>5.2623320463320456E-7</v>
      </c>
      <c r="O234" s="43">
        <f t="shared" si="125"/>
        <v>1.0903898856840032E-2</v>
      </c>
      <c r="P234" s="43">
        <f t="shared" si="126"/>
        <v>4.3095017033840555E-2</v>
      </c>
      <c r="Q234" s="43">
        <v>219.36</v>
      </c>
      <c r="R234" s="43">
        <f t="shared" si="127"/>
        <v>1.6976824892119012E-2</v>
      </c>
      <c r="S234" s="43">
        <f t="shared" si="128"/>
        <v>2.0720432432432432</v>
      </c>
      <c r="T234" s="43">
        <f t="shared" si="129"/>
        <v>4.1440864864864864</v>
      </c>
      <c r="U234" s="43">
        <f t="shared" si="130"/>
        <v>1.0464864864864863E-5</v>
      </c>
      <c r="V234" s="43">
        <f t="shared" si="131"/>
        <v>6.5779150579150578E-7</v>
      </c>
      <c r="W234" s="43">
        <f t="shared" si="132"/>
        <v>7.474903474903474E-6</v>
      </c>
      <c r="X234" s="43">
        <f t="shared" si="133"/>
        <v>7.4749034749034736E-15</v>
      </c>
      <c r="Y234" s="205">
        <f t="shared" si="134"/>
        <v>13.145389101491405</v>
      </c>
    </row>
    <row r="235" spans="1:25">
      <c r="A235" t="s">
        <v>908</v>
      </c>
      <c r="D235">
        <v>41</v>
      </c>
      <c r="E235">
        <v>1.2</v>
      </c>
      <c r="H235" s="1">
        <f t="shared" si="105"/>
        <v>0</v>
      </c>
      <c r="I235" s="43">
        <f t="shared" si="119"/>
        <v>2.6604584030888028E-5</v>
      </c>
      <c r="J235" s="1">
        <f t="shared" si="120"/>
        <v>0</v>
      </c>
      <c r="K235" s="1">
        <f t="shared" si="121"/>
        <v>0</v>
      </c>
      <c r="L235" s="43">
        <f t="shared" si="122"/>
        <v>9.8070733590733571E-5</v>
      </c>
      <c r="M235" s="43">
        <f t="shared" si="123"/>
        <v>4.7809482625482618E-5</v>
      </c>
      <c r="N235" s="43">
        <f t="shared" si="124"/>
        <v>6.5380489060489052E-7</v>
      </c>
      <c r="O235" s="43">
        <f t="shared" si="125"/>
        <v>1.0903898856840032E-2</v>
      </c>
      <c r="P235" s="43">
        <f t="shared" si="126"/>
        <v>5.3542293890529176E-2</v>
      </c>
      <c r="Q235" s="43">
        <v>220.36</v>
      </c>
      <c r="R235" s="43">
        <f t="shared" si="127"/>
        <v>2.1092418805359982E-2</v>
      </c>
      <c r="S235" s="43">
        <f t="shared" si="128"/>
        <v>2.5743567567567567</v>
      </c>
      <c r="T235" s="43">
        <f t="shared" si="129"/>
        <v>5.1487135135135134</v>
      </c>
      <c r="U235" s="43">
        <f t="shared" si="130"/>
        <v>1.30018018018018E-5</v>
      </c>
      <c r="V235" s="43">
        <f t="shared" si="131"/>
        <v>8.1725611325611315E-7</v>
      </c>
      <c r="W235" s="43">
        <f t="shared" si="132"/>
        <v>9.2870012870012853E-6</v>
      </c>
      <c r="X235" s="43">
        <f t="shared" si="133"/>
        <v>9.2870012870012867E-15</v>
      </c>
      <c r="Y235" s="205">
        <f t="shared" si="134"/>
        <v>14.244441281792717</v>
      </c>
    </row>
    <row r="236" spans="1:25">
      <c r="A236" t="s">
        <v>909</v>
      </c>
      <c r="D236">
        <v>1489</v>
      </c>
      <c r="E236">
        <v>1.2</v>
      </c>
      <c r="H236" s="1">
        <f t="shared" si="105"/>
        <v>0</v>
      </c>
      <c r="I236" s="43">
        <f t="shared" si="119"/>
        <v>9.6620062492664088E-4</v>
      </c>
      <c r="J236" s="1">
        <f t="shared" si="120"/>
        <v>0</v>
      </c>
      <c r="K236" s="1">
        <f t="shared" si="121"/>
        <v>0</v>
      </c>
      <c r="L236" s="43">
        <f t="shared" si="122"/>
        <v>3.5616420077220073E-3</v>
      </c>
      <c r="M236" s="43">
        <f t="shared" si="123"/>
        <v>1.7363004787644784E-3</v>
      </c>
      <c r="N236" s="43">
        <f t="shared" si="124"/>
        <v>2.3744280051480051E-5</v>
      </c>
      <c r="O236" s="43">
        <f t="shared" si="125"/>
        <v>1.0903898856840032E-2</v>
      </c>
      <c r="P236" s="43">
        <f t="shared" si="126"/>
        <v>1.9444994049511692</v>
      </c>
      <c r="Q236" s="43">
        <v>221.36</v>
      </c>
      <c r="R236" s="43">
        <f t="shared" si="127"/>
        <v>0.766014917101976</v>
      </c>
      <c r="S236" s="43">
        <f t="shared" si="128"/>
        <v>93.4931027027027</v>
      </c>
      <c r="T236" s="43">
        <f t="shared" si="129"/>
        <v>186.9862054054054</v>
      </c>
      <c r="U236" s="43">
        <f t="shared" si="130"/>
        <v>4.721873873873873E-4</v>
      </c>
      <c r="V236" s="43">
        <f t="shared" si="131"/>
        <v>2.9680350064350063E-5</v>
      </c>
      <c r="W236" s="43">
        <f t="shared" si="132"/>
        <v>3.3727670527670522E-4</v>
      </c>
      <c r="X236" s="43">
        <f t="shared" si="133"/>
        <v>3.3727670527670525E-13</v>
      </c>
      <c r="Y236" s="205">
        <f t="shared" si="134"/>
        <v>205.97288591632983</v>
      </c>
    </row>
    <row r="237" spans="1:25">
      <c r="A237" t="s">
        <v>910</v>
      </c>
      <c r="D237">
        <v>28</v>
      </c>
      <c r="E237">
        <v>1.2</v>
      </c>
      <c r="H237" s="1">
        <f t="shared" si="105"/>
        <v>0</v>
      </c>
      <c r="I237" s="43">
        <f t="shared" si="119"/>
        <v>1.8168984216216213E-5</v>
      </c>
      <c r="J237" s="1">
        <f t="shared" si="120"/>
        <v>0</v>
      </c>
      <c r="K237" s="1">
        <f t="shared" si="121"/>
        <v>0</v>
      </c>
      <c r="L237" s="43">
        <f t="shared" si="122"/>
        <v>6.6975135135135126E-5</v>
      </c>
      <c r="M237" s="43">
        <f t="shared" si="123"/>
        <v>3.2650378378378374E-5</v>
      </c>
      <c r="N237" s="43">
        <f t="shared" si="124"/>
        <v>4.4650090090090087E-7</v>
      </c>
      <c r="O237" s="43">
        <f t="shared" si="125"/>
        <v>1.0903898856840032E-2</v>
      </c>
      <c r="P237" s="43">
        <f t="shared" si="126"/>
        <v>3.6565468998410171E-2</v>
      </c>
      <c r="Q237" s="43">
        <v>222.36</v>
      </c>
      <c r="R237" s="43">
        <f t="shared" si="127"/>
        <v>1.4404578696343403E-2</v>
      </c>
      <c r="S237" s="43">
        <f t="shared" si="128"/>
        <v>1.7580972972972972</v>
      </c>
      <c r="T237" s="43">
        <f t="shared" si="129"/>
        <v>3.5161945945945945</v>
      </c>
      <c r="U237" s="43">
        <f t="shared" si="130"/>
        <v>8.8792792792792775E-6</v>
      </c>
      <c r="V237" s="43">
        <f t="shared" si="131"/>
        <v>5.5812612612612608E-7</v>
      </c>
      <c r="W237" s="43">
        <f t="shared" si="132"/>
        <v>6.3423423423423418E-6</v>
      </c>
      <c r="X237" s="43">
        <f t="shared" si="133"/>
        <v>6.3423423423423418E-15</v>
      </c>
      <c r="Y237" s="205">
        <f t="shared" si="134"/>
        <v>12.603481488803087</v>
      </c>
    </row>
    <row r="238" spans="1:25">
      <c r="A238" t="s">
        <v>911</v>
      </c>
      <c r="D238">
        <v>7371</v>
      </c>
      <c r="E238">
        <v>1.2</v>
      </c>
      <c r="H238" s="1">
        <f t="shared" si="105"/>
        <v>0</v>
      </c>
      <c r="I238" s="43">
        <f t="shared" si="119"/>
        <v>4.7829850949189182E-3</v>
      </c>
      <c r="J238" s="1">
        <f t="shared" si="120"/>
        <v>0</v>
      </c>
      <c r="K238" s="1">
        <f t="shared" si="121"/>
        <v>0</v>
      </c>
      <c r="L238" s="43">
        <f t="shared" si="122"/>
        <v>1.7631204324324322E-2</v>
      </c>
      <c r="M238" s="43">
        <f t="shared" si="123"/>
        <v>8.5952121081081072E-3</v>
      </c>
      <c r="N238" s="43">
        <f t="shared" si="124"/>
        <v>1.1754136216216215E-4</v>
      </c>
      <c r="O238" s="43">
        <f t="shared" si="125"/>
        <v>1.0903898856840032E-2</v>
      </c>
      <c r="P238" s="43">
        <f t="shared" si="126"/>
        <v>9.6258597138314776</v>
      </c>
      <c r="Q238" s="43">
        <v>223.36</v>
      </c>
      <c r="R238" s="43">
        <f t="shared" si="127"/>
        <v>3.7920053418124007</v>
      </c>
      <c r="S238" s="43">
        <f t="shared" si="128"/>
        <v>462.81911351351351</v>
      </c>
      <c r="T238" s="43">
        <f t="shared" si="129"/>
        <v>925.63822702702703</v>
      </c>
      <c r="U238" s="43">
        <f t="shared" si="130"/>
        <v>2.3374702702702701E-3</v>
      </c>
      <c r="V238" s="43">
        <f t="shared" si="131"/>
        <v>1.4692670270270269E-4</v>
      </c>
      <c r="W238" s="43">
        <f t="shared" si="132"/>
        <v>1.6696216216216214E-3</v>
      </c>
      <c r="X238" s="43">
        <f t="shared" si="133"/>
        <v>1.6696216216216213E-12</v>
      </c>
      <c r="Y238" s="205">
        <f t="shared" si="134"/>
        <v>984.72100148286756</v>
      </c>
    </row>
    <row r="239" spans="1:25">
      <c r="A239" t="s">
        <v>912</v>
      </c>
      <c r="D239">
        <v>16</v>
      </c>
      <c r="E239">
        <v>1.2</v>
      </c>
      <c r="H239" s="1">
        <f t="shared" si="105"/>
        <v>0</v>
      </c>
      <c r="I239" s="43">
        <f t="shared" si="119"/>
        <v>1.0382276694980694E-5</v>
      </c>
      <c r="J239" s="1">
        <f t="shared" si="120"/>
        <v>0</v>
      </c>
      <c r="K239" s="1">
        <f t="shared" si="121"/>
        <v>0</v>
      </c>
      <c r="L239" s="43">
        <f t="shared" si="122"/>
        <v>3.8271505791505785E-5</v>
      </c>
      <c r="M239" s="43">
        <f t="shared" si="123"/>
        <v>1.865735907335907E-5</v>
      </c>
      <c r="N239" s="43">
        <f t="shared" si="124"/>
        <v>2.5514337194337193E-7</v>
      </c>
      <c r="O239" s="43">
        <f t="shared" si="125"/>
        <v>1.0903898856840032E-2</v>
      </c>
      <c r="P239" s="43">
        <f t="shared" si="126"/>
        <v>2.0894553713377239E-2</v>
      </c>
      <c r="Q239" s="43">
        <v>224.36</v>
      </c>
      <c r="R239" s="43">
        <f t="shared" si="127"/>
        <v>8.2311878264819446E-3</v>
      </c>
      <c r="S239" s="43">
        <f t="shared" si="128"/>
        <v>1.004627027027027</v>
      </c>
      <c r="T239" s="43">
        <f t="shared" si="129"/>
        <v>2.009254054054054</v>
      </c>
      <c r="U239" s="43">
        <f t="shared" si="130"/>
        <v>5.0738738738738731E-6</v>
      </c>
      <c r="V239" s="43">
        <f t="shared" si="131"/>
        <v>3.1892921492921491E-7</v>
      </c>
      <c r="W239" s="43">
        <f t="shared" si="132"/>
        <v>3.6241956241956237E-6</v>
      </c>
      <c r="X239" s="43">
        <f t="shared" si="133"/>
        <v>3.6241956241956238E-15</v>
      </c>
      <c r="Y239" s="205">
        <f t="shared" si="134"/>
        <v>11.094903218351122</v>
      </c>
    </row>
    <row r="240" spans="1:25" s="88" customFormat="1">
      <c r="A240" s="45" t="s">
        <v>1529</v>
      </c>
      <c r="D240" s="88">
        <v>21</v>
      </c>
      <c r="E240" s="88">
        <v>1.2</v>
      </c>
      <c r="H240" s="141">
        <f t="shared" si="105"/>
        <v>0</v>
      </c>
      <c r="I240" s="142">
        <f t="shared" si="119"/>
        <v>1.3626738162162161E-5</v>
      </c>
      <c r="J240" s="141">
        <f t="shared" si="120"/>
        <v>0</v>
      </c>
      <c r="K240" s="141">
        <f t="shared" si="121"/>
        <v>0</v>
      </c>
      <c r="L240" s="142">
        <f t="shared" si="122"/>
        <v>5.0231351351351341E-5</v>
      </c>
      <c r="M240" s="142">
        <f t="shared" si="123"/>
        <v>2.448778378378378E-5</v>
      </c>
      <c r="N240" s="142">
        <f t="shared" si="124"/>
        <v>3.3487567567567567E-7</v>
      </c>
      <c r="O240" s="142">
        <f t="shared" si="125"/>
        <v>1.0903898856840032E-2</v>
      </c>
      <c r="P240" s="142">
        <f t="shared" si="126"/>
        <v>2.7424101748807626E-2</v>
      </c>
      <c r="Q240" s="142">
        <v>225.36</v>
      </c>
      <c r="R240" s="142">
        <f t="shared" si="127"/>
        <v>1.0803434022257552E-2</v>
      </c>
      <c r="S240" s="142">
        <f t="shared" si="128"/>
        <v>1.3185729729729729</v>
      </c>
      <c r="T240" s="129">
        <f t="shared" si="129"/>
        <v>2.6371459459459459</v>
      </c>
      <c r="U240" s="129">
        <f t="shared" si="130"/>
        <v>6.6594594594594586E-6</v>
      </c>
      <c r="V240" s="129">
        <f t="shared" si="131"/>
        <v>4.1859459459459456E-7</v>
      </c>
      <c r="W240" s="129">
        <f t="shared" si="132"/>
        <v>4.7567567567567564E-6</v>
      </c>
      <c r="X240" s="129">
        <f t="shared" si="133"/>
        <v>4.7567567567567564E-15</v>
      </c>
      <c r="Y240" s="205">
        <f t="shared" si="134"/>
        <v>11.796810831039442</v>
      </c>
    </row>
    <row r="241" spans="1:25">
      <c r="A241" t="s">
        <v>913</v>
      </c>
      <c r="D241">
        <v>20</v>
      </c>
      <c r="E241">
        <v>1.2</v>
      </c>
      <c r="H241" s="1">
        <f t="shared" si="105"/>
        <v>0</v>
      </c>
      <c r="I241" s="43">
        <f t="shared" si="119"/>
        <v>1.2977845868725867E-5</v>
      </c>
      <c r="J241" s="1">
        <f t="shared" si="120"/>
        <v>0</v>
      </c>
      <c r="K241" s="1">
        <f t="shared" si="121"/>
        <v>0</v>
      </c>
      <c r="L241" s="43">
        <f t="shared" si="122"/>
        <v>4.783938223938223E-5</v>
      </c>
      <c r="M241" s="43">
        <f t="shared" si="123"/>
        <v>2.3321698841698837E-5</v>
      </c>
      <c r="N241" s="43">
        <f t="shared" si="124"/>
        <v>3.1892921492921491E-7</v>
      </c>
      <c r="O241" s="43">
        <f t="shared" si="125"/>
        <v>1.0903898856840032E-2</v>
      </c>
      <c r="P241" s="43">
        <f t="shared" si="126"/>
        <v>2.611819214172155E-2</v>
      </c>
      <c r="Q241" s="43">
        <v>226.36</v>
      </c>
      <c r="R241" s="43">
        <f t="shared" si="127"/>
        <v>1.0288984783102431E-2</v>
      </c>
      <c r="S241" s="43">
        <f t="shared" si="128"/>
        <v>1.2557837837837837</v>
      </c>
      <c r="T241" s="43">
        <f t="shared" si="129"/>
        <v>2.5115675675675675</v>
      </c>
      <c r="U241" s="43">
        <f t="shared" si="130"/>
        <v>6.3423423423423418E-6</v>
      </c>
      <c r="V241" s="43">
        <f t="shared" si="131"/>
        <v>3.9866151866151865E-7</v>
      </c>
      <c r="W241" s="43">
        <f t="shared" si="132"/>
        <v>4.5302445302445297E-6</v>
      </c>
      <c r="X241" s="43">
        <f t="shared" si="133"/>
        <v>4.5302445302445295E-15</v>
      </c>
      <c r="Y241" s="205">
        <f t="shared" si="134"/>
        <v>11.704429308501782</v>
      </c>
    </row>
    <row r="242" spans="1:25">
      <c r="A242" t="s">
        <v>914</v>
      </c>
      <c r="D242">
        <v>1</v>
      </c>
      <c r="E242">
        <v>1.2</v>
      </c>
      <c r="H242" s="1">
        <f t="shared" si="105"/>
        <v>0</v>
      </c>
      <c r="I242" s="43">
        <f t="shared" si="119"/>
        <v>6.4889229343629337E-7</v>
      </c>
      <c r="J242" s="1">
        <f t="shared" si="120"/>
        <v>0</v>
      </c>
      <c r="K242" s="1">
        <f t="shared" si="121"/>
        <v>0</v>
      </c>
      <c r="L242" s="43">
        <f t="shared" si="122"/>
        <v>2.3919691119691116E-6</v>
      </c>
      <c r="M242" s="43">
        <f t="shared" si="123"/>
        <v>1.1660849420849419E-6</v>
      </c>
      <c r="N242" s="43">
        <f t="shared" si="124"/>
        <v>1.5946460746460745E-8</v>
      </c>
      <c r="O242" s="43">
        <f t="shared" si="125"/>
        <v>1.0903898856840032E-2</v>
      </c>
      <c r="P242" s="43">
        <f t="shared" si="126"/>
        <v>1.3059096070860774E-3</v>
      </c>
      <c r="Q242" s="43">
        <v>227.36</v>
      </c>
      <c r="R242" s="43">
        <f t="shared" si="127"/>
        <v>5.1444923915512154E-4</v>
      </c>
      <c r="S242" s="43">
        <f t="shared" si="128"/>
        <v>6.2789189189189187E-2</v>
      </c>
      <c r="T242" s="43">
        <f t="shared" si="129"/>
        <v>0.12557837837837837</v>
      </c>
      <c r="U242" s="43">
        <f t="shared" si="130"/>
        <v>3.1711711711711707E-7</v>
      </c>
      <c r="V242" s="43">
        <f t="shared" si="131"/>
        <v>1.9933075933075932E-8</v>
      </c>
      <c r="W242" s="43">
        <f t="shared" si="132"/>
        <v>2.2651222651222648E-7</v>
      </c>
      <c r="X242" s="43">
        <f t="shared" si="133"/>
        <v>2.2651222651222649E-16</v>
      </c>
      <c r="Y242" s="205">
        <f t="shared" si="134"/>
        <v>9.2291803802861683</v>
      </c>
    </row>
    <row r="243" spans="1:25">
      <c r="A243" t="s">
        <v>915</v>
      </c>
      <c r="D243">
        <v>1</v>
      </c>
      <c r="E243">
        <v>1.2</v>
      </c>
      <c r="H243" s="1">
        <f t="shared" si="105"/>
        <v>0</v>
      </c>
      <c r="I243" s="43">
        <f t="shared" si="119"/>
        <v>6.4889229343629337E-7</v>
      </c>
      <c r="J243" s="1">
        <f t="shared" si="120"/>
        <v>0</v>
      </c>
      <c r="K243" s="1">
        <f t="shared" si="121"/>
        <v>0</v>
      </c>
      <c r="L243" s="43">
        <f t="shared" si="122"/>
        <v>2.3919691119691116E-6</v>
      </c>
      <c r="M243" s="43">
        <f t="shared" si="123"/>
        <v>1.1660849420849419E-6</v>
      </c>
      <c r="N243" s="43">
        <f t="shared" si="124"/>
        <v>1.5946460746460745E-8</v>
      </c>
      <c r="O243" s="43">
        <f t="shared" si="125"/>
        <v>1.0903898856840032E-2</v>
      </c>
      <c r="P243" s="43">
        <f t="shared" si="126"/>
        <v>1.3059096070860774E-3</v>
      </c>
      <c r="Q243" s="43">
        <v>228.36</v>
      </c>
      <c r="R243" s="43">
        <f t="shared" si="127"/>
        <v>5.1444923915512154E-4</v>
      </c>
      <c r="S243" s="43">
        <f t="shared" si="128"/>
        <v>6.2789189189189187E-2</v>
      </c>
      <c r="T243" s="43">
        <f t="shared" si="129"/>
        <v>0.12557837837837837</v>
      </c>
      <c r="U243" s="43">
        <f t="shared" si="130"/>
        <v>3.1711711711711707E-7</v>
      </c>
      <c r="V243" s="43">
        <f t="shared" si="131"/>
        <v>1.9933075933075932E-8</v>
      </c>
      <c r="W243" s="43">
        <f t="shared" si="132"/>
        <v>2.2651222651222648E-7</v>
      </c>
      <c r="X243" s="43">
        <f t="shared" si="133"/>
        <v>2.2651222651222649E-16</v>
      </c>
      <c r="Y243" s="205">
        <f t="shared" si="134"/>
        <v>9.2691803802861692</v>
      </c>
    </row>
    <row r="244" spans="1:25">
      <c r="A244" t="s">
        <v>916</v>
      </c>
      <c r="D244">
        <v>1</v>
      </c>
      <c r="E244">
        <v>1.2</v>
      </c>
      <c r="H244" s="1">
        <f t="shared" si="105"/>
        <v>0</v>
      </c>
      <c r="I244" s="43">
        <f t="shared" si="119"/>
        <v>6.4889229343629337E-7</v>
      </c>
      <c r="J244" s="1">
        <f t="shared" si="120"/>
        <v>0</v>
      </c>
      <c r="K244" s="1">
        <f t="shared" si="121"/>
        <v>0</v>
      </c>
      <c r="L244" s="43">
        <f t="shared" si="122"/>
        <v>2.3919691119691116E-6</v>
      </c>
      <c r="M244" s="43">
        <f t="shared" si="123"/>
        <v>1.1660849420849419E-6</v>
      </c>
      <c r="N244" s="43">
        <f t="shared" si="124"/>
        <v>1.5946460746460745E-8</v>
      </c>
      <c r="O244" s="43">
        <f t="shared" si="125"/>
        <v>1.0903898856840032E-2</v>
      </c>
      <c r="P244" s="43">
        <f t="shared" si="126"/>
        <v>1.3059096070860774E-3</v>
      </c>
      <c r="Q244" s="43">
        <v>229.36</v>
      </c>
      <c r="R244" s="43">
        <f t="shared" si="127"/>
        <v>5.1444923915512154E-4</v>
      </c>
      <c r="S244" s="43">
        <f t="shared" si="128"/>
        <v>6.2789189189189187E-2</v>
      </c>
      <c r="T244" s="43">
        <f t="shared" si="129"/>
        <v>0.12557837837837837</v>
      </c>
      <c r="U244" s="43">
        <f t="shared" si="130"/>
        <v>3.1711711711711707E-7</v>
      </c>
      <c r="V244" s="43">
        <f t="shared" si="131"/>
        <v>1.9933075933075932E-8</v>
      </c>
      <c r="W244" s="43">
        <f t="shared" si="132"/>
        <v>2.2651222651222648E-7</v>
      </c>
      <c r="X244" s="43">
        <f t="shared" si="133"/>
        <v>2.2651222651222649E-16</v>
      </c>
      <c r="Y244" s="205">
        <f t="shared" si="134"/>
        <v>9.3091803802861683</v>
      </c>
    </row>
    <row r="245" spans="1:25">
      <c r="A245" t="s">
        <v>917</v>
      </c>
      <c r="D245">
        <v>1</v>
      </c>
      <c r="E245">
        <v>1.2</v>
      </c>
      <c r="H245" s="1">
        <f t="shared" si="105"/>
        <v>0</v>
      </c>
      <c r="I245" s="43">
        <f t="shared" si="119"/>
        <v>6.4889229343629337E-7</v>
      </c>
      <c r="J245" s="1">
        <f t="shared" si="120"/>
        <v>0</v>
      </c>
      <c r="K245" s="1">
        <f t="shared" si="121"/>
        <v>0</v>
      </c>
      <c r="L245" s="43">
        <f t="shared" si="122"/>
        <v>2.3919691119691116E-6</v>
      </c>
      <c r="M245" s="43">
        <f t="shared" si="123"/>
        <v>1.1660849420849419E-6</v>
      </c>
      <c r="N245" s="43">
        <f t="shared" si="124"/>
        <v>1.5946460746460745E-8</v>
      </c>
      <c r="O245" s="43">
        <f t="shared" si="125"/>
        <v>1.0903898856840032E-2</v>
      </c>
      <c r="P245" s="43">
        <f t="shared" si="126"/>
        <v>1.3059096070860774E-3</v>
      </c>
      <c r="Q245" s="43">
        <v>230.36</v>
      </c>
      <c r="R245" s="43">
        <f t="shared" si="127"/>
        <v>5.1444923915512154E-4</v>
      </c>
      <c r="S245" s="43">
        <f t="shared" si="128"/>
        <v>6.2789189189189187E-2</v>
      </c>
      <c r="T245" s="43">
        <f t="shared" si="129"/>
        <v>0.12557837837837837</v>
      </c>
      <c r="U245" s="43">
        <f t="shared" si="130"/>
        <v>3.1711711711711707E-7</v>
      </c>
      <c r="V245" s="43">
        <f t="shared" si="131"/>
        <v>1.9933075933075932E-8</v>
      </c>
      <c r="W245" s="43">
        <f t="shared" si="132"/>
        <v>2.2651222651222648E-7</v>
      </c>
      <c r="X245" s="43">
        <f t="shared" si="133"/>
        <v>2.2651222651222649E-16</v>
      </c>
      <c r="Y245" s="205">
        <f t="shared" si="134"/>
        <v>9.3491803802861693</v>
      </c>
    </row>
    <row r="246" spans="1:25">
      <c r="A246" t="s">
        <v>918</v>
      </c>
      <c r="D246">
        <v>4</v>
      </c>
      <c r="E246">
        <v>1.2</v>
      </c>
      <c r="H246" s="1">
        <f t="shared" si="105"/>
        <v>0</v>
      </c>
      <c r="I246" s="43">
        <f t="shared" si="119"/>
        <v>2.5955691737451735E-6</v>
      </c>
      <c r="J246" s="1">
        <f t="shared" si="120"/>
        <v>0</v>
      </c>
      <c r="K246" s="1">
        <f t="shared" si="121"/>
        <v>0</v>
      </c>
      <c r="L246" s="43">
        <f t="shared" si="122"/>
        <v>9.5678764478764463E-6</v>
      </c>
      <c r="M246" s="43">
        <f t="shared" si="123"/>
        <v>4.6643397683397676E-6</v>
      </c>
      <c r="N246" s="43">
        <f t="shared" si="124"/>
        <v>6.3785842985842982E-8</v>
      </c>
      <c r="O246" s="43">
        <f t="shared" si="125"/>
        <v>1.0903898856840032E-2</v>
      </c>
      <c r="P246" s="43">
        <f t="shared" si="126"/>
        <v>5.2236384283443097E-3</v>
      </c>
      <c r="Q246" s="43">
        <v>231.36</v>
      </c>
      <c r="R246" s="43">
        <f t="shared" si="127"/>
        <v>2.0577969566204861E-3</v>
      </c>
      <c r="S246" s="43">
        <f t="shared" si="128"/>
        <v>0.25115675675675675</v>
      </c>
      <c r="T246" s="43">
        <f t="shared" si="129"/>
        <v>0.5023135135135135</v>
      </c>
      <c r="U246" s="43">
        <f t="shared" si="130"/>
        <v>1.2684684684684683E-6</v>
      </c>
      <c r="V246" s="43">
        <f t="shared" si="131"/>
        <v>7.9732303732303727E-8</v>
      </c>
      <c r="W246" s="43">
        <f t="shared" si="132"/>
        <v>9.0604890604890593E-7</v>
      </c>
      <c r="X246" s="43">
        <f t="shared" si="133"/>
        <v>9.0604890604890594E-16</v>
      </c>
      <c r="Y246" s="205">
        <f t="shared" si="134"/>
        <v>9.7863249478991605</v>
      </c>
    </row>
    <row r="247" spans="1:25">
      <c r="A247" t="s">
        <v>637</v>
      </c>
      <c r="D247">
        <v>24</v>
      </c>
      <c r="E247">
        <v>1.2</v>
      </c>
      <c r="H247" s="1">
        <f t="shared" si="105"/>
        <v>0</v>
      </c>
      <c r="I247" s="43">
        <f t="shared" si="119"/>
        <v>1.5573415042471042E-5</v>
      </c>
      <c r="J247" s="1">
        <f t="shared" si="120"/>
        <v>0</v>
      </c>
      <c r="K247" s="1">
        <f t="shared" si="121"/>
        <v>0</v>
      </c>
      <c r="L247" s="43">
        <f t="shared" si="122"/>
        <v>5.7407258687258681E-5</v>
      </c>
      <c r="M247" s="43">
        <f t="shared" si="123"/>
        <v>2.7986038610038607E-5</v>
      </c>
      <c r="N247" s="43">
        <f t="shared" si="124"/>
        <v>3.8271505791505789E-7</v>
      </c>
      <c r="O247" s="43">
        <f t="shared" si="125"/>
        <v>1.0903898856840032E-2</v>
      </c>
      <c r="P247" s="43">
        <f t="shared" si="126"/>
        <v>3.1341830570065857E-2</v>
      </c>
      <c r="Q247" s="43">
        <v>232.36</v>
      </c>
      <c r="R247" s="43">
        <f t="shared" si="127"/>
        <v>1.2346781739722916E-2</v>
      </c>
      <c r="S247" s="43">
        <f t="shared" si="128"/>
        <v>1.5069405405405405</v>
      </c>
      <c r="T247" s="43">
        <f t="shared" si="129"/>
        <v>3.013881081081081</v>
      </c>
      <c r="U247" s="43">
        <f t="shared" si="130"/>
        <v>7.6108108108108097E-6</v>
      </c>
      <c r="V247" s="43">
        <f t="shared" si="131"/>
        <v>4.7839382239382234E-7</v>
      </c>
      <c r="W247" s="43">
        <f t="shared" si="132"/>
        <v>5.4362934362934354E-6</v>
      </c>
      <c r="X247" s="43">
        <f t="shared" si="133"/>
        <v>5.4362934362934361E-15</v>
      </c>
      <c r="Y247" s="205">
        <f t="shared" si="134"/>
        <v>12.473955398652434</v>
      </c>
    </row>
    <row r="248" spans="1:25">
      <c r="A248" t="s">
        <v>919</v>
      </c>
      <c r="D248">
        <v>5741</v>
      </c>
      <c r="E248">
        <v>1.2</v>
      </c>
      <c r="H248" s="1">
        <f t="shared" si="105"/>
        <v>0</v>
      </c>
      <c r="I248" s="43">
        <f t="shared" si="119"/>
        <v>3.7252906566177602E-3</v>
      </c>
      <c r="J248" s="1">
        <f t="shared" si="120"/>
        <v>0</v>
      </c>
      <c r="K248" s="1">
        <f t="shared" si="121"/>
        <v>0</v>
      </c>
      <c r="L248" s="43">
        <f t="shared" si="122"/>
        <v>1.3732294671814669E-2</v>
      </c>
      <c r="M248" s="43">
        <f t="shared" si="123"/>
        <v>6.6944936525096515E-3</v>
      </c>
      <c r="N248" s="43">
        <f t="shared" si="124"/>
        <v>9.1548631145431137E-5</v>
      </c>
      <c r="O248" s="43">
        <f t="shared" si="125"/>
        <v>1.0903898856840032E-2</v>
      </c>
      <c r="P248" s="43">
        <f t="shared" si="126"/>
        <v>7.4972270542811703</v>
      </c>
      <c r="Q248" s="43">
        <v>233.36</v>
      </c>
      <c r="R248" s="43">
        <f t="shared" si="127"/>
        <v>2.9534530819895526</v>
      </c>
      <c r="S248" s="43">
        <f t="shared" si="128"/>
        <v>360.47273513513511</v>
      </c>
      <c r="T248" s="43">
        <f t="shared" si="129"/>
        <v>720.94547027027022</v>
      </c>
      <c r="U248" s="43">
        <f t="shared" si="130"/>
        <v>1.820569369369369E-3</v>
      </c>
      <c r="V248" s="43">
        <f t="shared" si="131"/>
        <v>1.1443578893178893E-4</v>
      </c>
      <c r="W248" s="43">
        <f t="shared" si="132"/>
        <v>1.3004066924066921E-3</v>
      </c>
      <c r="X248" s="43">
        <f t="shared" si="133"/>
        <v>1.3004066924066922E-12</v>
      </c>
      <c r="Y248" s="205">
        <f t="shared" si="134"/>
        <v>769.33911974647572</v>
      </c>
    </row>
    <row r="249" spans="1:25">
      <c r="A249" t="s">
        <v>920</v>
      </c>
      <c r="D249">
        <v>5245</v>
      </c>
      <c r="E249">
        <v>1.2</v>
      </c>
      <c r="H249" s="1">
        <f t="shared" si="105"/>
        <v>0</v>
      </c>
      <c r="I249" s="43">
        <f t="shared" si="119"/>
        <v>3.4034400790733587E-3</v>
      </c>
      <c r="J249" s="1">
        <f t="shared" si="120"/>
        <v>0</v>
      </c>
      <c r="K249" s="1">
        <f t="shared" si="121"/>
        <v>0</v>
      </c>
      <c r="L249" s="43">
        <f t="shared" si="122"/>
        <v>1.2545877992277989E-2</v>
      </c>
      <c r="M249" s="43">
        <f t="shared" si="123"/>
        <v>6.1161155212355201E-3</v>
      </c>
      <c r="N249" s="43">
        <f t="shared" si="124"/>
        <v>8.3639186615186605E-5</v>
      </c>
      <c r="O249" s="43">
        <f t="shared" si="125"/>
        <v>1.0903898856840032E-2</v>
      </c>
      <c r="P249" s="43">
        <f t="shared" si="126"/>
        <v>6.8494958891664766</v>
      </c>
      <c r="Q249" s="43">
        <v>234.36</v>
      </c>
      <c r="R249" s="43">
        <f t="shared" si="127"/>
        <v>2.6982862593686123</v>
      </c>
      <c r="S249" s="43">
        <f t="shared" si="128"/>
        <v>329.32929729729727</v>
      </c>
      <c r="T249" s="43">
        <f t="shared" si="129"/>
        <v>658.65859459459455</v>
      </c>
      <c r="U249" s="43">
        <f t="shared" si="130"/>
        <v>1.6632792792792791E-3</v>
      </c>
      <c r="V249" s="43">
        <f t="shared" si="131"/>
        <v>1.0454898326898326E-4</v>
      </c>
      <c r="W249" s="43">
        <f t="shared" si="132"/>
        <v>1.1880566280566278E-3</v>
      </c>
      <c r="X249" s="43">
        <f t="shared" si="133"/>
        <v>1.188056628056628E-12</v>
      </c>
      <c r="Y249" s="205">
        <f t="shared" si="134"/>
        <v>703.71788456779461</v>
      </c>
    </row>
    <row r="250" spans="1:25">
      <c r="A250" t="s">
        <v>921</v>
      </c>
      <c r="D250">
        <v>4240</v>
      </c>
      <c r="E250">
        <v>1.2</v>
      </c>
      <c r="H250" s="1">
        <f t="shared" ref="H250:H287" si="135">F250*0.000179</f>
        <v>0</v>
      </c>
      <c r="I250" s="43">
        <f t="shared" si="119"/>
        <v>2.7513033241698837E-3</v>
      </c>
      <c r="J250" s="1">
        <f t="shared" si="120"/>
        <v>0</v>
      </c>
      <c r="K250" s="1">
        <f t="shared" si="121"/>
        <v>0</v>
      </c>
      <c r="L250" s="43">
        <f t="shared" ref="L250:L281" si="136">CO2_malnutrition_charfact*D250</f>
        <v>1.0141949034749033E-2</v>
      </c>
      <c r="M250" s="43">
        <f t="shared" ref="M250:M281" si="137">CO2_workingcapacity_charfact*D250</f>
        <v>4.9442001544401535E-3</v>
      </c>
      <c r="N250" s="43">
        <f t="shared" ref="N250:N281" si="138">CO2_diarrhea_charfact*D250</f>
        <v>6.761299356499356E-5</v>
      </c>
      <c r="O250" s="43">
        <f t="shared" ref="O250:O281" si="139">CO2_crop_charfact</f>
        <v>1.0903898856840032E-2</v>
      </c>
      <c r="P250" s="43">
        <f t="shared" ref="P250:P281" si="140">CO2_fruitandveg_charfact*D250</f>
        <v>5.5370567340449686</v>
      </c>
      <c r="Q250" s="43">
        <v>235.36</v>
      </c>
      <c r="R250" s="43">
        <f t="shared" ref="R250:R281" si="141">CO2_meatandfish_charfact*D250</f>
        <v>2.1812647740177153</v>
      </c>
      <c r="S250" s="43">
        <f t="shared" ref="S250:S281" si="142">CO2_drinkingwater_charfact*D250</f>
        <v>266.22616216216215</v>
      </c>
      <c r="T250" s="43">
        <f t="shared" ref="T250:T281" si="143">CO2_irrigationwater_charfact*D250</f>
        <v>532.45232432432431</v>
      </c>
      <c r="U250" s="43">
        <f t="shared" ref="U250:U281" si="144">CO2_energyaccess_charfact*D250</f>
        <v>1.3445765765765763E-3</v>
      </c>
      <c r="V250" s="43">
        <f t="shared" ref="V250:V281" si="145">CO2_housing_charfact*D250</f>
        <v>8.451624195624195E-5</v>
      </c>
      <c r="W250" s="43">
        <f t="shared" ref="W250:W281" si="146">CO2_separations_charfact*D250</f>
        <v>9.6041184041184026E-4</v>
      </c>
      <c r="X250" s="43">
        <f t="shared" ref="X250:X281" si="147">CO2_NEX_charfact*D250</f>
        <v>9.6041184041184034E-13</v>
      </c>
      <c r="Y250" s="205">
        <f t="shared" ref="Y250:Y281" si="148">(H250+I250)*YOLLvalue+J250*skincancervalue+K250*Lowvisionvalue+L250*malnutrition+M250*working_capacity+N250*diarrhea+O250*cropvalue+P250*Fruitandveg_value+Q250*woodvalue+R250*fishandmeatvalue+S250*drinkingwatervalue+T250*irrigationwatervalue+U250*energy_access+V250*housingvalue+W250*migrationvalue+X250*speciesvalue</f>
        <v>570.71445441744265</v>
      </c>
    </row>
    <row r="251" spans="1:25">
      <c r="A251" t="s">
        <v>288</v>
      </c>
      <c r="D251">
        <v>6300</v>
      </c>
      <c r="E251">
        <v>1.3</v>
      </c>
      <c r="H251" s="1">
        <f t="shared" si="135"/>
        <v>0</v>
      </c>
      <c r="I251" s="43">
        <f t="shared" si="119"/>
        <v>4.0880214486486485E-3</v>
      </c>
      <c r="J251" s="1">
        <f t="shared" si="120"/>
        <v>0</v>
      </c>
      <c r="K251" s="1">
        <f t="shared" si="121"/>
        <v>0</v>
      </c>
      <c r="L251" s="43">
        <f t="shared" si="136"/>
        <v>1.5069405405405403E-2</v>
      </c>
      <c r="M251" s="43">
        <f t="shared" si="137"/>
        <v>7.3463351351351338E-3</v>
      </c>
      <c r="N251" s="43">
        <f t="shared" si="138"/>
        <v>1.004627027027027E-4</v>
      </c>
      <c r="O251" s="43">
        <f t="shared" si="139"/>
        <v>1.0903898856840032E-2</v>
      </c>
      <c r="P251" s="43">
        <f t="shared" si="140"/>
        <v>8.2272305246422874</v>
      </c>
      <c r="Q251" s="43">
        <v>236.36</v>
      </c>
      <c r="R251" s="43">
        <f t="shared" si="141"/>
        <v>3.2410302066772658</v>
      </c>
      <c r="S251" s="43">
        <f t="shared" si="142"/>
        <v>395.57189189189188</v>
      </c>
      <c r="T251" s="43">
        <f t="shared" si="143"/>
        <v>791.14378378378376</v>
      </c>
      <c r="U251" s="43">
        <f t="shared" si="144"/>
        <v>1.9978378378378374E-3</v>
      </c>
      <c r="V251" s="43">
        <f t="shared" si="145"/>
        <v>1.2557837837837838E-4</v>
      </c>
      <c r="W251" s="43">
        <f t="shared" si="146"/>
        <v>1.4270270270270269E-3</v>
      </c>
      <c r="X251" s="43">
        <f t="shared" si="147"/>
        <v>1.4270270270270268E-12</v>
      </c>
      <c r="Y251" s="205">
        <f t="shared" si="148"/>
        <v>843.46039084502968</v>
      </c>
    </row>
    <row r="252" spans="1:25">
      <c r="A252" s="45" t="s">
        <v>289</v>
      </c>
      <c r="D252">
        <v>12500</v>
      </c>
      <c r="E252">
        <v>1.3</v>
      </c>
      <c r="H252" s="1">
        <f t="shared" si="135"/>
        <v>0</v>
      </c>
      <c r="I252" s="43">
        <f t="shared" si="119"/>
        <v>8.1111536679536675E-3</v>
      </c>
      <c r="J252" s="1">
        <f t="shared" si="120"/>
        <v>0</v>
      </c>
      <c r="K252" s="1">
        <f t="shared" si="121"/>
        <v>0</v>
      </c>
      <c r="L252" s="43">
        <f t="shared" si="136"/>
        <v>2.9899613899613896E-2</v>
      </c>
      <c r="M252" s="43">
        <f t="shared" si="137"/>
        <v>1.4576061776061773E-2</v>
      </c>
      <c r="N252" s="43">
        <f t="shared" si="138"/>
        <v>1.9933075933075933E-4</v>
      </c>
      <c r="O252" s="43">
        <f t="shared" si="139"/>
        <v>1.0903898856840032E-2</v>
      </c>
      <c r="P252" s="43">
        <f t="shared" si="140"/>
        <v>16.323870088575969</v>
      </c>
      <c r="Q252" s="43">
        <v>237.36</v>
      </c>
      <c r="R252" s="43">
        <f t="shared" si="141"/>
        <v>6.4306154894390195</v>
      </c>
      <c r="S252" s="43">
        <f t="shared" si="142"/>
        <v>784.86486486486478</v>
      </c>
      <c r="T252" s="43">
        <f t="shared" si="143"/>
        <v>1569.7297297297296</v>
      </c>
      <c r="U252" s="43">
        <f t="shared" si="144"/>
        <v>3.9639639639639634E-3</v>
      </c>
      <c r="V252" s="43">
        <f t="shared" si="145"/>
        <v>2.4916344916344916E-4</v>
      </c>
      <c r="W252" s="43">
        <f t="shared" si="146"/>
        <v>2.8314028314028309E-3</v>
      </c>
      <c r="X252" s="43">
        <f t="shared" si="147"/>
        <v>2.831402831402831E-12</v>
      </c>
      <c r="Y252" s="205">
        <f t="shared" si="148"/>
        <v>1664.2658305785444</v>
      </c>
    </row>
    <row r="253" spans="1:25">
      <c r="A253" s="45" t="s">
        <v>290</v>
      </c>
      <c r="D253">
        <v>9100</v>
      </c>
      <c r="E253">
        <v>1.3</v>
      </c>
      <c r="H253" s="1">
        <f t="shared" si="135"/>
        <v>0</v>
      </c>
      <c r="I253" s="43">
        <f t="shared" si="119"/>
        <v>5.9049198702702697E-3</v>
      </c>
      <c r="J253" s="1">
        <f t="shared" si="120"/>
        <v>0</v>
      </c>
      <c r="K253" s="1">
        <f t="shared" si="121"/>
        <v>0</v>
      </c>
      <c r="L253" s="43">
        <f t="shared" si="136"/>
        <v>2.1766918918918916E-2</v>
      </c>
      <c r="M253" s="43">
        <f t="shared" si="137"/>
        <v>1.061137297297297E-2</v>
      </c>
      <c r="N253" s="43">
        <f t="shared" si="138"/>
        <v>1.4511279279279279E-4</v>
      </c>
      <c r="O253" s="43">
        <f t="shared" si="139"/>
        <v>1.0903898856840032E-2</v>
      </c>
      <c r="P253" s="43">
        <f t="shared" si="140"/>
        <v>11.883777424483304</v>
      </c>
      <c r="Q253" s="43">
        <v>238.36</v>
      </c>
      <c r="R253" s="43">
        <f t="shared" si="141"/>
        <v>4.6814880763116058</v>
      </c>
      <c r="S253" s="43">
        <f t="shared" si="142"/>
        <v>571.38162162162166</v>
      </c>
      <c r="T253" s="43">
        <f t="shared" si="143"/>
        <v>1142.7632432432433</v>
      </c>
      <c r="U253" s="43">
        <f t="shared" si="144"/>
        <v>2.8857657657657652E-3</v>
      </c>
      <c r="V253" s="43">
        <f t="shared" si="145"/>
        <v>1.8139099099099098E-4</v>
      </c>
      <c r="W253" s="43">
        <f t="shared" si="146"/>
        <v>2.0612612612612609E-3</v>
      </c>
      <c r="X253" s="43">
        <f t="shared" si="147"/>
        <v>2.0612612612612611E-12</v>
      </c>
      <c r="Y253" s="205">
        <f t="shared" si="148"/>
        <v>1214.208653950488</v>
      </c>
    </row>
    <row r="254" spans="1:25">
      <c r="A254" s="45" t="s">
        <v>291</v>
      </c>
      <c r="D254">
        <v>6800</v>
      </c>
      <c r="E254">
        <v>1.3</v>
      </c>
      <c r="H254" s="1">
        <f t="shared" si="135"/>
        <v>0</v>
      </c>
      <c r="I254" s="43">
        <f t="shared" si="119"/>
        <v>4.4124675953667947E-3</v>
      </c>
      <c r="J254" s="1">
        <f t="shared" si="120"/>
        <v>0</v>
      </c>
      <c r="K254" s="1">
        <f t="shared" si="121"/>
        <v>0</v>
      </c>
      <c r="L254" s="43">
        <f t="shared" si="136"/>
        <v>1.6265389961389959E-2</v>
      </c>
      <c r="M254" s="43">
        <f t="shared" si="137"/>
        <v>7.9293776061776042E-3</v>
      </c>
      <c r="N254" s="43">
        <f t="shared" si="138"/>
        <v>1.0843593307593307E-4</v>
      </c>
      <c r="O254" s="43">
        <f t="shared" si="139"/>
        <v>1.0903898856840032E-2</v>
      </c>
      <c r="P254" s="43">
        <f t="shared" si="140"/>
        <v>8.8801853281853269</v>
      </c>
      <c r="Q254" s="43">
        <v>239.36</v>
      </c>
      <c r="R254" s="43">
        <f t="shared" si="141"/>
        <v>3.4982548262548265</v>
      </c>
      <c r="S254" s="43">
        <f t="shared" si="142"/>
        <v>426.96648648648647</v>
      </c>
      <c r="T254" s="43">
        <f t="shared" si="143"/>
        <v>853.93297297297295</v>
      </c>
      <c r="U254" s="43">
        <f t="shared" si="144"/>
        <v>2.1563963963963963E-3</v>
      </c>
      <c r="V254" s="43">
        <f t="shared" si="145"/>
        <v>1.3554491634491634E-4</v>
      </c>
      <c r="W254" s="43">
        <f t="shared" si="146"/>
        <v>1.5402831402831401E-3</v>
      </c>
      <c r="X254" s="43">
        <f t="shared" si="147"/>
        <v>1.54028314028314E-12</v>
      </c>
      <c r="Y254" s="205">
        <f t="shared" si="148"/>
        <v>909.7711521138616</v>
      </c>
    </row>
    <row r="255" spans="1:25">
      <c r="A255" s="45" t="s">
        <v>932</v>
      </c>
      <c r="D255">
        <v>100</v>
      </c>
      <c r="E255">
        <v>3</v>
      </c>
      <c r="F255">
        <v>1</v>
      </c>
      <c r="H255" s="1">
        <f t="shared" si="135"/>
        <v>1.7899999999999999E-4</v>
      </c>
      <c r="I255" s="43">
        <f t="shared" si="119"/>
        <v>6.4889229343629342E-5</v>
      </c>
      <c r="J255" s="1">
        <f t="shared" si="120"/>
        <v>1.33E-6</v>
      </c>
      <c r="K255" s="1">
        <f t="shared" si="121"/>
        <v>2.6600000000000001E-4</v>
      </c>
      <c r="L255" s="43">
        <f t="shared" si="136"/>
        <v>2.3919691119691117E-4</v>
      </c>
      <c r="M255" s="43">
        <f t="shared" si="137"/>
        <v>1.1660849420849419E-4</v>
      </c>
      <c r="N255" s="43">
        <f t="shared" si="138"/>
        <v>1.5946460746460746E-6</v>
      </c>
      <c r="O255" s="43">
        <f t="shared" si="139"/>
        <v>1.0903898856840032E-2</v>
      </c>
      <c r="P255" s="43">
        <f t="shared" si="140"/>
        <v>0.13059096070860773</v>
      </c>
      <c r="Q255" s="43">
        <v>240.36</v>
      </c>
      <c r="R255" s="43">
        <f t="shared" si="141"/>
        <v>5.1444923915512156E-2</v>
      </c>
      <c r="S255" s="43">
        <f t="shared" si="142"/>
        <v>6.2789189189189187</v>
      </c>
      <c r="T255" s="43">
        <f t="shared" si="143"/>
        <v>12.557837837837837</v>
      </c>
      <c r="U255" s="43">
        <f t="shared" si="144"/>
        <v>3.1711711711711709E-5</v>
      </c>
      <c r="V255" s="43">
        <f t="shared" si="145"/>
        <v>1.9933075933075932E-6</v>
      </c>
      <c r="W255" s="43">
        <f t="shared" si="146"/>
        <v>2.2651222651222648E-5</v>
      </c>
      <c r="X255" s="43">
        <f t="shared" si="147"/>
        <v>2.2651222651222648E-14</v>
      </c>
      <c r="Y255" s="205">
        <f t="shared" si="148"/>
        <v>34.069276111514874</v>
      </c>
    </row>
    <row r="256" spans="1:25" ht="14">
      <c r="A256" s="47" t="s">
        <v>933</v>
      </c>
      <c r="D256">
        <v>100</v>
      </c>
      <c r="E256">
        <v>3</v>
      </c>
      <c r="F256" s="47">
        <v>0.5</v>
      </c>
      <c r="G256" s="47">
        <v>1.5</v>
      </c>
      <c r="H256" s="1">
        <f t="shared" si="135"/>
        <v>8.9499999999999994E-5</v>
      </c>
      <c r="I256" s="43">
        <f t="shared" si="119"/>
        <v>6.4889229343629342E-5</v>
      </c>
      <c r="J256" s="1">
        <f t="shared" si="120"/>
        <v>6.6499999999999999E-7</v>
      </c>
      <c r="K256" s="1">
        <f t="shared" si="121"/>
        <v>1.3300000000000001E-4</v>
      </c>
      <c r="L256" s="43">
        <f t="shared" si="136"/>
        <v>2.3919691119691117E-4</v>
      </c>
      <c r="M256" s="43">
        <f t="shared" si="137"/>
        <v>1.1660849420849419E-4</v>
      </c>
      <c r="N256" s="43">
        <f t="shared" si="138"/>
        <v>1.5946460746460746E-6</v>
      </c>
      <c r="O256" s="43">
        <f t="shared" si="139"/>
        <v>1.0903898856840032E-2</v>
      </c>
      <c r="P256" s="43">
        <f t="shared" si="140"/>
        <v>0.13059096070860773</v>
      </c>
      <c r="Q256" s="43">
        <v>241.36</v>
      </c>
      <c r="R256" s="43">
        <f t="shared" si="141"/>
        <v>5.1444923915512156E-2</v>
      </c>
      <c r="S256" s="43">
        <f t="shared" si="142"/>
        <v>6.2789189189189187</v>
      </c>
      <c r="T256" s="43">
        <f t="shared" si="143"/>
        <v>12.557837837837837</v>
      </c>
      <c r="U256" s="43">
        <f t="shared" si="144"/>
        <v>3.1711711711711709E-5</v>
      </c>
      <c r="V256" s="43">
        <f t="shared" si="145"/>
        <v>1.9933075933075932E-6</v>
      </c>
      <c r="W256" s="43">
        <f t="shared" si="146"/>
        <v>2.2651222651222648E-5</v>
      </c>
      <c r="X256" s="43">
        <f t="shared" si="147"/>
        <v>2.2651222651222648E-14</v>
      </c>
      <c r="Y256" s="205">
        <f t="shared" si="148"/>
        <v>28.502113611514872</v>
      </c>
    </row>
    <row r="257" spans="1:25" ht="14">
      <c r="A257" s="47" t="s">
        <v>934</v>
      </c>
      <c r="D257">
        <v>100</v>
      </c>
      <c r="E257">
        <v>3</v>
      </c>
      <c r="F257" s="47">
        <v>1.1000000000000001</v>
      </c>
      <c r="G257" s="47">
        <v>1.5</v>
      </c>
      <c r="H257" s="1">
        <f t="shared" si="135"/>
        <v>1.9689999999999999E-4</v>
      </c>
      <c r="I257" s="43">
        <f t="shared" si="119"/>
        <v>6.4889229343629342E-5</v>
      </c>
      <c r="J257" s="1">
        <f t="shared" si="120"/>
        <v>1.463E-6</v>
      </c>
      <c r="K257" s="1">
        <f t="shared" si="121"/>
        <v>2.9260000000000006E-4</v>
      </c>
      <c r="L257" s="43">
        <f t="shared" si="136"/>
        <v>2.3919691119691117E-4</v>
      </c>
      <c r="M257" s="43">
        <f t="shared" si="137"/>
        <v>1.1660849420849419E-4</v>
      </c>
      <c r="N257" s="43">
        <f t="shared" si="138"/>
        <v>1.5946460746460746E-6</v>
      </c>
      <c r="O257" s="43">
        <f t="shared" si="139"/>
        <v>1.0903898856840032E-2</v>
      </c>
      <c r="P257" s="43">
        <f t="shared" si="140"/>
        <v>0.13059096070860773</v>
      </c>
      <c r="Q257" s="43">
        <v>242.36</v>
      </c>
      <c r="R257" s="43">
        <f t="shared" si="141"/>
        <v>5.1444923915512156E-2</v>
      </c>
      <c r="S257" s="43">
        <f t="shared" si="142"/>
        <v>6.2789189189189187</v>
      </c>
      <c r="T257" s="43">
        <f t="shared" si="143"/>
        <v>12.557837837837837</v>
      </c>
      <c r="U257" s="43">
        <f t="shared" si="144"/>
        <v>3.1711711711711709E-5</v>
      </c>
      <c r="V257" s="43">
        <f t="shared" si="145"/>
        <v>1.9933075933075932E-6</v>
      </c>
      <c r="W257" s="43">
        <f t="shared" si="146"/>
        <v>2.2651222651222648E-5</v>
      </c>
      <c r="X257" s="43">
        <f t="shared" si="147"/>
        <v>2.2651222651222648E-14</v>
      </c>
      <c r="Y257" s="205">
        <f t="shared" si="148"/>
        <v>35.27070861151487</v>
      </c>
    </row>
    <row r="258" spans="1:25" ht="14">
      <c r="A258" s="47" t="s">
        <v>935</v>
      </c>
      <c r="D258">
        <v>100</v>
      </c>
      <c r="E258">
        <v>3</v>
      </c>
      <c r="F258" s="47">
        <v>1</v>
      </c>
      <c r="G258" s="47">
        <v>1.5</v>
      </c>
      <c r="H258" s="1">
        <f t="shared" si="135"/>
        <v>1.7899999999999999E-4</v>
      </c>
      <c r="I258" s="43">
        <f t="shared" si="119"/>
        <v>6.4889229343629342E-5</v>
      </c>
      <c r="J258" s="1">
        <f t="shared" si="120"/>
        <v>1.33E-6</v>
      </c>
      <c r="K258" s="1">
        <f t="shared" si="121"/>
        <v>2.6600000000000001E-4</v>
      </c>
      <c r="L258" s="43">
        <f t="shared" si="136"/>
        <v>2.3919691119691117E-4</v>
      </c>
      <c r="M258" s="43">
        <f t="shared" si="137"/>
        <v>1.1660849420849419E-4</v>
      </c>
      <c r="N258" s="43">
        <f t="shared" si="138"/>
        <v>1.5946460746460746E-6</v>
      </c>
      <c r="O258" s="43">
        <f t="shared" si="139"/>
        <v>1.0903898856840032E-2</v>
      </c>
      <c r="P258" s="43">
        <f t="shared" si="140"/>
        <v>0.13059096070860773</v>
      </c>
      <c r="Q258" s="43">
        <v>243.36</v>
      </c>
      <c r="R258" s="43">
        <f t="shared" si="141"/>
        <v>5.1444923915512156E-2</v>
      </c>
      <c r="S258" s="43">
        <f t="shared" si="142"/>
        <v>6.2789189189189187</v>
      </c>
      <c r="T258" s="43">
        <f t="shared" si="143"/>
        <v>12.557837837837837</v>
      </c>
      <c r="U258" s="43">
        <f t="shared" si="144"/>
        <v>3.1711711711711709E-5</v>
      </c>
      <c r="V258" s="43">
        <f t="shared" si="145"/>
        <v>1.9933075933075932E-6</v>
      </c>
      <c r="W258" s="43">
        <f t="shared" si="146"/>
        <v>2.2651222651222648E-5</v>
      </c>
      <c r="X258" s="43">
        <f t="shared" si="147"/>
        <v>2.2651222651222648E-14</v>
      </c>
      <c r="Y258" s="205">
        <f t="shared" si="148"/>
        <v>34.189276111514872</v>
      </c>
    </row>
    <row r="259" spans="1:25" ht="14">
      <c r="A259" s="47" t="s">
        <v>936</v>
      </c>
      <c r="D259">
        <v>100</v>
      </c>
      <c r="E259">
        <v>3</v>
      </c>
      <c r="F259" s="47">
        <v>0.9</v>
      </c>
      <c r="G259" s="47">
        <v>1.5</v>
      </c>
      <c r="H259" s="1">
        <f t="shared" si="135"/>
        <v>1.6109999999999999E-4</v>
      </c>
      <c r="I259" s="43">
        <f t="shared" si="119"/>
        <v>6.4889229343629342E-5</v>
      </c>
      <c r="J259" s="1">
        <f t="shared" si="120"/>
        <v>1.1969999999999999E-6</v>
      </c>
      <c r="K259" s="1">
        <f t="shared" si="121"/>
        <v>2.3940000000000002E-4</v>
      </c>
      <c r="L259" s="43">
        <f t="shared" si="136"/>
        <v>2.3919691119691117E-4</v>
      </c>
      <c r="M259" s="43">
        <f t="shared" si="137"/>
        <v>1.1660849420849419E-4</v>
      </c>
      <c r="N259" s="43">
        <f t="shared" si="138"/>
        <v>1.5946460746460746E-6</v>
      </c>
      <c r="O259" s="43">
        <f t="shared" si="139"/>
        <v>1.0903898856840032E-2</v>
      </c>
      <c r="P259" s="43">
        <f t="shared" si="140"/>
        <v>0.13059096070860773</v>
      </c>
      <c r="Q259" s="43">
        <v>244.36</v>
      </c>
      <c r="R259" s="43">
        <f t="shared" si="141"/>
        <v>5.1444923915512156E-2</v>
      </c>
      <c r="S259" s="43">
        <f t="shared" si="142"/>
        <v>6.2789189189189187</v>
      </c>
      <c r="T259" s="43">
        <f t="shared" si="143"/>
        <v>12.557837837837837</v>
      </c>
      <c r="U259" s="43">
        <f t="shared" si="144"/>
        <v>3.1711711711711709E-5</v>
      </c>
      <c r="V259" s="43">
        <f t="shared" si="145"/>
        <v>1.9933075933075932E-6</v>
      </c>
      <c r="W259" s="43">
        <f t="shared" si="146"/>
        <v>2.2651222651222648E-5</v>
      </c>
      <c r="X259" s="43">
        <f t="shared" si="147"/>
        <v>2.2651222651222648E-14</v>
      </c>
      <c r="Y259" s="205">
        <f t="shared" si="148"/>
        <v>33.107843611514873</v>
      </c>
    </row>
    <row r="260" spans="1:25" ht="14">
      <c r="A260" s="47" t="s">
        <v>937</v>
      </c>
      <c r="D260">
        <v>100</v>
      </c>
      <c r="E260">
        <v>3</v>
      </c>
      <c r="F260" s="47">
        <v>0.5</v>
      </c>
      <c r="G260" s="47">
        <v>2</v>
      </c>
      <c r="H260" s="1">
        <f t="shared" si="135"/>
        <v>8.9499999999999994E-5</v>
      </c>
      <c r="I260" s="43">
        <f t="shared" ref="I260:I287" si="149">charco2yoll*D260</f>
        <v>6.4889229343629342E-5</v>
      </c>
      <c r="J260" s="1">
        <f t="shared" si="120"/>
        <v>6.6499999999999999E-7</v>
      </c>
      <c r="K260" s="1">
        <f t="shared" si="121"/>
        <v>1.3300000000000001E-4</v>
      </c>
      <c r="L260" s="43">
        <f t="shared" si="136"/>
        <v>2.3919691119691117E-4</v>
      </c>
      <c r="M260" s="43">
        <f t="shared" si="137"/>
        <v>1.1660849420849419E-4</v>
      </c>
      <c r="N260" s="43">
        <f t="shared" si="138"/>
        <v>1.5946460746460746E-6</v>
      </c>
      <c r="O260" s="43">
        <f t="shared" si="139"/>
        <v>1.0903898856840032E-2</v>
      </c>
      <c r="P260" s="43">
        <f t="shared" si="140"/>
        <v>0.13059096070860773</v>
      </c>
      <c r="Q260" s="43">
        <v>245.36</v>
      </c>
      <c r="R260" s="43">
        <f t="shared" si="141"/>
        <v>5.1444923915512156E-2</v>
      </c>
      <c r="S260" s="43">
        <f t="shared" si="142"/>
        <v>6.2789189189189187</v>
      </c>
      <c r="T260" s="43">
        <f t="shared" si="143"/>
        <v>12.557837837837837</v>
      </c>
      <c r="U260" s="43">
        <f t="shared" si="144"/>
        <v>3.1711711711711709E-5</v>
      </c>
      <c r="V260" s="43">
        <f t="shared" si="145"/>
        <v>1.9933075933075932E-6</v>
      </c>
      <c r="W260" s="43">
        <f t="shared" si="146"/>
        <v>2.2651222651222648E-5</v>
      </c>
      <c r="X260" s="43">
        <f t="shared" si="147"/>
        <v>2.2651222651222648E-14</v>
      </c>
      <c r="Y260" s="205">
        <f t="shared" si="148"/>
        <v>28.662113611514876</v>
      </c>
    </row>
    <row r="261" spans="1:25" ht="14">
      <c r="A261" s="47" t="s">
        <v>938</v>
      </c>
      <c r="D261">
        <v>100</v>
      </c>
      <c r="E261">
        <v>3</v>
      </c>
      <c r="F261" s="47">
        <v>0.8</v>
      </c>
      <c r="G261" s="47">
        <v>2</v>
      </c>
      <c r="H261" s="1">
        <f t="shared" si="135"/>
        <v>1.4319999999999998E-4</v>
      </c>
      <c r="I261" s="43">
        <f t="shared" si="149"/>
        <v>6.4889229343629342E-5</v>
      </c>
      <c r="J261" s="1">
        <f t="shared" ref="J261:J287" si="150">F261*0.00000133</f>
        <v>1.0640000000000001E-6</v>
      </c>
      <c r="K261" s="1">
        <f t="shared" ref="K261:K287" si="151">F261*0.000266</f>
        <v>2.1280000000000002E-4</v>
      </c>
      <c r="L261" s="43">
        <f t="shared" si="136"/>
        <v>2.3919691119691117E-4</v>
      </c>
      <c r="M261" s="43">
        <f t="shared" si="137"/>
        <v>1.1660849420849419E-4</v>
      </c>
      <c r="N261" s="43">
        <f t="shared" si="138"/>
        <v>1.5946460746460746E-6</v>
      </c>
      <c r="O261" s="43">
        <f t="shared" si="139"/>
        <v>1.0903898856840032E-2</v>
      </c>
      <c r="P261" s="43">
        <f t="shared" si="140"/>
        <v>0.13059096070860773</v>
      </c>
      <c r="Q261" s="43">
        <v>246.36</v>
      </c>
      <c r="R261" s="43">
        <f t="shared" si="141"/>
        <v>5.1444923915512156E-2</v>
      </c>
      <c r="S261" s="43">
        <f t="shared" si="142"/>
        <v>6.2789189189189187</v>
      </c>
      <c r="T261" s="43">
        <f t="shared" si="143"/>
        <v>12.557837837837837</v>
      </c>
      <c r="U261" s="43">
        <f t="shared" si="144"/>
        <v>3.1711711711711709E-5</v>
      </c>
      <c r="V261" s="43">
        <f t="shared" si="145"/>
        <v>1.9933075933075932E-6</v>
      </c>
      <c r="W261" s="43">
        <f t="shared" si="146"/>
        <v>2.2651222651222648E-5</v>
      </c>
      <c r="X261" s="43">
        <f t="shared" si="147"/>
        <v>2.2651222651222648E-14</v>
      </c>
      <c r="Y261" s="205">
        <f t="shared" si="148"/>
        <v>32.066411111514874</v>
      </c>
    </row>
    <row r="262" spans="1:25" ht="14">
      <c r="A262" s="47" t="s">
        <v>939</v>
      </c>
      <c r="D262">
        <v>100</v>
      </c>
      <c r="E262">
        <v>3</v>
      </c>
      <c r="F262" s="47">
        <v>1.1000000000000001</v>
      </c>
      <c r="G262" s="47">
        <v>1.5</v>
      </c>
      <c r="H262" s="1">
        <f t="shared" si="135"/>
        <v>1.9689999999999999E-4</v>
      </c>
      <c r="I262" s="43">
        <f t="shared" si="149"/>
        <v>6.4889229343629342E-5</v>
      </c>
      <c r="J262" s="1">
        <f t="shared" si="150"/>
        <v>1.463E-6</v>
      </c>
      <c r="K262" s="1">
        <f t="shared" si="151"/>
        <v>2.9260000000000006E-4</v>
      </c>
      <c r="L262" s="43">
        <f t="shared" si="136"/>
        <v>2.3919691119691117E-4</v>
      </c>
      <c r="M262" s="43">
        <f t="shared" si="137"/>
        <v>1.1660849420849419E-4</v>
      </c>
      <c r="N262" s="43">
        <f t="shared" si="138"/>
        <v>1.5946460746460746E-6</v>
      </c>
      <c r="O262" s="43">
        <f t="shared" si="139"/>
        <v>1.0903898856840032E-2</v>
      </c>
      <c r="P262" s="43">
        <f t="shared" si="140"/>
        <v>0.13059096070860773</v>
      </c>
      <c r="Q262" s="43">
        <v>247.36</v>
      </c>
      <c r="R262" s="43">
        <f t="shared" si="141"/>
        <v>5.1444923915512156E-2</v>
      </c>
      <c r="S262" s="43">
        <f t="shared" si="142"/>
        <v>6.2789189189189187</v>
      </c>
      <c r="T262" s="43">
        <f t="shared" si="143"/>
        <v>12.557837837837837</v>
      </c>
      <c r="U262" s="43">
        <f t="shared" si="144"/>
        <v>3.1711711711711709E-5</v>
      </c>
      <c r="V262" s="43">
        <f t="shared" si="145"/>
        <v>1.9933075933075932E-6</v>
      </c>
      <c r="W262" s="43">
        <f t="shared" si="146"/>
        <v>2.2651222651222648E-5</v>
      </c>
      <c r="X262" s="43">
        <f t="shared" si="147"/>
        <v>2.2651222651222648E-14</v>
      </c>
      <c r="Y262" s="205">
        <f t="shared" si="148"/>
        <v>35.470708611514873</v>
      </c>
    </row>
    <row r="263" spans="1:25" ht="14">
      <c r="A263" s="47" t="s">
        <v>940</v>
      </c>
      <c r="D263">
        <v>100</v>
      </c>
      <c r="E263">
        <v>3</v>
      </c>
      <c r="F263" s="47">
        <v>0.8</v>
      </c>
      <c r="G263" s="47">
        <v>2</v>
      </c>
      <c r="H263" s="1">
        <f t="shared" si="135"/>
        <v>1.4319999999999998E-4</v>
      </c>
      <c r="I263" s="43">
        <f t="shared" si="149"/>
        <v>6.4889229343629342E-5</v>
      </c>
      <c r="J263" s="1">
        <f t="shared" si="150"/>
        <v>1.0640000000000001E-6</v>
      </c>
      <c r="K263" s="1">
        <f t="shared" si="151"/>
        <v>2.1280000000000002E-4</v>
      </c>
      <c r="L263" s="43">
        <f t="shared" si="136"/>
        <v>2.3919691119691117E-4</v>
      </c>
      <c r="M263" s="43">
        <f t="shared" si="137"/>
        <v>1.1660849420849419E-4</v>
      </c>
      <c r="N263" s="43">
        <f t="shared" si="138"/>
        <v>1.5946460746460746E-6</v>
      </c>
      <c r="O263" s="43">
        <f t="shared" si="139"/>
        <v>1.0903898856840032E-2</v>
      </c>
      <c r="P263" s="43">
        <f t="shared" si="140"/>
        <v>0.13059096070860773</v>
      </c>
      <c r="Q263" s="43">
        <v>248.36</v>
      </c>
      <c r="R263" s="43">
        <f t="shared" si="141"/>
        <v>5.1444923915512156E-2</v>
      </c>
      <c r="S263" s="43">
        <f t="shared" si="142"/>
        <v>6.2789189189189187</v>
      </c>
      <c r="T263" s="43">
        <f t="shared" si="143"/>
        <v>12.557837837837837</v>
      </c>
      <c r="U263" s="43">
        <f t="shared" si="144"/>
        <v>3.1711711711711709E-5</v>
      </c>
      <c r="V263" s="43">
        <f t="shared" si="145"/>
        <v>1.9933075933075932E-6</v>
      </c>
      <c r="W263" s="43">
        <f t="shared" si="146"/>
        <v>2.2651222651222648E-5</v>
      </c>
      <c r="X263" s="43">
        <f t="shared" si="147"/>
        <v>2.2651222651222648E-14</v>
      </c>
      <c r="Y263" s="205">
        <f t="shared" si="148"/>
        <v>32.146411111514873</v>
      </c>
    </row>
    <row r="264" spans="1:25" ht="14">
      <c r="A264" s="47" t="s">
        <v>941</v>
      </c>
      <c r="D264">
        <v>100</v>
      </c>
      <c r="E264">
        <v>3</v>
      </c>
      <c r="F264" s="47">
        <v>0.6</v>
      </c>
      <c r="G264" s="47">
        <v>2</v>
      </c>
      <c r="H264" s="1">
        <f t="shared" si="135"/>
        <v>1.0739999999999999E-4</v>
      </c>
      <c r="I264" s="43">
        <f t="shared" si="149"/>
        <v>6.4889229343629342E-5</v>
      </c>
      <c r="J264" s="1">
        <f t="shared" si="150"/>
        <v>7.9799999999999992E-7</v>
      </c>
      <c r="K264" s="1">
        <f t="shared" si="151"/>
        <v>1.596E-4</v>
      </c>
      <c r="L264" s="43">
        <f t="shared" si="136"/>
        <v>2.3919691119691117E-4</v>
      </c>
      <c r="M264" s="43">
        <f t="shared" si="137"/>
        <v>1.1660849420849419E-4</v>
      </c>
      <c r="N264" s="43">
        <f t="shared" si="138"/>
        <v>1.5946460746460746E-6</v>
      </c>
      <c r="O264" s="43">
        <f t="shared" si="139"/>
        <v>1.0903898856840032E-2</v>
      </c>
      <c r="P264" s="43">
        <f t="shared" si="140"/>
        <v>0.13059096070860773</v>
      </c>
      <c r="Q264" s="43">
        <v>249.36</v>
      </c>
      <c r="R264" s="43">
        <f t="shared" si="141"/>
        <v>5.1444923915512156E-2</v>
      </c>
      <c r="S264" s="43">
        <f t="shared" si="142"/>
        <v>6.2789189189189187</v>
      </c>
      <c r="T264" s="43">
        <f t="shared" si="143"/>
        <v>12.557837837837837</v>
      </c>
      <c r="U264" s="43">
        <f t="shared" si="144"/>
        <v>3.1711711711711709E-5</v>
      </c>
      <c r="V264" s="43">
        <f t="shared" si="145"/>
        <v>1.9933075933075932E-6</v>
      </c>
      <c r="W264" s="43">
        <f t="shared" si="146"/>
        <v>2.2651222651222648E-5</v>
      </c>
      <c r="X264" s="43">
        <f t="shared" si="147"/>
        <v>2.2651222651222648E-14</v>
      </c>
      <c r="Y264" s="205">
        <f t="shared" si="148"/>
        <v>29.943546111514877</v>
      </c>
    </row>
    <row r="265" spans="1:25" ht="14">
      <c r="A265" s="47" t="s">
        <v>942</v>
      </c>
      <c r="D265">
        <v>100</v>
      </c>
      <c r="E265">
        <v>3</v>
      </c>
      <c r="F265" s="47">
        <v>0.08</v>
      </c>
      <c r="G265" s="47">
        <v>1.5</v>
      </c>
      <c r="H265" s="1">
        <f t="shared" si="135"/>
        <v>1.4319999999999998E-5</v>
      </c>
      <c r="I265" s="43">
        <f t="shared" si="149"/>
        <v>6.4889229343629342E-5</v>
      </c>
      <c r="J265" s="1">
        <f t="shared" si="150"/>
        <v>1.064E-7</v>
      </c>
      <c r="K265" s="1">
        <f t="shared" si="151"/>
        <v>2.1280000000000003E-5</v>
      </c>
      <c r="L265" s="43">
        <f t="shared" si="136"/>
        <v>2.3919691119691117E-4</v>
      </c>
      <c r="M265" s="43">
        <f t="shared" si="137"/>
        <v>1.1660849420849419E-4</v>
      </c>
      <c r="N265" s="43">
        <f t="shared" si="138"/>
        <v>1.5946460746460746E-6</v>
      </c>
      <c r="O265" s="43">
        <f t="shared" si="139"/>
        <v>1.0903898856840032E-2</v>
      </c>
      <c r="P265" s="43">
        <f t="shared" si="140"/>
        <v>0.13059096070860773</v>
      </c>
      <c r="Q265" s="43">
        <v>250.36</v>
      </c>
      <c r="R265" s="43">
        <f t="shared" si="141"/>
        <v>5.1444923915512156E-2</v>
      </c>
      <c r="S265" s="43">
        <f t="shared" si="142"/>
        <v>6.2789189189189187</v>
      </c>
      <c r="T265" s="43">
        <f t="shared" si="143"/>
        <v>12.557837837837837</v>
      </c>
      <c r="U265" s="43">
        <f t="shared" si="144"/>
        <v>3.1711711711711709E-5</v>
      </c>
      <c r="V265" s="43">
        <f t="shared" si="145"/>
        <v>1.9933075933075932E-6</v>
      </c>
      <c r="W265" s="43">
        <f t="shared" si="146"/>
        <v>2.2651222651222648E-5</v>
      </c>
      <c r="X265" s="43">
        <f t="shared" si="147"/>
        <v>2.2651222651222648E-14</v>
      </c>
      <c r="Y265" s="205">
        <f t="shared" si="148"/>
        <v>24.152097111514877</v>
      </c>
    </row>
    <row r="266" spans="1:25" ht="14">
      <c r="A266" s="47" t="s">
        <v>943</v>
      </c>
      <c r="D266">
        <v>100</v>
      </c>
      <c r="E266">
        <v>3</v>
      </c>
      <c r="F266" s="47">
        <v>0.9</v>
      </c>
      <c r="G266" s="47">
        <v>2</v>
      </c>
      <c r="H266" s="1">
        <f t="shared" si="135"/>
        <v>1.6109999999999999E-4</v>
      </c>
      <c r="I266" s="43">
        <f t="shared" si="149"/>
        <v>6.4889229343629342E-5</v>
      </c>
      <c r="J266" s="1">
        <f t="shared" si="150"/>
        <v>1.1969999999999999E-6</v>
      </c>
      <c r="K266" s="1">
        <f t="shared" si="151"/>
        <v>2.3940000000000002E-4</v>
      </c>
      <c r="L266" s="43">
        <f t="shared" si="136"/>
        <v>2.3919691119691117E-4</v>
      </c>
      <c r="M266" s="43">
        <f t="shared" si="137"/>
        <v>1.1660849420849419E-4</v>
      </c>
      <c r="N266" s="43">
        <f t="shared" si="138"/>
        <v>1.5946460746460746E-6</v>
      </c>
      <c r="O266" s="43">
        <f t="shared" si="139"/>
        <v>1.0903898856840032E-2</v>
      </c>
      <c r="P266" s="43">
        <f t="shared" si="140"/>
        <v>0.13059096070860773</v>
      </c>
      <c r="Q266" s="43">
        <v>251.36</v>
      </c>
      <c r="R266" s="43">
        <f t="shared" si="141"/>
        <v>5.1444923915512156E-2</v>
      </c>
      <c r="S266" s="43">
        <f t="shared" si="142"/>
        <v>6.2789189189189187</v>
      </c>
      <c r="T266" s="43">
        <f t="shared" si="143"/>
        <v>12.557837837837837</v>
      </c>
      <c r="U266" s="43">
        <f t="shared" si="144"/>
        <v>3.1711711711711709E-5</v>
      </c>
      <c r="V266" s="43">
        <f t="shared" si="145"/>
        <v>1.9933075933075932E-6</v>
      </c>
      <c r="W266" s="43">
        <f t="shared" si="146"/>
        <v>2.2651222651222648E-5</v>
      </c>
      <c r="X266" s="43">
        <f t="shared" si="147"/>
        <v>2.2651222651222648E-14</v>
      </c>
      <c r="Y266" s="205">
        <f t="shared" si="148"/>
        <v>33.387843611514874</v>
      </c>
    </row>
    <row r="267" spans="1:25" ht="14">
      <c r="A267" s="47" t="s">
        <v>944</v>
      </c>
      <c r="D267">
        <v>100</v>
      </c>
      <c r="E267">
        <v>3</v>
      </c>
      <c r="F267" s="47">
        <v>1</v>
      </c>
      <c r="G267" s="47">
        <v>2</v>
      </c>
      <c r="H267" s="1">
        <f t="shared" si="135"/>
        <v>1.7899999999999999E-4</v>
      </c>
      <c r="I267" s="43">
        <f t="shared" si="149"/>
        <v>6.4889229343629342E-5</v>
      </c>
      <c r="J267" s="1">
        <f t="shared" si="150"/>
        <v>1.33E-6</v>
      </c>
      <c r="K267" s="1">
        <f t="shared" si="151"/>
        <v>2.6600000000000001E-4</v>
      </c>
      <c r="L267" s="43">
        <f t="shared" si="136"/>
        <v>2.3919691119691117E-4</v>
      </c>
      <c r="M267" s="43">
        <f t="shared" si="137"/>
        <v>1.1660849420849419E-4</v>
      </c>
      <c r="N267" s="43">
        <f t="shared" si="138"/>
        <v>1.5946460746460746E-6</v>
      </c>
      <c r="O267" s="43">
        <f t="shared" si="139"/>
        <v>1.0903898856840032E-2</v>
      </c>
      <c r="P267" s="43">
        <f t="shared" si="140"/>
        <v>0.13059096070860773</v>
      </c>
      <c r="Q267" s="43">
        <v>252.36</v>
      </c>
      <c r="R267" s="43">
        <f t="shared" si="141"/>
        <v>5.1444923915512156E-2</v>
      </c>
      <c r="S267" s="43">
        <f t="shared" si="142"/>
        <v>6.2789189189189187</v>
      </c>
      <c r="T267" s="43">
        <f t="shared" si="143"/>
        <v>12.557837837837837</v>
      </c>
      <c r="U267" s="43">
        <f t="shared" si="144"/>
        <v>3.1711711711711709E-5</v>
      </c>
      <c r="V267" s="43">
        <f t="shared" si="145"/>
        <v>1.9933075933075932E-6</v>
      </c>
      <c r="W267" s="43">
        <f t="shared" si="146"/>
        <v>2.2651222651222648E-5</v>
      </c>
      <c r="X267" s="43">
        <f t="shared" si="147"/>
        <v>2.2651222651222648E-14</v>
      </c>
      <c r="Y267" s="205">
        <f t="shared" si="148"/>
        <v>34.549276111514871</v>
      </c>
    </row>
    <row r="268" spans="1:25" ht="14">
      <c r="A268" s="47" t="s">
        <v>945</v>
      </c>
      <c r="D268">
        <v>100</v>
      </c>
      <c r="E268">
        <v>3</v>
      </c>
      <c r="F268" s="47">
        <v>1</v>
      </c>
      <c r="G268" s="47">
        <v>2</v>
      </c>
      <c r="H268" s="1">
        <f t="shared" si="135"/>
        <v>1.7899999999999999E-4</v>
      </c>
      <c r="I268" s="43">
        <f t="shared" si="149"/>
        <v>6.4889229343629342E-5</v>
      </c>
      <c r="J268" s="1">
        <f t="shared" si="150"/>
        <v>1.33E-6</v>
      </c>
      <c r="K268" s="1">
        <f t="shared" si="151"/>
        <v>2.6600000000000001E-4</v>
      </c>
      <c r="L268" s="43">
        <f t="shared" si="136"/>
        <v>2.3919691119691117E-4</v>
      </c>
      <c r="M268" s="43">
        <f t="shared" si="137"/>
        <v>1.1660849420849419E-4</v>
      </c>
      <c r="N268" s="43">
        <f t="shared" si="138"/>
        <v>1.5946460746460746E-6</v>
      </c>
      <c r="O268" s="43">
        <f t="shared" si="139"/>
        <v>1.0903898856840032E-2</v>
      </c>
      <c r="P268" s="43">
        <f t="shared" si="140"/>
        <v>0.13059096070860773</v>
      </c>
      <c r="Q268" s="43">
        <v>253.36</v>
      </c>
      <c r="R268" s="43">
        <f t="shared" si="141"/>
        <v>5.1444923915512156E-2</v>
      </c>
      <c r="S268" s="43">
        <f t="shared" si="142"/>
        <v>6.2789189189189187</v>
      </c>
      <c r="T268" s="43">
        <f t="shared" si="143"/>
        <v>12.557837837837837</v>
      </c>
      <c r="U268" s="43">
        <f t="shared" si="144"/>
        <v>3.1711711711711709E-5</v>
      </c>
      <c r="V268" s="43">
        <f t="shared" si="145"/>
        <v>1.9933075933075932E-6</v>
      </c>
      <c r="W268" s="43">
        <f t="shared" si="146"/>
        <v>2.2651222651222648E-5</v>
      </c>
      <c r="X268" s="43">
        <f t="shared" si="147"/>
        <v>2.2651222651222648E-14</v>
      </c>
      <c r="Y268" s="205">
        <f t="shared" si="148"/>
        <v>34.589276111514877</v>
      </c>
    </row>
    <row r="269" spans="1:25" ht="14">
      <c r="A269" s="47" t="s">
        <v>946</v>
      </c>
      <c r="D269">
        <v>100</v>
      </c>
      <c r="E269">
        <v>3</v>
      </c>
      <c r="F269" s="47">
        <v>1.3</v>
      </c>
      <c r="G269" s="47">
        <v>2</v>
      </c>
      <c r="H269" s="1">
        <f t="shared" si="135"/>
        <v>2.3269999999999999E-4</v>
      </c>
      <c r="I269" s="43">
        <f t="shared" si="149"/>
        <v>6.4889229343629342E-5</v>
      </c>
      <c r="J269" s="1">
        <f t="shared" si="150"/>
        <v>1.7290000000000001E-6</v>
      </c>
      <c r="K269" s="1">
        <f t="shared" si="151"/>
        <v>3.4580000000000006E-4</v>
      </c>
      <c r="L269" s="43">
        <f t="shared" si="136"/>
        <v>2.3919691119691117E-4</v>
      </c>
      <c r="M269" s="43">
        <f t="shared" si="137"/>
        <v>1.1660849420849419E-4</v>
      </c>
      <c r="N269" s="43">
        <f t="shared" si="138"/>
        <v>1.5946460746460746E-6</v>
      </c>
      <c r="O269" s="43">
        <f t="shared" si="139"/>
        <v>1.0903898856840032E-2</v>
      </c>
      <c r="P269" s="43">
        <f t="shared" si="140"/>
        <v>0.13059096070860773</v>
      </c>
      <c r="Q269" s="43">
        <v>254.36</v>
      </c>
      <c r="R269" s="43">
        <f t="shared" si="141"/>
        <v>5.1444923915512156E-2</v>
      </c>
      <c r="S269" s="43">
        <f t="shared" si="142"/>
        <v>6.2789189189189187</v>
      </c>
      <c r="T269" s="43">
        <f t="shared" si="143"/>
        <v>12.557837837837837</v>
      </c>
      <c r="U269" s="43">
        <f t="shared" si="144"/>
        <v>3.1711711711711709E-5</v>
      </c>
      <c r="V269" s="43">
        <f t="shared" si="145"/>
        <v>1.9933075933075932E-6</v>
      </c>
      <c r="W269" s="43">
        <f t="shared" si="146"/>
        <v>2.2651222651222648E-5</v>
      </c>
      <c r="X269" s="43">
        <f t="shared" si="147"/>
        <v>2.2651222651222648E-14</v>
      </c>
      <c r="Y269" s="205">
        <f t="shared" si="148"/>
        <v>37.993573611514876</v>
      </c>
    </row>
    <row r="270" spans="1:25" ht="14">
      <c r="A270" s="47" t="s">
        <v>947</v>
      </c>
      <c r="D270">
        <v>100</v>
      </c>
      <c r="E270">
        <v>3</v>
      </c>
      <c r="F270" s="47">
        <v>1.4</v>
      </c>
      <c r="G270" s="47">
        <v>1.5</v>
      </c>
      <c r="H270" s="1">
        <f t="shared" si="135"/>
        <v>2.5059999999999997E-4</v>
      </c>
      <c r="I270" s="43">
        <f t="shared" si="149"/>
        <v>6.4889229343629342E-5</v>
      </c>
      <c r="J270" s="1">
        <f t="shared" si="150"/>
        <v>1.8619999999999999E-6</v>
      </c>
      <c r="K270" s="1">
        <f t="shared" si="151"/>
        <v>3.724E-4</v>
      </c>
      <c r="L270" s="43">
        <f t="shared" si="136"/>
        <v>2.3919691119691117E-4</v>
      </c>
      <c r="M270" s="43">
        <f t="shared" si="137"/>
        <v>1.1660849420849419E-4</v>
      </c>
      <c r="N270" s="43">
        <f t="shared" si="138"/>
        <v>1.5946460746460746E-6</v>
      </c>
      <c r="O270" s="43">
        <f t="shared" si="139"/>
        <v>1.0903898856840032E-2</v>
      </c>
      <c r="P270" s="43">
        <f t="shared" si="140"/>
        <v>0.13059096070860773</v>
      </c>
      <c r="Q270" s="43">
        <v>255.36</v>
      </c>
      <c r="R270" s="43">
        <f t="shared" si="141"/>
        <v>5.1444923915512156E-2</v>
      </c>
      <c r="S270" s="43">
        <f t="shared" si="142"/>
        <v>6.2789189189189187</v>
      </c>
      <c r="T270" s="43">
        <f t="shared" si="143"/>
        <v>12.557837837837837</v>
      </c>
      <c r="U270" s="43">
        <f t="shared" si="144"/>
        <v>3.1711711711711709E-5</v>
      </c>
      <c r="V270" s="43">
        <f t="shared" si="145"/>
        <v>1.9933075933075932E-6</v>
      </c>
      <c r="W270" s="43">
        <f t="shared" si="146"/>
        <v>2.2651222651222648E-5</v>
      </c>
      <c r="X270" s="43">
        <f t="shared" si="147"/>
        <v>2.2651222651222648E-14</v>
      </c>
      <c r="Y270" s="205">
        <f t="shared" si="148"/>
        <v>39.155006111514872</v>
      </c>
    </row>
    <row r="271" spans="1:25" ht="14">
      <c r="A271" s="47" t="s">
        <v>948</v>
      </c>
      <c r="D271">
        <v>100</v>
      </c>
      <c r="E271">
        <v>3</v>
      </c>
      <c r="F271" s="47">
        <v>2</v>
      </c>
      <c r="G271" s="47">
        <v>2</v>
      </c>
      <c r="H271" s="1">
        <f t="shared" si="135"/>
        <v>3.5799999999999997E-4</v>
      </c>
      <c r="I271" s="43">
        <f t="shared" si="149"/>
        <v>6.4889229343629342E-5</v>
      </c>
      <c r="J271" s="1">
        <f t="shared" si="150"/>
        <v>2.6599999999999999E-6</v>
      </c>
      <c r="K271" s="1">
        <f t="shared" si="151"/>
        <v>5.3200000000000003E-4</v>
      </c>
      <c r="L271" s="43">
        <f t="shared" si="136"/>
        <v>2.3919691119691117E-4</v>
      </c>
      <c r="M271" s="43">
        <f t="shared" si="137"/>
        <v>1.1660849420849419E-4</v>
      </c>
      <c r="N271" s="43">
        <f t="shared" si="138"/>
        <v>1.5946460746460746E-6</v>
      </c>
      <c r="O271" s="43">
        <f t="shared" si="139"/>
        <v>1.0903898856840032E-2</v>
      </c>
      <c r="P271" s="43">
        <f t="shared" si="140"/>
        <v>0.13059096070860773</v>
      </c>
      <c r="Q271" s="43">
        <v>256.36</v>
      </c>
      <c r="R271" s="43">
        <f t="shared" si="141"/>
        <v>5.1444923915512156E-2</v>
      </c>
      <c r="S271" s="43">
        <f t="shared" si="142"/>
        <v>6.2789189189189187</v>
      </c>
      <c r="T271" s="43">
        <f t="shared" si="143"/>
        <v>12.557837837837837</v>
      </c>
      <c r="U271" s="43">
        <f t="shared" si="144"/>
        <v>3.1711711711711709E-5</v>
      </c>
      <c r="V271" s="43">
        <f t="shared" si="145"/>
        <v>1.9933075933075932E-6</v>
      </c>
      <c r="W271" s="43">
        <f t="shared" si="146"/>
        <v>2.2651222651222648E-5</v>
      </c>
      <c r="X271" s="43">
        <f t="shared" si="147"/>
        <v>2.2651222651222648E-14</v>
      </c>
      <c r="Y271" s="205">
        <f t="shared" si="148"/>
        <v>45.92360111151487</v>
      </c>
    </row>
    <row r="272" spans="1:25" ht="14">
      <c r="A272" s="47" t="s">
        <v>949</v>
      </c>
      <c r="D272">
        <v>100</v>
      </c>
      <c r="E272">
        <v>3</v>
      </c>
      <c r="F272" s="47">
        <v>1</v>
      </c>
      <c r="G272" s="47">
        <v>3</v>
      </c>
      <c r="H272" s="1">
        <f t="shared" si="135"/>
        <v>1.7899999999999999E-4</v>
      </c>
      <c r="I272" s="43">
        <f t="shared" si="149"/>
        <v>6.4889229343629342E-5</v>
      </c>
      <c r="J272" s="1">
        <f t="shared" si="150"/>
        <v>1.33E-6</v>
      </c>
      <c r="K272" s="1">
        <f t="shared" si="151"/>
        <v>2.6600000000000001E-4</v>
      </c>
      <c r="L272" s="43">
        <f t="shared" si="136"/>
        <v>2.3919691119691117E-4</v>
      </c>
      <c r="M272" s="43">
        <f t="shared" si="137"/>
        <v>1.1660849420849419E-4</v>
      </c>
      <c r="N272" s="43">
        <f t="shared" si="138"/>
        <v>1.5946460746460746E-6</v>
      </c>
      <c r="O272" s="43">
        <f t="shared" si="139"/>
        <v>1.0903898856840032E-2</v>
      </c>
      <c r="P272" s="43">
        <f t="shared" si="140"/>
        <v>0.13059096070860773</v>
      </c>
      <c r="Q272" s="43">
        <v>257.36</v>
      </c>
      <c r="R272" s="43">
        <f t="shared" si="141"/>
        <v>5.1444923915512156E-2</v>
      </c>
      <c r="S272" s="43">
        <f t="shared" si="142"/>
        <v>6.2789189189189187</v>
      </c>
      <c r="T272" s="43">
        <f t="shared" si="143"/>
        <v>12.557837837837837</v>
      </c>
      <c r="U272" s="43">
        <f t="shared" si="144"/>
        <v>3.1711711711711709E-5</v>
      </c>
      <c r="V272" s="43">
        <f t="shared" si="145"/>
        <v>1.9933075933075932E-6</v>
      </c>
      <c r="W272" s="43">
        <f t="shared" si="146"/>
        <v>2.2651222651222648E-5</v>
      </c>
      <c r="X272" s="43">
        <f t="shared" si="147"/>
        <v>2.2651222651222648E-14</v>
      </c>
      <c r="Y272" s="205">
        <f t="shared" si="148"/>
        <v>34.749276111514874</v>
      </c>
    </row>
    <row r="273" spans="1:25" ht="14">
      <c r="A273" s="47" t="s">
        <v>950</v>
      </c>
      <c r="D273">
        <v>100</v>
      </c>
      <c r="E273">
        <v>3</v>
      </c>
      <c r="F273" s="47">
        <v>1.1000000000000001</v>
      </c>
      <c r="G273" s="47">
        <v>2.5</v>
      </c>
      <c r="H273" s="1">
        <f t="shared" si="135"/>
        <v>1.9689999999999999E-4</v>
      </c>
      <c r="I273" s="43">
        <f t="shared" si="149"/>
        <v>6.4889229343629342E-5</v>
      </c>
      <c r="J273" s="1">
        <f t="shared" si="150"/>
        <v>1.463E-6</v>
      </c>
      <c r="K273" s="1">
        <f t="shared" si="151"/>
        <v>2.9260000000000006E-4</v>
      </c>
      <c r="L273" s="43">
        <f t="shared" si="136"/>
        <v>2.3919691119691117E-4</v>
      </c>
      <c r="M273" s="43">
        <f t="shared" si="137"/>
        <v>1.1660849420849419E-4</v>
      </c>
      <c r="N273" s="43">
        <f t="shared" si="138"/>
        <v>1.5946460746460746E-6</v>
      </c>
      <c r="O273" s="43">
        <f t="shared" si="139"/>
        <v>1.0903898856840032E-2</v>
      </c>
      <c r="P273" s="43">
        <f t="shared" si="140"/>
        <v>0.13059096070860773</v>
      </c>
      <c r="Q273" s="43">
        <v>258.36</v>
      </c>
      <c r="R273" s="43">
        <f t="shared" si="141"/>
        <v>5.1444923915512156E-2</v>
      </c>
      <c r="S273" s="43">
        <f t="shared" si="142"/>
        <v>6.2789189189189187</v>
      </c>
      <c r="T273" s="43">
        <f t="shared" si="143"/>
        <v>12.557837837837837</v>
      </c>
      <c r="U273" s="43">
        <f t="shared" si="144"/>
        <v>3.1711711711711709E-5</v>
      </c>
      <c r="V273" s="43">
        <f t="shared" si="145"/>
        <v>1.9933075933075932E-6</v>
      </c>
      <c r="W273" s="43">
        <f t="shared" si="146"/>
        <v>2.2651222651222648E-5</v>
      </c>
      <c r="X273" s="43">
        <f t="shared" si="147"/>
        <v>2.2651222651222648E-14</v>
      </c>
      <c r="Y273" s="205">
        <f t="shared" si="148"/>
        <v>35.91070861151487</v>
      </c>
    </row>
    <row r="274" spans="1:25" ht="14">
      <c r="A274" s="47" t="s">
        <v>951</v>
      </c>
      <c r="D274">
        <v>100</v>
      </c>
      <c r="E274">
        <v>3</v>
      </c>
      <c r="F274" s="47">
        <v>2.9</v>
      </c>
      <c r="G274" s="47">
        <v>3</v>
      </c>
      <c r="H274" s="1">
        <f t="shared" si="135"/>
        <v>5.1909999999999999E-4</v>
      </c>
      <c r="I274" s="43">
        <f t="shared" si="149"/>
        <v>6.4889229343629342E-5</v>
      </c>
      <c r="J274" s="1">
        <f t="shared" si="150"/>
        <v>3.8569999999999997E-6</v>
      </c>
      <c r="K274" s="1">
        <f t="shared" si="151"/>
        <v>7.7139999999999999E-4</v>
      </c>
      <c r="L274" s="43">
        <f t="shared" si="136"/>
        <v>2.3919691119691117E-4</v>
      </c>
      <c r="M274" s="43">
        <f t="shared" si="137"/>
        <v>1.1660849420849419E-4</v>
      </c>
      <c r="N274" s="43">
        <f t="shared" si="138"/>
        <v>1.5946460746460746E-6</v>
      </c>
      <c r="O274" s="43">
        <f t="shared" si="139"/>
        <v>1.0903898856840032E-2</v>
      </c>
      <c r="P274" s="43">
        <f t="shared" si="140"/>
        <v>0.13059096070860773</v>
      </c>
      <c r="Q274" s="43">
        <v>259.36</v>
      </c>
      <c r="R274" s="43">
        <f t="shared" si="141"/>
        <v>5.1444923915512156E-2</v>
      </c>
      <c r="S274" s="43">
        <f t="shared" si="142"/>
        <v>6.2789189189189187</v>
      </c>
      <c r="T274" s="43">
        <f t="shared" si="143"/>
        <v>12.557837837837837</v>
      </c>
      <c r="U274" s="43">
        <f t="shared" si="144"/>
        <v>3.1711711711711709E-5</v>
      </c>
      <c r="V274" s="43">
        <f t="shared" si="145"/>
        <v>1.9933075933075932E-6</v>
      </c>
      <c r="W274" s="43">
        <f t="shared" si="146"/>
        <v>2.2651222651222648E-5</v>
      </c>
      <c r="X274" s="43">
        <f t="shared" si="147"/>
        <v>2.2651222651222648E-14</v>
      </c>
      <c r="Y274" s="205">
        <f t="shared" si="148"/>
        <v>56.136493611514872</v>
      </c>
    </row>
    <row r="275" spans="1:25" ht="14">
      <c r="A275" s="47" t="s">
        <v>952</v>
      </c>
      <c r="D275">
        <v>100</v>
      </c>
      <c r="E275">
        <v>3</v>
      </c>
      <c r="F275" s="47">
        <v>3.9</v>
      </c>
      <c r="G275" s="47">
        <v>3</v>
      </c>
      <c r="H275" s="1">
        <f t="shared" si="135"/>
        <v>6.9809999999999989E-4</v>
      </c>
      <c r="I275" s="43">
        <f t="shared" si="149"/>
        <v>6.4889229343629342E-5</v>
      </c>
      <c r="J275" s="1">
        <f t="shared" si="150"/>
        <v>5.1869999999999996E-6</v>
      </c>
      <c r="K275" s="1">
        <f t="shared" si="151"/>
        <v>1.0374E-3</v>
      </c>
      <c r="L275" s="43">
        <f t="shared" si="136"/>
        <v>2.3919691119691117E-4</v>
      </c>
      <c r="M275" s="43">
        <f t="shared" si="137"/>
        <v>1.1660849420849419E-4</v>
      </c>
      <c r="N275" s="43">
        <f t="shared" si="138"/>
        <v>1.5946460746460746E-6</v>
      </c>
      <c r="O275" s="43">
        <f t="shared" si="139"/>
        <v>1.0903898856840032E-2</v>
      </c>
      <c r="P275" s="43">
        <f t="shared" si="140"/>
        <v>0.13059096070860773</v>
      </c>
      <c r="Q275" s="43">
        <v>260.36</v>
      </c>
      <c r="R275" s="43">
        <f t="shared" si="141"/>
        <v>5.1444923915512156E-2</v>
      </c>
      <c r="S275" s="43">
        <f t="shared" si="142"/>
        <v>6.2789189189189187</v>
      </c>
      <c r="T275" s="43">
        <f t="shared" si="143"/>
        <v>12.557837837837837</v>
      </c>
      <c r="U275" s="43">
        <f t="shared" si="144"/>
        <v>3.1711711711711709E-5</v>
      </c>
      <c r="V275" s="43">
        <f t="shared" si="145"/>
        <v>1.9933075933075932E-6</v>
      </c>
      <c r="W275" s="43">
        <f t="shared" si="146"/>
        <v>2.2651222651222648E-5</v>
      </c>
      <c r="X275" s="43">
        <f t="shared" si="147"/>
        <v>2.2651222651222648E-14</v>
      </c>
      <c r="Y275" s="205">
        <f t="shared" si="148"/>
        <v>67.39081861151486</v>
      </c>
    </row>
    <row r="276" spans="1:25" ht="14">
      <c r="A276" s="47" t="s">
        <v>953</v>
      </c>
      <c r="D276">
        <v>100</v>
      </c>
      <c r="E276">
        <v>3</v>
      </c>
      <c r="F276" s="47">
        <v>7.4</v>
      </c>
      <c r="G276" s="47">
        <v>3</v>
      </c>
      <c r="H276" s="1">
        <f t="shared" si="135"/>
        <v>1.3246E-3</v>
      </c>
      <c r="I276" s="43">
        <f t="shared" si="149"/>
        <v>6.4889229343629342E-5</v>
      </c>
      <c r="J276" s="1">
        <f t="shared" si="150"/>
        <v>9.842E-6</v>
      </c>
      <c r="K276" s="1">
        <f t="shared" si="151"/>
        <v>1.9684000000000004E-3</v>
      </c>
      <c r="L276" s="43">
        <f t="shared" si="136"/>
        <v>2.3919691119691117E-4</v>
      </c>
      <c r="M276" s="43">
        <f t="shared" si="137"/>
        <v>1.1660849420849419E-4</v>
      </c>
      <c r="N276" s="43">
        <f t="shared" si="138"/>
        <v>1.5946460746460746E-6</v>
      </c>
      <c r="O276" s="43">
        <f t="shared" si="139"/>
        <v>1.0903898856840032E-2</v>
      </c>
      <c r="P276" s="43">
        <f t="shared" si="140"/>
        <v>0.13059096070860773</v>
      </c>
      <c r="Q276" s="43">
        <v>261.36</v>
      </c>
      <c r="R276" s="43">
        <f t="shared" si="141"/>
        <v>5.1444923915512156E-2</v>
      </c>
      <c r="S276" s="43">
        <f t="shared" si="142"/>
        <v>6.2789189189189187</v>
      </c>
      <c r="T276" s="43">
        <f t="shared" si="143"/>
        <v>12.557837837837837</v>
      </c>
      <c r="U276" s="43">
        <f t="shared" si="144"/>
        <v>3.1711711711711709E-5</v>
      </c>
      <c r="V276" s="43">
        <f t="shared" si="145"/>
        <v>1.9933075933075932E-6</v>
      </c>
      <c r="W276" s="43">
        <f t="shared" si="146"/>
        <v>2.2651222651222648E-5</v>
      </c>
      <c r="X276" s="43">
        <f t="shared" si="147"/>
        <v>2.2651222651222648E-14</v>
      </c>
      <c r="Y276" s="205">
        <f t="shared" si="148"/>
        <v>106.68095611151487</v>
      </c>
    </row>
    <row r="277" spans="1:25" ht="14">
      <c r="A277" s="47" t="s">
        <v>954</v>
      </c>
      <c r="D277">
        <v>100</v>
      </c>
      <c r="E277">
        <v>3</v>
      </c>
      <c r="F277" s="47">
        <v>1.3</v>
      </c>
      <c r="G277" s="47">
        <v>1.5</v>
      </c>
      <c r="H277" s="1">
        <f t="shared" si="135"/>
        <v>2.3269999999999999E-4</v>
      </c>
      <c r="I277" s="43">
        <f t="shared" si="149"/>
        <v>6.4889229343629342E-5</v>
      </c>
      <c r="J277" s="1">
        <f t="shared" si="150"/>
        <v>1.7290000000000001E-6</v>
      </c>
      <c r="K277" s="1">
        <f t="shared" si="151"/>
        <v>3.4580000000000006E-4</v>
      </c>
      <c r="L277" s="43">
        <f t="shared" si="136"/>
        <v>2.3919691119691117E-4</v>
      </c>
      <c r="M277" s="43">
        <f t="shared" si="137"/>
        <v>1.1660849420849419E-4</v>
      </c>
      <c r="N277" s="43">
        <f t="shared" si="138"/>
        <v>1.5946460746460746E-6</v>
      </c>
      <c r="O277" s="43">
        <f t="shared" si="139"/>
        <v>1.0903898856840032E-2</v>
      </c>
      <c r="P277" s="43">
        <f t="shared" si="140"/>
        <v>0.13059096070860773</v>
      </c>
      <c r="Q277" s="43">
        <v>262.36</v>
      </c>
      <c r="R277" s="43">
        <f t="shared" si="141"/>
        <v>5.1444923915512156E-2</v>
      </c>
      <c r="S277" s="43">
        <f t="shared" si="142"/>
        <v>6.2789189189189187</v>
      </c>
      <c r="T277" s="43">
        <f t="shared" si="143"/>
        <v>12.557837837837837</v>
      </c>
      <c r="U277" s="43">
        <f t="shared" si="144"/>
        <v>3.1711711711711709E-5</v>
      </c>
      <c r="V277" s="43">
        <f t="shared" si="145"/>
        <v>1.9933075933075932E-6</v>
      </c>
      <c r="W277" s="43">
        <f t="shared" si="146"/>
        <v>2.2651222651222648E-5</v>
      </c>
      <c r="X277" s="43">
        <f t="shared" si="147"/>
        <v>2.2651222651222648E-14</v>
      </c>
      <c r="Y277" s="205">
        <f t="shared" si="148"/>
        <v>38.313573611514876</v>
      </c>
    </row>
    <row r="278" spans="1:25" ht="14">
      <c r="A278" s="47" t="s">
        <v>955</v>
      </c>
      <c r="D278">
        <v>100</v>
      </c>
      <c r="E278">
        <v>3</v>
      </c>
      <c r="F278" s="47">
        <v>1.6</v>
      </c>
      <c r="G278" s="47">
        <v>3</v>
      </c>
      <c r="H278" s="1">
        <f t="shared" si="135"/>
        <v>2.8639999999999997E-4</v>
      </c>
      <c r="I278" s="43">
        <f t="shared" si="149"/>
        <v>6.4889229343629342E-5</v>
      </c>
      <c r="J278" s="1">
        <f t="shared" si="150"/>
        <v>2.1280000000000002E-6</v>
      </c>
      <c r="K278" s="1">
        <f t="shared" si="151"/>
        <v>4.2560000000000005E-4</v>
      </c>
      <c r="L278" s="43">
        <f t="shared" si="136"/>
        <v>2.3919691119691117E-4</v>
      </c>
      <c r="M278" s="43">
        <f t="shared" si="137"/>
        <v>1.1660849420849419E-4</v>
      </c>
      <c r="N278" s="43">
        <f t="shared" si="138"/>
        <v>1.5946460746460746E-6</v>
      </c>
      <c r="O278" s="43">
        <f t="shared" si="139"/>
        <v>1.0903898856840032E-2</v>
      </c>
      <c r="P278" s="43">
        <f t="shared" si="140"/>
        <v>0.13059096070860773</v>
      </c>
      <c r="Q278" s="43">
        <v>263.36</v>
      </c>
      <c r="R278" s="43">
        <f t="shared" si="141"/>
        <v>5.1444923915512156E-2</v>
      </c>
      <c r="S278" s="43">
        <f t="shared" si="142"/>
        <v>6.2789189189189187</v>
      </c>
      <c r="T278" s="43">
        <f t="shared" si="143"/>
        <v>12.557837837837837</v>
      </c>
      <c r="U278" s="43">
        <f t="shared" si="144"/>
        <v>3.1711711711711709E-5</v>
      </c>
      <c r="V278" s="43">
        <f t="shared" si="145"/>
        <v>1.9933075933075932E-6</v>
      </c>
      <c r="W278" s="43">
        <f t="shared" si="146"/>
        <v>2.2651222651222648E-5</v>
      </c>
      <c r="X278" s="43">
        <f t="shared" si="147"/>
        <v>2.2651222651222648E-14</v>
      </c>
      <c r="Y278" s="205">
        <f t="shared" si="148"/>
        <v>41.717871111514874</v>
      </c>
    </row>
    <row r="279" spans="1:25" ht="14">
      <c r="A279" s="47" t="s">
        <v>956</v>
      </c>
      <c r="D279">
        <v>100</v>
      </c>
      <c r="E279">
        <v>3</v>
      </c>
      <c r="F279" s="47">
        <v>1.2</v>
      </c>
      <c r="G279" s="47">
        <v>3</v>
      </c>
      <c r="H279" s="1">
        <f t="shared" si="135"/>
        <v>2.1479999999999999E-4</v>
      </c>
      <c r="I279" s="43">
        <f t="shared" si="149"/>
        <v>6.4889229343629342E-5</v>
      </c>
      <c r="J279" s="1">
        <f t="shared" si="150"/>
        <v>1.5959999999999998E-6</v>
      </c>
      <c r="K279" s="1">
        <f t="shared" si="151"/>
        <v>3.1920000000000001E-4</v>
      </c>
      <c r="L279" s="43">
        <f t="shared" si="136"/>
        <v>2.3919691119691117E-4</v>
      </c>
      <c r="M279" s="43">
        <f t="shared" si="137"/>
        <v>1.1660849420849419E-4</v>
      </c>
      <c r="N279" s="43">
        <f t="shared" si="138"/>
        <v>1.5946460746460746E-6</v>
      </c>
      <c r="O279" s="43">
        <f t="shared" si="139"/>
        <v>1.0903898856840032E-2</v>
      </c>
      <c r="P279" s="43">
        <f t="shared" si="140"/>
        <v>0.13059096070860773</v>
      </c>
      <c r="Q279" s="43">
        <v>264.36</v>
      </c>
      <c r="R279" s="43">
        <f t="shared" si="141"/>
        <v>5.1444923915512156E-2</v>
      </c>
      <c r="S279" s="43">
        <f t="shared" si="142"/>
        <v>6.2789189189189187</v>
      </c>
      <c r="T279" s="43">
        <f t="shared" si="143"/>
        <v>12.557837837837837</v>
      </c>
      <c r="U279" s="43">
        <f t="shared" si="144"/>
        <v>3.1711711711711709E-5</v>
      </c>
      <c r="V279" s="43">
        <f t="shared" si="145"/>
        <v>1.9933075933075932E-6</v>
      </c>
      <c r="W279" s="43">
        <f t="shared" si="146"/>
        <v>2.2651222651222648E-5</v>
      </c>
      <c r="X279" s="43">
        <f t="shared" si="147"/>
        <v>2.2651222651222648E-14</v>
      </c>
      <c r="Y279" s="205">
        <f t="shared" si="148"/>
        <v>37.27214111151487</v>
      </c>
    </row>
    <row r="280" spans="1:25" ht="14">
      <c r="A280" s="47" t="s">
        <v>957</v>
      </c>
      <c r="D280">
        <v>100</v>
      </c>
      <c r="E280">
        <v>3</v>
      </c>
      <c r="F280" s="47">
        <v>2.2999999999999998</v>
      </c>
      <c r="G280" s="47">
        <v>3</v>
      </c>
      <c r="H280" s="1">
        <f t="shared" si="135"/>
        <v>4.1169999999999992E-4</v>
      </c>
      <c r="I280" s="43">
        <f t="shared" si="149"/>
        <v>6.4889229343629342E-5</v>
      </c>
      <c r="J280" s="1">
        <f t="shared" si="150"/>
        <v>3.0589999999999998E-6</v>
      </c>
      <c r="K280" s="1">
        <f t="shared" si="151"/>
        <v>6.1180000000000002E-4</v>
      </c>
      <c r="L280" s="43">
        <f t="shared" si="136"/>
        <v>2.3919691119691117E-4</v>
      </c>
      <c r="M280" s="43">
        <f t="shared" si="137"/>
        <v>1.1660849420849419E-4</v>
      </c>
      <c r="N280" s="43">
        <f t="shared" si="138"/>
        <v>1.5946460746460746E-6</v>
      </c>
      <c r="O280" s="43">
        <f t="shared" si="139"/>
        <v>1.0903898856840032E-2</v>
      </c>
      <c r="P280" s="43">
        <f t="shared" si="140"/>
        <v>0.13059096070860773</v>
      </c>
      <c r="Q280" s="43">
        <v>265.36</v>
      </c>
      <c r="R280" s="43">
        <f t="shared" si="141"/>
        <v>5.1444923915512156E-2</v>
      </c>
      <c r="S280" s="43">
        <f t="shared" si="142"/>
        <v>6.2789189189189187</v>
      </c>
      <c r="T280" s="43">
        <f t="shared" si="143"/>
        <v>12.557837837837837</v>
      </c>
      <c r="U280" s="43">
        <f t="shared" si="144"/>
        <v>3.1711711711711709E-5</v>
      </c>
      <c r="V280" s="43">
        <f t="shared" si="145"/>
        <v>1.9933075933075932E-6</v>
      </c>
      <c r="W280" s="43">
        <f t="shared" si="146"/>
        <v>2.2651222651222648E-5</v>
      </c>
      <c r="X280" s="43">
        <f t="shared" si="147"/>
        <v>2.2651222651222648E-14</v>
      </c>
      <c r="Y280" s="205">
        <f t="shared" si="148"/>
        <v>49.647898611514869</v>
      </c>
    </row>
    <row r="281" spans="1:25" ht="14">
      <c r="A281" s="47" t="s">
        <v>958</v>
      </c>
      <c r="D281">
        <v>100</v>
      </c>
      <c r="E281">
        <v>3</v>
      </c>
      <c r="F281" s="47">
        <v>0.16</v>
      </c>
      <c r="G281" s="47">
        <v>2</v>
      </c>
      <c r="H281" s="1">
        <f t="shared" si="135"/>
        <v>2.8639999999999997E-5</v>
      </c>
      <c r="I281" s="43">
        <f t="shared" si="149"/>
        <v>6.4889229343629342E-5</v>
      </c>
      <c r="J281" s="1">
        <f t="shared" si="150"/>
        <v>2.128E-7</v>
      </c>
      <c r="K281" s="1">
        <f t="shared" si="151"/>
        <v>4.2560000000000006E-5</v>
      </c>
      <c r="L281" s="43">
        <f t="shared" si="136"/>
        <v>2.3919691119691117E-4</v>
      </c>
      <c r="M281" s="43">
        <f t="shared" si="137"/>
        <v>1.1660849420849419E-4</v>
      </c>
      <c r="N281" s="43">
        <f t="shared" si="138"/>
        <v>1.5946460746460746E-6</v>
      </c>
      <c r="O281" s="43">
        <f t="shared" si="139"/>
        <v>1.0903898856840032E-2</v>
      </c>
      <c r="P281" s="43">
        <f t="shared" si="140"/>
        <v>0.13059096070860773</v>
      </c>
      <c r="Q281" s="43">
        <v>266.36</v>
      </c>
      <c r="R281" s="43">
        <f t="shared" si="141"/>
        <v>5.1444923915512156E-2</v>
      </c>
      <c r="S281" s="43">
        <f t="shared" si="142"/>
        <v>6.2789189189189187</v>
      </c>
      <c r="T281" s="43">
        <f t="shared" si="143"/>
        <v>12.557837837837837</v>
      </c>
      <c r="U281" s="43">
        <f t="shared" si="144"/>
        <v>3.1711711711711709E-5</v>
      </c>
      <c r="V281" s="43">
        <f t="shared" si="145"/>
        <v>1.9933075933075932E-6</v>
      </c>
      <c r="W281" s="43">
        <f t="shared" si="146"/>
        <v>2.2651222651222648E-5</v>
      </c>
      <c r="X281" s="43">
        <f t="shared" si="147"/>
        <v>2.2651222651222648E-14</v>
      </c>
      <c r="Y281" s="205">
        <f t="shared" si="148"/>
        <v>25.689243111514877</v>
      </c>
    </row>
    <row r="282" spans="1:25" ht="14">
      <c r="A282" s="47" t="s">
        <v>959</v>
      </c>
      <c r="D282">
        <v>100</v>
      </c>
      <c r="E282">
        <v>3</v>
      </c>
      <c r="F282" s="47">
        <v>0.5</v>
      </c>
      <c r="G282" s="47">
        <v>2</v>
      </c>
      <c r="H282" s="1">
        <f t="shared" si="135"/>
        <v>8.9499999999999994E-5</v>
      </c>
      <c r="I282" s="43">
        <f t="shared" si="149"/>
        <v>6.4889229343629342E-5</v>
      </c>
      <c r="J282" s="1">
        <f t="shared" si="150"/>
        <v>6.6499999999999999E-7</v>
      </c>
      <c r="K282" s="1">
        <f t="shared" si="151"/>
        <v>1.3300000000000001E-4</v>
      </c>
      <c r="L282" s="43">
        <f t="shared" ref="L282:L287" si="152">CO2_malnutrition_charfact*D282</f>
        <v>2.3919691119691117E-4</v>
      </c>
      <c r="M282" s="43">
        <f t="shared" ref="M282:M287" si="153">CO2_workingcapacity_charfact*D282</f>
        <v>1.1660849420849419E-4</v>
      </c>
      <c r="N282" s="43">
        <f t="shared" ref="N282:N287" si="154">CO2_diarrhea_charfact*D282</f>
        <v>1.5946460746460746E-6</v>
      </c>
      <c r="O282" s="43">
        <f t="shared" ref="O282:O287" si="155">CO2_crop_charfact</f>
        <v>1.0903898856840032E-2</v>
      </c>
      <c r="P282" s="43">
        <f t="shared" ref="P282:P287" si="156">CO2_fruitandveg_charfact*D282</f>
        <v>0.13059096070860773</v>
      </c>
      <c r="Q282" s="43">
        <v>267.36</v>
      </c>
      <c r="R282" s="43">
        <f t="shared" ref="R282:R287" si="157">CO2_meatandfish_charfact*D282</f>
        <v>5.1444923915512156E-2</v>
      </c>
      <c r="S282" s="43">
        <f t="shared" ref="S282:S287" si="158">CO2_drinkingwater_charfact*D282</f>
        <v>6.2789189189189187</v>
      </c>
      <c r="T282" s="43">
        <f t="shared" ref="T282:T287" si="159">CO2_irrigationwater_charfact*D282</f>
        <v>12.557837837837837</v>
      </c>
      <c r="U282" s="43">
        <f t="shared" ref="U282:U287" si="160">CO2_energyaccess_charfact*D282</f>
        <v>3.1711711711711709E-5</v>
      </c>
      <c r="V282" s="43">
        <f t="shared" ref="V282:V287" si="161">CO2_housing_charfact*D282</f>
        <v>1.9933075933075932E-6</v>
      </c>
      <c r="W282" s="43">
        <f t="shared" ref="W282:W287" si="162">CO2_separations_charfact*D282</f>
        <v>2.2651222651222648E-5</v>
      </c>
      <c r="X282" s="43">
        <f t="shared" ref="X282:X287" si="163">CO2_NEX_charfact*D282</f>
        <v>2.2651222651222648E-14</v>
      </c>
      <c r="Y282" s="205">
        <f t="shared" ref="Y282:Y287" si="164">(H282+I282)*YOLLvalue+J282*skincancervalue+K282*Lowvisionvalue+L282*malnutrition+M282*working_capacity+N282*diarrhea+O282*cropvalue+P282*Fruitandveg_value+Q282*woodvalue+R282*fishandmeatvalue+S282*drinkingwatervalue+T282*irrigationwatervalue+U282*energy_access+V282*housingvalue+W282*migrationvalue+X282*speciesvalue</f>
        <v>29.542113611514871</v>
      </c>
    </row>
    <row r="283" spans="1:25" ht="14">
      <c r="A283" s="47" t="s">
        <v>960</v>
      </c>
      <c r="D283">
        <v>100</v>
      </c>
      <c r="E283">
        <v>3</v>
      </c>
      <c r="F283" s="47">
        <v>0.43</v>
      </c>
      <c r="G283" s="47">
        <v>2.5</v>
      </c>
      <c r="H283" s="1">
        <f t="shared" si="135"/>
        <v>7.696999999999999E-5</v>
      </c>
      <c r="I283" s="43">
        <f t="shared" si="149"/>
        <v>6.4889229343629342E-5</v>
      </c>
      <c r="J283" s="1">
        <f t="shared" si="150"/>
        <v>5.7189999999999998E-7</v>
      </c>
      <c r="K283" s="1">
        <f t="shared" si="151"/>
        <v>1.1438E-4</v>
      </c>
      <c r="L283" s="43">
        <f t="shared" si="152"/>
        <v>2.3919691119691117E-4</v>
      </c>
      <c r="M283" s="43">
        <f t="shared" si="153"/>
        <v>1.1660849420849419E-4</v>
      </c>
      <c r="N283" s="43">
        <f t="shared" si="154"/>
        <v>1.5946460746460746E-6</v>
      </c>
      <c r="O283" s="43">
        <f t="shared" si="155"/>
        <v>1.0903898856840032E-2</v>
      </c>
      <c r="P283" s="43">
        <f t="shared" si="156"/>
        <v>0.13059096070860773</v>
      </c>
      <c r="Q283" s="43">
        <v>268.36</v>
      </c>
      <c r="R283" s="43">
        <f t="shared" si="157"/>
        <v>5.1444923915512156E-2</v>
      </c>
      <c r="S283" s="43">
        <f t="shared" si="158"/>
        <v>6.2789189189189187</v>
      </c>
      <c r="T283" s="43">
        <f t="shared" si="159"/>
        <v>12.557837837837837</v>
      </c>
      <c r="U283" s="43">
        <f t="shared" si="160"/>
        <v>3.1711711711711709E-5</v>
      </c>
      <c r="V283" s="43">
        <f t="shared" si="161"/>
        <v>1.9933075933075932E-6</v>
      </c>
      <c r="W283" s="43">
        <f t="shared" si="162"/>
        <v>2.2651222651222648E-5</v>
      </c>
      <c r="X283" s="43">
        <f t="shared" si="163"/>
        <v>2.2651222651222648E-14</v>
      </c>
      <c r="Y283" s="205">
        <f t="shared" si="164"/>
        <v>28.797110861514874</v>
      </c>
    </row>
    <row r="284" spans="1:25" ht="14">
      <c r="A284" s="47" t="s">
        <v>961</v>
      </c>
      <c r="D284">
        <v>100</v>
      </c>
      <c r="E284">
        <v>3</v>
      </c>
      <c r="F284" s="47">
        <v>0.21</v>
      </c>
      <c r="G284" s="47">
        <v>2</v>
      </c>
      <c r="H284" s="1">
        <f t="shared" si="135"/>
        <v>3.7589999999999998E-5</v>
      </c>
      <c r="I284" s="43">
        <f t="shared" si="149"/>
        <v>6.4889229343629342E-5</v>
      </c>
      <c r="J284" s="1">
        <f t="shared" si="150"/>
        <v>2.7929999999999997E-7</v>
      </c>
      <c r="K284" s="1">
        <f t="shared" si="151"/>
        <v>5.5860000000000004E-5</v>
      </c>
      <c r="L284" s="43">
        <f t="shared" si="152"/>
        <v>2.3919691119691117E-4</v>
      </c>
      <c r="M284" s="43">
        <f t="shared" si="153"/>
        <v>1.1660849420849419E-4</v>
      </c>
      <c r="N284" s="43">
        <f t="shared" si="154"/>
        <v>1.5946460746460746E-6</v>
      </c>
      <c r="O284" s="43">
        <f t="shared" si="155"/>
        <v>1.0903898856840032E-2</v>
      </c>
      <c r="P284" s="43">
        <f t="shared" si="156"/>
        <v>0.13059096070860773</v>
      </c>
      <c r="Q284" s="43">
        <v>269.36</v>
      </c>
      <c r="R284" s="43">
        <f t="shared" si="157"/>
        <v>5.1444923915512156E-2</v>
      </c>
      <c r="S284" s="43">
        <f t="shared" si="158"/>
        <v>6.2789189189189187</v>
      </c>
      <c r="T284" s="43">
        <f t="shared" si="159"/>
        <v>12.557837837837837</v>
      </c>
      <c r="U284" s="43">
        <f t="shared" si="160"/>
        <v>3.1711711711711709E-5</v>
      </c>
      <c r="V284" s="43">
        <f t="shared" si="161"/>
        <v>1.9933075933075932E-6</v>
      </c>
      <c r="W284" s="43">
        <f t="shared" si="162"/>
        <v>2.2651222651222648E-5</v>
      </c>
      <c r="X284" s="43">
        <f t="shared" si="163"/>
        <v>2.2651222651222648E-14</v>
      </c>
      <c r="Y284" s="205">
        <f t="shared" si="164"/>
        <v>26.369959361514873</v>
      </c>
    </row>
    <row r="285" spans="1:25" ht="14">
      <c r="A285" s="47" t="s">
        <v>962</v>
      </c>
      <c r="D285">
        <v>100</v>
      </c>
      <c r="E285">
        <v>3</v>
      </c>
      <c r="F285" s="47">
        <v>0.43</v>
      </c>
      <c r="G285" s="47">
        <v>2</v>
      </c>
      <c r="H285" s="1">
        <f t="shared" si="135"/>
        <v>7.696999999999999E-5</v>
      </c>
      <c r="I285" s="43">
        <f t="shared" si="149"/>
        <v>6.4889229343629342E-5</v>
      </c>
      <c r="J285" s="1">
        <f t="shared" si="150"/>
        <v>5.7189999999999998E-7</v>
      </c>
      <c r="K285" s="1">
        <f t="shared" si="151"/>
        <v>1.1438E-4</v>
      </c>
      <c r="L285" s="43">
        <f t="shared" si="152"/>
        <v>2.3919691119691117E-4</v>
      </c>
      <c r="M285" s="43">
        <f t="shared" si="153"/>
        <v>1.1660849420849419E-4</v>
      </c>
      <c r="N285" s="43">
        <f t="shared" si="154"/>
        <v>1.5946460746460746E-6</v>
      </c>
      <c r="O285" s="43">
        <f t="shared" si="155"/>
        <v>1.0903898856840032E-2</v>
      </c>
      <c r="P285" s="43">
        <f t="shared" si="156"/>
        <v>0.13059096070860773</v>
      </c>
      <c r="Q285" s="43">
        <v>270.36</v>
      </c>
      <c r="R285" s="43">
        <f t="shared" si="157"/>
        <v>5.1444923915512156E-2</v>
      </c>
      <c r="S285" s="43">
        <f t="shared" si="158"/>
        <v>6.2789189189189187</v>
      </c>
      <c r="T285" s="43">
        <f t="shared" si="159"/>
        <v>12.557837837837837</v>
      </c>
      <c r="U285" s="43">
        <f t="shared" si="160"/>
        <v>3.1711711711711709E-5</v>
      </c>
      <c r="V285" s="43">
        <f t="shared" si="161"/>
        <v>1.9933075933075932E-6</v>
      </c>
      <c r="W285" s="43">
        <f t="shared" si="162"/>
        <v>2.2651222651222648E-5</v>
      </c>
      <c r="X285" s="43">
        <f t="shared" si="163"/>
        <v>2.2651222651222648E-14</v>
      </c>
      <c r="Y285" s="205">
        <f t="shared" si="164"/>
        <v>28.877110861514872</v>
      </c>
    </row>
    <row r="286" spans="1:25" ht="14">
      <c r="A286" s="47" t="s">
        <v>963</v>
      </c>
      <c r="D286">
        <v>100</v>
      </c>
      <c r="E286">
        <v>3</v>
      </c>
      <c r="F286" s="47">
        <v>0.36</v>
      </c>
      <c r="G286" s="47">
        <v>2.5</v>
      </c>
      <c r="H286" s="1">
        <f t="shared" si="135"/>
        <v>6.444E-5</v>
      </c>
      <c r="I286" s="43">
        <f t="shared" si="149"/>
        <v>6.4889229343629342E-5</v>
      </c>
      <c r="J286" s="1">
        <f t="shared" si="150"/>
        <v>4.7879999999999997E-7</v>
      </c>
      <c r="K286" s="1">
        <f t="shared" si="151"/>
        <v>9.5760000000000005E-5</v>
      </c>
      <c r="L286" s="43">
        <f t="shared" si="152"/>
        <v>2.3919691119691117E-4</v>
      </c>
      <c r="M286" s="43">
        <f t="shared" si="153"/>
        <v>1.1660849420849419E-4</v>
      </c>
      <c r="N286" s="43">
        <f t="shared" si="154"/>
        <v>1.5946460746460746E-6</v>
      </c>
      <c r="O286" s="43">
        <f t="shared" si="155"/>
        <v>1.0903898856840032E-2</v>
      </c>
      <c r="P286" s="43">
        <f t="shared" si="156"/>
        <v>0.13059096070860773</v>
      </c>
      <c r="Q286" s="43">
        <v>271.36</v>
      </c>
      <c r="R286" s="43">
        <f t="shared" si="157"/>
        <v>5.1444923915512156E-2</v>
      </c>
      <c r="S286" s="43">
        <f t="shared" si="158"/>
        <v>6.2789189189189187</v>
      </c>
      <c r="T286" s="43">
        <f t="shared" si="159"/>
        <v>12.557837837837837</v>
      </c>
      <c r="U286" s="43">
        <f t="shared" si="160"/>
        <v>3.1711711711711709E-5</v>
      </c>
      <c r="V286" s="43">
        <f t="shared" si="161"/>
        <v>1.9933075933075932E-6</v>
      </c>
      <c r="W286" s="43">
        <f t="shared" si="162"/>
        <v>2.2651222651222648E-5</v>
      </c>
      <c r="X286" s="43">
        <f t="shared" si="163"/>
        <v>2.2651222651222648E-14</v>
      </c>
      <c r="Y286" s="205">
        <f t="shared" si="164"/>
        <v>28.132108111514874</v>
      </c>
    </row>
    <row r="287" spans="1:25">
      <c r="A287" s="45" t="s">
        <v>965</v>
      </c>
      <c r="D287">
        <v>100</v>
      </c>
      <c r="E287">
        <v>3</v>
      </c>
      <c r="F287" s="47">
        <v>0.12</v>
      </c>
      <c r="H287" s="1">
        <f t="shared" si="135"/>
        <v>2.1479999999999998E-5</v>
      </c>
      <c r="I287" s="43">
        <f t="shared" si="149"/>
        <v>6.4889229343629342E-5</v>
      </c>
      <c r="J287" s="1">
        <f t="shared" si="150"/>
        <v>1.596E-7</v>
      </c>
      <c r="K287" s="1">
        <f t="shared" si="151"/>
        <v>3.1919999999999999E-5</v>
      </c>
      <c r="L287" s="43">
        <f t="shared" si="152"/>
        <v>2.3919691119691117E-4</v>
      </c>
      <c r="M287" s="43">
        <f t="shared" si="153"/>
        <v>1.1660849420849419E-4</v>
      </c>
      <c r="N287" s="43">
        <f t="shared" si="154"/>
        <v>1.5946460746460746E-6</v>
      </c>
      <c r="O287" s="43">
        <f t="shared" si="155"/>
        <v>1.0903898856840032E-2</v>
      </c>
      <c r="P287" s="43">
        <f t="shared" si="156"/>
        <v>0.13059096070860773</v>
      </c>
      <c r="Q287" s="43">
        <v>272.36</v>
      </c>
      <c r="R287" s="43">
        <f t="shared" si="157"/>
        <v>5.1444923915512156E-2</v>
      </c>
      <c r="S287" s="43">
        <f t="shared" si="158"/>
        <v>6.2789189189189187</v>
      </c>
      <c r="T287" s="43">
        <f t="shared" si="159"/>
        <v>12.557837837837837</v>
      </c>
      <c r="U287" s="43">
        <f t="shared" si="160"/>
        <v>3.1711711711711709E-5</v>
      </c>
      <c r="V287" s="43">
        <f t="shared" si="161"/>
        <v>1.9933075933075932E-6</v>
      </c>
      <c r="W287" s="43">
        <f t="shared" si="162"/>
        <v>2.2651222651222648E-5</v>
      </c>
      <c r="X287" s="43">
        <f t="shared" si="163"/>
        <v>2.2651222651222648E-14</v>
      </c>
      <c r="Y287" s="205">
        <f t="shared" si="164"/>
        <v>25.480670111514875</v>
      </c>
    </row>
  </sheetData>
  <autoFilter ref="A1:Y287" xr:uid="{00000000-0009-0000-0000-000009000000}"/>
  <phoneticPr fontId="0" type="noConversion"/>
  <pageMargins left="0.75" right="0.75" top="1" bottom="1" header="0.5" footer="0.5"/>
  <pageSetup paperSize="9" orientation="portrait"/>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147"/>
  <sheetViews>
    <sheetView zoomScaleNormal="100" workbookViewId="0">
      <pane xSplit="1" ySplit="1" topLeftCell="Q2" activePane="bottomRight" state="frozenSplit"/>
      <selection activeCell="L190" sqref="L190"/>
      <selection pane="topRight" activeCell="L190" sqref="L190"/>
      <selection pane="bottomLeft" activeCell="L190" sqref="L190"/>
      <selection pane="bottomRight" activeCell="AB147" activeCellId="5" sqref="AD126 AB123:AB127 AB129:AB131 AB133:AB141 AB143:AB145 AB147"/>
    </sheetView>
  </sheetViews>
  <sheetFormatPr baseColWidth="10" defaultColWidth="8.83203125" defaultRowHeight="13"/>
  <cols>
    <col min="1" max="1" width="33" bestFit="1" customWidth="1"/>
    <col min="3" max="3" width="8.1640625" bestFit="1" customWidth="1"/>
    <col min="4" max="4" width="6.33203125" bestFit="1" customWidth="1"/>
    <col min="5" max="5" width="8.1640625" bestFit="1" customWidth="1"/>
    <col min="6" max="7" width="8.5" customWidth="1"/>
    <col min="8" max="27" width="10.33203125" style="77" customWidth="1"/>
    <col min="28" max="28" width="9.1640625" style="130" customWidth="1"/>
  </cols>
  <sheetData>
    <row r="1" spans="1:40" ht="56">
      <c r="A1" s="45" t="s">
        <v>747</v>
      </c>
      <c r="B1" t="s">
        <v>192</v>
      </c>
      <c r="C1" s="7" t="s">
        <v>692</v>
      </c>
      <c r="D1" t="s">
        <v>688</v>
      </c>
      <c r="E1" s="7" t="s">
        <v>691</v>
      </c>
      <c r="F1" s="7" t="s">
        <v>745</v>
      </c>
      <c r="G1" s="7" t="s">
        <v>746</v>
      </c>
      <c r="H1" s="81" t="s">
        <v>749</v>
      </c>
      <c r="I1" s="82" t="s">
        <v>669</v>
      </c>
      <c r="J1" s="82" t="s">
        <v>683</v>
      </c>
      <c r="K1" s="82" t="s">
        <v>684</v>
      </c>
      <c r="L1" s="82" t="s">
        <v>670</v>
      </c>
      <c r="M1" s="82" t="s">
        <v>671</v>
      </c>
      <c r="N1" s="82" t="s">
        <v>672</v>
      </c>
      <c r="O1" s="82" t="s">
        <v>685</v>
      </c>
      <c r="P1" s="82" t="s">
        <v>686</v>
      </c>
      <c r="Q1" s="82" t="s">
        <v>673</v>
      </c>
      <c r="R1" s="82" t="s">
        <v>674</v>
      </c>
      <c r="S1" s="82" t="s">
        <v>678</v>
      </c>
      <c r="T1" s="82" t="s">
        <v>687</v>
      </c>
      <c r="U1" s="82" t="s">
        <v>677</v>
      </c>
      <c r="V1" s="82" t="s">
        <v>675</v>
      </c>
      <c r="W1" s="82" t="s">
        <v>679</v>
      </c>
      <c r="X1" s="82" t="s">
        <v>680</v>
      </c>
      <c r="Y1" s="82" t="s">
        <v>681</v>
      </c>
      <c r="Z1" s="82" t="s">
        <v>682</v>
      </c>
      <c r="AA1" s="82" t="s">
        <v>676</v>
      </c>
      <c r="AB1" s="199" t="s">
        <v>504</v>
      </c>
    </row>
    <row r="2" spans="1:40">
      <c r="A2" s="44" t="s">
        <v>713</v>
      </c>
      <c r="C2" s="7"/>
      <c r="E2" s="7"/>
      <c r="F2" s="7"/>
      <c r="G2" s="7"/>
      <c r="H2" s="82"/>
      <c r="I2" s="82"/>
      <c r="J2" s="82"/>
      <c r="K2" s="82"/>
      <c r="L2" s="82"/>
      <c r="M2" s="82"/>
      <c r="N2" s="82"/>
      <c r="O2" s="82"/>
      <c r="P2" s="82"/>
      <c r="Q2" s="82"/>
      <c r="R2" s="82"/>
      <c r="S2" s="82"/>
      <c r="T2" s="82"/>
      <c r="U2" s="82"/>
      <c r="V2" s="82"/>
      <c r="W2" s="82"/>
      <c r="X2" s="82"/>
      <c r="Y2" s="82"/>
      <c r="Z2" s="82"/>
      <c r="AA2" s="82"/>
    </row>
    <row r="3" spans="1:40">
      <c r="A3" s="45" t="s">
        <v>608</v>
      </c>
      <c r="B3">
        <v>28.5</v>
      </c>
      <c r="C3" s="7">
        <v>2</v>
      </c>
      <c r="D3">
        <v>8.0000000000000002E-3</v>
      </c>
      <c r="E3" s="7"/>
      <c r="F3" s="7">
        <v>0</v>
      </c>
      <c r="G3" s="7"/>
      <c r="H3" s="83">
        <f>B3*charco2yoll</f>
        <v>1.849343036293436E-5</v>
      </c>
      <c r="I3" s="83">
        <f>D3*NOx_YOLL_Oxidant_charfact/0.62</f>
        <v>4.5924192208395493E-8</v>
      </c>
      <c r="J3" s="83">
        <f>F3*PM2.5_YOLL_charfact</f>
        <v>0</v>
      </c>
      <c r="L3" s="83">
        <f>CO2_malnutrition_charfact*B3</f>
        <v>6.8171119691119681E-5</v>
      </c>
      <c r="M3" s="83">
        <f>CO2_workingcapacity_charfact*B3</f>
        <v>3.3233420849420842E-5</v>
      </c>
      <c r="N3" s="83">
        <f>CO2_diarrhea_charfact*B3</f>
        <v>4.5447413127413122E-7</v>
      </c>
      <c r="O3" s="83">
        <f>PM2.5_asthmacases_charfact*F3</f>
        <v>0</v>
      </c>
      <c r="P3" s="83">
        <f>PM2.5_COPD_charfact*F3</f>
        <v>0</v>
      </c>
      <c r="Q3" s="83">
        <f>CO2_crop_charfact*B3</f>
        <v>0.31076111741994089</v>
      </c>
      <c r="R3" s="83">
        <f t="shared" ref="R3:R26" si="0">charnoxcrop/0.62*D3</f>
        <v>9.5009727186354791E-3</v>
      </c>
      <c r="S3" s="83">
        <f>charco2woodgw*B3</f>
        <v>0</v>
      </c>
      <c r="T3" s="83">
        <f>NOx_wood_oxidantcharfact/0.62*D3</f>
        <v>7.3632538569424967E-4</v>
      </c>
      <c r="U3" s="83">
        <f>CO2_fruitandveg_charfact*B3</f>
        <v>3.7218423801953206E-2</v>
      </c>
      <c r="V3" s="83">
        <f>CO2_meatandfish_charfact*B3</f>
        <v>1.4661803315920964E-2</v>
      </c>
      <c r="W3" s="83">
        <f>CO2_drinkingwater_charfact*B3</f>
        <v>1.7894918918918918</v>
      </c>
      <c r="X3" s="83">
        <f>CO2_irrigationwater_charfact*B3</f>
        <v>3.5789837837837837</v>
      </c>
      <c r="Y3" s="83">
        <f>CO2_housing_charfact*B3</f>
        <v>5.68092664092664E-7</v>
      </c>
      <c r="Z3" s="83">
        <f>CO2_separations_charfact*B3</f>
        <v>6.4555984555984547E-6</v>
      </c>
      <c r="AA3" s="83">
        <f>CO2_NEX_charfact*B3</f>
        <v>6.4555984555984548E-15</v>
      </c>
      <c r="AB3" s="131">
        <f>(H3+I3+J3+K3)*YOLLvalue+L3*malnutrition+M3*working_capacity+N3*diarrhea+O3*asthmacasesvalue+P3*COPDvalue+(Q3+R3)*cropvalue+(S3+T3)*woodvalue+U3*Fruitandveg_value+V3*fishandmeatvalue+W3*drinkingwatervalue+X3*irrigationwatervalue+Y3*housingvalue+Z3*migrationvalue+AA3*speciesvalue</f>
        <v>3.8203507688338036</v>
      </c>
    </row>
    <row r="4" spans="1:40">
      <c r="A4" t="s">
        <v>193</v>
      </c>
      <c r="B4">
        <v>4.5</v>
      </c>
      <c r="C4">
        <v>2</v>
      </c>
      <c r="D4">
        <v>0.25</v>
      </c>
      <c r="F4">
        <v>0.11</v>
      </c>
      <c r="H4" s="83">
        <f t="shared" ref="H4:H26" si="1">B4*charco2yoll</f>
        <v>2.9200153204633203E-6</v>
      </c>
      <c r="I4" s="83">
        <f t="shared" ref="I4:I26" si="2">D4*NOx_YOLL_Oxidant_charfact/0.62</f>
        <v>1.4351310065123593E-6</v>
      </c>
      <c r="J4" s="83">
        <f t="shared" ref="J4:J26" si="3">F4*PM2.5_YOLL_charfact</f>
        <v>3.2567254270146715E-4</v>
      </c>
      <c r="L4" s="83">
        <f t="shared" ref="L4:L26" si="4">CO2_malnutrition_charfact*B4</f>
        <v>1.0763861003861002E-5</v>
      </c>
      <c r="M4" s="83">
        <f t="shared" ref="M4:M26" si="5">CO2_workingcapacity_charfact*B4</f>
        <v>5.2473822393822384E-6</v>
      </c>
      <c r="N4" s="83">
        <f t="shared" ref="N4:N26" si="6">CO2_diarrhea_charfact*B4</f>
        <v>7.1759073359073361E-8</v>
      </c>
      <c r="O4" s="83">
        <f t="shared" ref="O4:O26" si="7">PM2.5_asthmacases_charfact*F4</f>
        <v>5.3127359999999993E-6</v>
      </c>
      <c r="P4" s="83">
        <f t="shared" ref="P4:P26" si="8">PM2.5_COPD_charfact*F4</f>
        <v>4.1469999999999997E-7</v>
      </c>
      <c r="Q4" s="83">
        <f t="shared" ref="Q4:Q26" si="9">CO2_crop_charfact*B4</f>
        <v>4.9067544855780146E-2</v>
      </c>
      <c r="R4" s="83">
        <f t="shared" si="0"/>
        <v>0.29690539745735872</v>
      </c>
      <c r="S4" s="83">
        <f t="shared" ref="S4:S26" si="10">charco2woodgw*B4</f>
        <v>0</v>
      </c>
      <c r="T4" s="83">
        <f t="shared" ref="T4:T26" si="11">NOx_wood_oxidantcharfact/0.62*D4</f>
        <v>2.3010168302945302E-2</v>
      </c>
      <c r="U4" s="83">
        <f t="shared" ref="U4:U26" si="12">CO2_fruitandveg_charfact*B4</f>
        <v>5.8765932318873481E-3</v>
      </c>
      <c r="V4" s="83">
        <f t="shared" ref="V4:V26" si="13">CO2_meatandfish_charfact*B4</f>
        <v>2.3150215761980467E-3</v>
      </c>
      <c r="W4" s="83">
        <f t="shared" ref="W4:W26" si="14">CO2_drinkingwater_charfact*B4</f>
        <v>0.28255135135135134</v>
      </c>
      <c r="X4" s="83">
        <f t="shared" ref="X4:X26" si="15">CO2_irrigationwater_charfact*B4</f>
        <v>0.56510270270270269</v>
      </c>
      <c r="Y4" s="83">
        <f t="shared" ref="Y4:Y26" si="16">CO2_housing_charfact*B4</f>
        <v>8.9698841698841695E-8</v>
      </c>
      <c r="Z4" s="83">
        <f t="shared" ref="Z4:Z26" si="17">CO2_separations_charfact*B4</f>
        <v>1.0193050193050191E-6</v>
      </c>
      <c r="AA4" s="83">
        <f t="shared" ref="AA4:AA26" si="18">CO2_NEX_charfact*B4</f>
        <v>1.0193050193050192E-15</v>
      </c>
      <c r="AB4" s="131">
        <f t="shared" ref="AB4:AB26" si="19">(H4+I4+J4+K4)*YOLLvalue+L4*malnutrition+M4*working_capacity+N4*diarrhea+O4*asthmacasesvalue+P4*COPDvalue+(Q4+R4)*cropvalue+(S4+T4)*woodvalue+U4*Fruitandveg_value+V4*fishandmeatvalue+W4*drinkingwatervalue+X4*irrigationwatervalue+Y4*housingvalue+Z4*migrationvalue+AA4*speciesvalue</f>
        <v>17.043503202583796</v>
      </c>
      <c r="AG4" s="3"/>
      <c r="AI4" s="3"/>
      <c r="AL4" s="1"/>
      <c r="AN4" s="1"/>
    </row>
    <row r="5" spans="1:40">
      <c r="A5" t="s">
        <v>194</v>
      </c>
      <c r="B5">
        <v>4.5</v>
      </c>
      <c r="C5">
        <v>2</v>
      </c>
      <c r="D5">
        <v>0.55000000000000004</v>
      </c>
      <c r="F5">
        <v>0.11</v>
      </c>
      <c r="H5" s="83">
        <f t="shared" si="1"/>
        <v>2.9200153204633203E-6</v>
      </c>
      <c r="I5" s="83">
        <f t="shared" si="2"/>
        <v>3.1572882143271907E-6</v>
      </c>
      <c r="J5" s="83">
        <f t="shared" si="3"/>
        <v>3.2567254270146715E-4</v>
      </c>
      <c r="L5" s="83">
        <f t="shared" si="4"/>
        <v>1.0763861003861002E-5</v>
      </c>
      <c r="M5" s="83">
        <f t="shared" si="5"/>
        <v>5.2473822393822384E-6</v>
      </c>
      <c r="N5" s="83">
        <f t="shared" si="6"/>
        <v>7.1759073359073361E-8</v>
      </c>
      <c r="O5" s="83">
        <f t="shared" si="7"/>
        <v>5.3127359999999993E-6</v>
      </c>
      <c r="P5" s="83">
        <f t="shared" si="8"/>
        <v>4.1469999999999997E-7</v>
      </c>
      <c r="Q5" s="83">
        <f t="shared" si="9"/>
        <v>4.9067544855780146E-2</v>
      </c>
      <c r="R5" s="83">
        <f t="shared" si="0"/>
        <v>0.6531918744061892</v>
      </c>
      <c r="S5" s="83">
        <f t="shared" si="10"/>
        <v>0</v>
      </c>
      <c r="T5" s="83">
        <f t="shared" si="11"/>
        <v>5.0622370266479665E-2</v>
      </c>
      <c r="U5" s="83">
        <f t="shared" si="12"/>
        <v>5.8765932318873481E-3</v>
      </c>
      <c r="V5" s="83">
        <f t="shared" si="13"/>
        <v>2.3150215761980467E-3</v>
      </c>
      <c r="W5" s="83">
        <f t="shared" si="14"/>
        <v>0.28255135135135134</v>
      </c>
      <c r="X5" s="83">
        <f t="shared" si="15"/>
        <v>0.56510270270270269</v>
      </c>
      <c r="Y5" s="83">
        <f t="shared" si="16"/>
        <v>8.9698841698841695E-8</v>
      </c>
      <c r="Z5" s="83">
        <f t="shared" si="17"/>
        <v>1.0193050193050191E-6</v>
      </c>
      <c r="AA5" s="83">
        <f t="shared" si="18"/>
        <v>1.0193050193050192E-15</v>
      </c>
      <c r="AB5" s="131">
        <f t="shared" si="19"/>
        <v>17.20909857598182</v>
      </c>
      <c r="AG5" s="3"/>
      <c r="AI5" s="3"/>
      <c r="AL5" s="1"/>
      <c r="AN5" s="1"/>
    </row>
    <row r="6" spans="1:40">
      <c r="A6" t="s">
        <v>195</v>
      </c>
      <c r="B6">
        <v>4.5</v>
      </c>
      <c r="C6">
        <v>2</v>
      </c>
      <c r="D6">
        <v>0.72</v>
      </c>
      <c r="F6">
        <v>0.11</v>
      </c>
      <c r="H6" s="83">
        <f t="shared" si="1"/>
        <v>2.9200153204633203E-6</v>
      </c>
      <c r="I6" s="83">
        <f t="shared" si="2"/>
        <v>4.1331772987555942E-6</v>
      </c>
      <c r="J6" s="83">
        <f t="shared" si="3"/>
        <v>3.2567254270146715E-4</v>
      </c>
      <c r="L6" s="83">
        <f t="shared" si="4"/>
        <v>1.0763861003861002E-5</v>
      </c>
      <c r="M6" s="83">
        <f t="shared" si="5"/>
        <v>5.2473822393822384E-6</v>
      </c>
      <c r="N6" s="83">
        <f t="shared" si="6"/>
        <v>7.1759073359073361E-8</v>
      </c>
      <c r="O6" s="83">
        <f t="shared" si="7"/>
        <v>5.3127359999999993E-6</v>
      </c>
      <c r="P6" s="83">
        <f t="shared" si="8"/>
        <v>4.1469999999999997E-7</v>
      </c>
      <c r="Q6" s="83">
        <f t="shared" si="9"/>
        <v>4.9067544855780146E-2</v>
      </c>
      <c r="R6" s="83">
        <f t="shared" si="0"/>
        <v>0.85508754467719306</v>
      </c>
      <c r="S6" s="83">
        <f t="shared" si="10"/>
        <v>0</v>
      </c>
      <c r="T6" s="83">
        <f t="shared" si="11"/>
        <v>6.6269284712482474E-2</v>
      </c>
      <c r="U6" s="83">
        <f t="shared" si="12"/>
        <v>5.8765932318873481E-3</v>
      </c>
      <c r="V6" s="83">
        <f t="shared" si="13"/>
        <v>2.3150215761980467E-3</v>
      </c>
      <c r="W6" s="83">
        <f t="shared" si="14"/>
        <v>0.28255135135135134</v>
      </c>
      <c r="X6" s="83">
        <f t="shared" si="15"/>
        <v>0.56510270270270269</v>
      </c>
      <c r="Y6" s="83">
        <f t="shared" si="16"/>
        <v>8.9698841698841695E-8</v>
      </c>
      <c r="Z6" s="83">
        <f t="shared" si="17"/>
        <v>1.0193050193050191E-6</v>
      </c>
      <c r="AA6" s="83">
        <f t="shared" si="18"/>
        <v>1.0193050193050192E-15</v>
      </c>
      <c r="AB6" s="131">
        <f t="shared" si="19"/>
        <v>17.302935954240699</v>
      </c>
      <c r="AG6" s="3"/>
      <c r="AI6" s="3"/>
      <c r="AL6" s="1"/>
      <c r="AN6" s="1"/>
    </row>
    <row r="7" spans="1:40">
      <c r="A7" t="s">
        <v>196</v>
      </c>
      <c r="B7">
        <v>4.5</v>
      </c>
      <c r="C7">
        <v>2</v>
      </c>
      <c r="D7">
        <v>0.57999999999999996</v>
      </c>
      <c r="F7">
        <v>0.11</v>
      </c>
      <c r="H7" s="83">
        <f t="shared" si="1"/>
        <v>2.9200153204633203E-6</v>
      </c>
      <c r="I7" s="83">
        <f t="shared" si="2"/>
        <v>3.3295039351086731E-6</v>
      </c>
      <c r="J7" s="83">
        <f t="shared" si="3"/>
        <v>3.2567254270146715E-4</v>
      </c>
      <c r="L7" s="83">
        <f t="shared" si="4"/>
        <v>1.0763861003861002E-5</v>
      </c>
      <c r="M7" s="83">
        <f t="shared" si="5"/>
        <v>5.2473822393822384E-6</v>
      </c>
      <c r="N7" s="83">
        <f t="shared" si="6"/>
        <v>7.1759073359073361E-8</v>
      </c>
      <c r="O7" s="83">
        <f t="shared" si="7"/>
        <v>5.3127359999999993E-6</v>
      </c>
      <c r="P7" s="83">
        <f t="shared" si="8"/>
        <v>4.1469999999999997E-7</v>
      </c>
      <c r="Q7" s="83">
        <f t="shared" si="9"/>
        <v>4.9067544855780146E-2</v>
      </c>
      <c r="R7" s="83">
        <f t="shared" si="0"/>
        <v>0.68882052210107214</v>
      </c>
      <c r="S7" s="83">
        <f t="shared" si="10"/>
        <v>0</v>
      </c>
      <c r="T7" s="83">
        <f t="shared" si="11"/>
        <v>5.33835904628331E-2</v>
      </c>
      <c r="U7" s="83">
        <f t="shared" si="12"/>
        <v>5.8765932318873481E-3</v>
      </c>
      <c r="V7" s="83">
        <f t="shared" si="13"/>
        <v>2.3150215761980467E-3</v>
      </c>
      <c r="W7" s="83">
        <f t="shared" si="14"/>
        <v>0.28255135135135134</v>
      </c>
      <c r="X7" s="83">
        <f t="shared" si="15"/>
        <v>0.56510270270270269</v>
      </c>
      <c r="Y7" s="83">
        <f t="shared" si="16"/>
        <v>8.9698841698841695E-8</v>
      </c>
      <c r="Z7" s="83">
        <f t="shared" si="17"/>
        <v>1.0193050193050191E-6</v>
      </c>
      <c r="AA7" s="83">
        <f t="shared" si="18"/>
        <v>1.0193050193050192E-15</v>
      </c>
      <c r="AB7" s="131">
        <f t="shared" si="19"/>
        <v>17.225658113321618</v>
      </c>
      <c r="AG7" s="3"/>
      <c r="AI7" s="3"/>
      <c r="AL7" s="1"/>
      <c r="AN7" s="1"/>
    </row>
    <row r="8" spans="1:40">
      <c r="A8" t="s">
        <v>197</v>
      </c>
      <c r="B8">
        <v>4.5</v>
      </c>
      <c r="C8">
        <v>2</v>
      </c>
      <c r="D8">
        <v>0.94</v>
      </c>
      <c r="F8">
        <v>0.11</v>
      </c>
      <c r="H8" s="83">
        <f t="shared" si="1"/>
        <v>2.9200153204633203E-6</v>
      </c>
      <c r="I8" s="83">
        <f t="shared" si="2"/>
        <v>5.3960925844864697E-6</v>
      </c>
      <c r="J8" s="83">
        <f t="shared" si="3"/>
        <v>3.2567254270146715E-4</v>
      </c>
      <c r="L8" s="83">
        <f t="shared" si="4"/>
        <v>1.0763861003861002E-5</v>
      </c>
      <c r="M8" s="83">
        <f t="shared" si="5"/>
        <v>5.2473822393822384E-6</v>
      </c>
      <c r="N8" s="83">
        <f t="shared" si="6"/>
        <v>7.1759073359073361E-8</v>
      </c>
      <c r="O8" s="83">
        <f t="shared" si="7"/>
        <v>5.3127359999999993E-6</v>
      </c>
      <c r="P8" s="83">
        <f t="shared" si="8"/>
        <v>4.1469999999999997E-7</v>
      </c>
      <c r="Q8" s="83">
        <f t="shared" si="9"/>
        <v>4.9067544855780146E-2</v>
      </c>
      <c r="R8" s="83">
        <f t="shared" si="0"/>
        <v>1.1163642944396688</v>
      </c>
      <c r="S8" s="83">
        <f t="shared" si="10"/>
        <v>0</v>
      </c>
      <c r="T8" s="83">
        <f t="shared" si="11"/>
        <v>8.6518232819074337E-2</v>
      </c>
      <c r="U8" s="83">
        <f t="shared" si="12"/>
        <v>5.8765932318873481E-3</v>
      </c>
      <c r="V8" s="83">
        <f t="shared" si="13"/>
        <v>2.3150215761980467E-3</v>
      </c>
      <c r="W8" s="83">
        <f t="shared" si="14"/>
        <v>0.28255135135135134</v>
      </c>
      <c r="X8" s="83">
        <f t="shared" si="15"/>
        <v>0.56510270270270269</v>
      </c>
      <c r="Y8" s="83">
        <f t="shared" si="16"/>
        <v>8.9698841698841695E-8</v>
      </c>
      <c r="Z8" s="83">
        <f t="shared" si="17"/>
        <v>1.0193050193050191E-6</v>
      </c>
      <c r="AA8" s="83">
        <f t="shared" si="18"/>
        <v>1.0193050193050192E-15</v>
      </c>
      <c r="AB8" s="131">
        <f t="shared" si="19"/>
        <v>17.424372561399256</v>
      </c>
      <c r="AG8" s="3"/>
      <c r="AI8" s="3"/>
      <c r="AL8" s="1"/>
      <c r="AN8" s="1"/>
    </row>
    <row r="9" spans="1:40">
      <c r="A9" t="s">
        <v>198</v>
      </c>
      <c r="B9">
        <v>4.5</v>
      </c>
      <c r="C9">
        <v>2</v>
      </c>
      <c r="D9">
        <v>0.45</v>
      </c>
      <c r="F9">
        <v>0.11</v>
      </c>
      <c r="H9" s="83">
        <f t="shared" si="1"/>
        <v>2.9200153204633203E-6</v>
      </c>
      <c r="I9" s="83">
        <f t="shared" si="2"/>
        <v>2.5832358117222465E-6</v>
      </c>
      <c r="J9" s="83">
        <f t="shared" si="3"/>
        <v>3.2567254270146715E-4</v>
      </c>
      <c r="L9" s="83">
        <f t="shared" si="4"/>
        <v>1.0763861003861002E-5</v>
      </c>
      <c r="M9" s="83">
        <f t="shared" si="5"/>
        <v>5.2473822393822384E-6</v>
      </c>
      <c r="N9" s="83">
        <f t="shared" si="6"/>
        <v>7.1759073359073361E-8</v>
      </c>
      <c r="O9" s="83">
        <f t="shared" si="7"/>
        <v>5.3127359999999993E-6</v>
      </c>
      <c r="P9" s="83">
        <f t="shared" si="8"/>
        <v>4.1469999999999997E-7</v>
      </c>
      <c r="Q9" s="83">
        <f t="shared" si="9"/>
        <v>4.9067544855780146E-2</v>
      </c>
      <c r="R9" s="83">
        <f t="shared" si="0"/>
        <v>0.53442971542324569</v>
      </c>
      <c r="S9" s="83">
        <f t="shared" si="10"/>
        <v>0</v>
      </c>
      <c r="T9" s="83">
        <f t="shared" si="11"/>
        <v>4.1418302945301542E-2</v>
      </c>
      <c r="U9" s="83">
        <f t="shared" si="12"/>
        <v>5.8765932318873481E-3</v>
      </c>
      <c r="V9" s="83">
        <f t="shared" si="13"/>
        <v>2.3150215761980467E-3</v>
      </c>
      <c r="W9" s="83">
        <f t="shared" si="14"/>
        <v>0.28255135135135134</v>
      </c>
      <c r="X9" s="83">
        <f t="shared" si="15"/>
        <v>0.56510270270270269</v>
      </c>
      <c r="Y9" s="83">
        <f t="shared" si="16"/>
        <v>8.9698841698841695E-8</v>
      </c>
      <c r="Z9" s="83">
        <f t="shared" si="17"/>
        <v>1.0193050193050191E-6</v>
      </c>
      <c r="AA9" s="83">
        <f t="shared" si="18"/>
        <v>1.0193050193050192E-15</v>
      </c>
      <c r="AB9" s="131">
        <f t="shared" si="19"/>
        <v>17.153900118182474</v>
      </c>
      <c r="AG9" s="3"/>
      <c r="AI9" s="3"/>
      <c r="AL9" s="1"/>
      <c r="AN9" s="1"/>
    </row>
    <row r="10" spans="1:40">
      <c r="A10" s="5" t="s">
        <v>635</v>
      </c>
      <c r="B10">
        <v>4.5</v>
      </c>
      <c r="C10">
        <v>2</v>
      </c>
      <c r="D10">
        <v>0.17299999999999999</v>
      </c>
      <c r="F10">
        <v>0.11</v>
      </c>
      <c r="H10" s="83">
        <f t="shared" si="1"/>
        <v>2.9200153204633203E-6</v>
      </c>
      <c r="I10" s="83">
        <f t="shared" si="2"/>
        <v>9.9311065650655257E-7</v>
      </c>
      <c r="J10" s="83">
        <f t="shared" si="3"/>
        <v>3.2567254270146715E-4</v>
      </c>
      <c r="L10" s="83">
        <f t="shared" si="4"/>
        <v>1.0763861003861002E-5</v>
      </c>
      <c r="M10" s="83">
        <f t="shared" si="5"/>
        <v>5.2473822393822384E-6</v>
      </c>
      <c r="N10" s="83">
        <f t="shared" si="6"/>
        <v>7.1759073359073361E-8</v>
      </c>
      <c r="O10" s="83">
        <f t="shared" si="7"/>
        <v>5.3127359999999993E-6</v>
      </c>
      <c r="P10" s="83">
        <f t="shared" si="8"/>
        <v>4.1469999999999997E-7</v>
      </c>
      <c r="Q10" s="83">
        <f t="shared" si="9"/>
        <v>4.9067544855780146E-2</v>
      </c>
      <c r="R10" s="83">
        <f t="shared" si="0"/>
        <v>0.20545853504049222</v>
      </c>
      <c r="S10" s="83">
        <f t="shared" si="10"/>
        <v>0</v>
      </c>
      <c r="T10" s="83">
        <f t="shared" si="11"/>
        <v>1.5923036465638148E-2</v>
      </c>
      <c r="U10" s="83">
        <f t="shared" si="12"/>
        <v>5.8765932318873481E-3</v>
      </c>
      <c r="V10" s="83">
        <f t="shared" si="13"/>
        <v>2.3150215761980467E-3</v>
      </c>
      <c r="W10" s="83">
        <f t="shared" si="14"/>
        <v>0.28255135135135134</v>
      </c>
      <c r="X10" s="83">
        <f t="shared" si="15"/>
        <v>0.56510270270270269</v>
      </c>
      <c r="Y10" s="83">
        <f t="shared" si="16"/>
        <v>8.9698841698841695E-8</v>
      </c>
      <c r="Z10" s="83">
        <f t="shared" si="17"/>
        <v>1.0193050193050191E-6</v>
      </c>
      <c r="AA10" s="83">
        <f t="shared" si="18"/>
        <v>1.0193050193050192E-15</v>
      </c>
      <c r="AB10" s="131">
        <f t="shared" si="19"/>
        <v>17.0010003900783</v>
      </c>
      <c r="AG10" s="3"/>
      <c r="AI10" s="3"/>
      <c r="AL10" s="1"/>
      <c r="AN10" s="1"/>
    </row>
    <row r="11" spans="1:40">
      <c r="A11" t="s">
        <v>199</v>
      </c>
      <c r="B11">
        <v>4.5</v>
      </c>
      <c r="C11">
        <v>2</v>
      </c>
      <c r="D11">
        <v>1.04</v>
      </c>
      <c r="F11">
        <v>0.11</v>
      </c>
      <c r="H11" s="83">
        <f t="shared" si="1"/>
        <v>2.9200153204633203E-6</v>
      </c>
      <c r="I11" s="83">
        <f t="shared" si="2"/>
        <v>5.9701449870914148E-6</v>
      </c>
      <c r="J11" s="83">
        <f t="shared" si="3"/>
        <v>3.2567254270146715E-4</v>
      </c>
      <c r="L11" s="83">
        <f t="shared" si="4"/>
        <v>1.0763861003861002E-5</v>
      </c>
      <c r="M11" s="83">
        <f t="shared" si="5"/>
        <v>5.2473822393822384E-6</v>
      </c>
      <c r="N11" s="83">
        <f t="shared" si="6"/>
        <v>7.1759073359073361E-8</v>
      </c>
      <c r="O11" s="83">
        <f t="shared" si="7"/>
        <v>5.3127359999999993E-6</v>
      </c>
      <c r="P11" s="83">
        <f t="shared" si="8"/>
        <v>4.1469999999999997E-7</v>
      </c>
      <c r="Q11" s="83">
        <f t="shared" si="9"/>
        <v>4.9067544855780146E-2</v>
      </c>
      <c r="R11" s="83">
        <f t="shared" si="0"/>
        <v>1.2351264534226123</v>
      </c>
      <c r="S11" s="83">
        <f t="shared" si="10"/>
        <v>0</v>
      </c>
      <c r="T11" s="83">
        <f t="shared" si="11"/>
        <v>9.5722300140252459E-2</v>
      </c>
      <c r="U11" s="83">
        <f t="shared" si="12"/>
        <v>5.8765932318873481E-3</v>
      </c>
      <c r="V11" s="83">
        <f t="shared" si="13"/>
        <v>2.3150215761980467E-3</v>
      </c>
      <c r="W11" s="83">
        <f t="shared" si="14"/>
        <v>0.28255135135135134</v>
      </c>
      <c r="X11" s="83">
        <f t="shared" si="15"/>
        <v>0.56510270270270269</v>
      </c>
      <c r="Y11" s="83">
        <f t="shared" si="16"/>
        <v>8.9698841698841695E-8</v>
      </c>
      <c r="Z11" s="83">
        <f t="shared" si="17"/>
        <v>1.0193050193050191E-6</v>
      </c>
      <c r="AA11" s="83">
        <f t="shared" si="18"/>
        <v>1.0193050193050192E-15</v>
      </c>
      <c r="AB11" s="131">
        <f t="shared" si="19"/>
        <v>17.479571019198595</v>
      </c>
      <c r="AG11" s="3"/>
      <c r="AI11" s="3"/>
      <c r="AL11" s="1"/>
      <c r="AN11" s="1"/>
    </row>
    <row r="12" spans="1:40">
      <c r="A12" t="s">
        <v>200</v>
      </c>
      <c r="B12">
        <v>4.5</v>
      </c>
      <c r="C12">
        <v>2</v>
      </c>
      <c r="D12">
        <v>0.82</v>
      </c>
      <c r="F12">
        <v>0.11</v>
      </c>
      <c r="H12" s="83">
        <f t="shared" si="1"/>
        <v>2.9200153204633203E-6</v>
      </c>
      <c r="I12" s="83">
        <f t="shared" si="2"/>
        <v>4.7072297013605375E-6</v>
      </c>
      <c r="J12" s="83">
        <f t="shared" si="3"/>
        <v>3.2567254270146715E-4</v>
      </c>
      <c r="L12" s="83">
        <f t="shared" si="4"/>
        <v>1.0763861003861002E-5</v>
      </c>
      <c r="M12" s="83">
        <f t="shared" si="5"/>
        <v>5.2473822393822384E-6</v>
      </c>
      <c r="N12" s="83">
        <f t="shared" si="6"/>
        <v>7.1759073359073361E-8</v>
      </c>
      <c r="O12" s="83">
        <f t="shared" si="7"/>
        <v>5.3127359999999993E-6</v>
      </c>
      <c r="P12" s="83">
        <f t="shared" si="8"/>
        <v>4.1469999999999997E-7</v>
      </c>
      <c r="Q12" s="83">
        <f t="shared" si="9"/>
        <v>4.9067544855780146E-2</v>
      </c>
      <c r="R12" s="83">
        <f t="shared" si="0"/>
        <v>0.97384970366013657</v>
      </c>
      <c r="S12" s="83">
        <f t="shared" si="10"/>
        <v>0</v>
      </c>
      <c r="T12" s="83">
        <f t="shared" si="11"/>
        <v>7.5473352033660582E-2</v>
      </c>
      <c r="U12" s="83">
        <f t="shared" si="12"/>
        <v>5.8765932318873481E-3</v>
      </c>
      <c r="V12" s="83">
        <f t="shared" si="13"/>
        <v>2.3150215761980467E-3</v>
      </c>
      <c r="W12" s="83">
        <f t="shared" si="14"/>
        <v>0.28255135135135134</v>
      </c>
      <c r="X12" s="83">
        <f t="shared" si="15"/>
        <v>0.56510270270270269</v>
      </c>
      <c r="Y12" s="83">
        <f t="shared" si="16"/>
        <v>8.9698841698841695E-8</v>
      </c>
      <c r="Z12" s="83">
        <f t="shared" si="17"/>
        <v>1.0193050193050191E-6</v>
      </c>
      <c r="AA12" s="83">
        <f t="shared" si="18"/>
        <v>1.0193050193050192E-15</v>
      </c>
      <c r="AB12" s="131">
        <f t="shared" si="19"/>
        <v>17.358134412040041</v>
      </c>
      <c r="AG12" s="3"/>
      <c r="AI12" s="3"/>
      <c r="AL12" s="1"/>
      <c r="AN12" s="1"/>
    </row>
    <row r="13" spans="1:40">
      <c r="A13" t="s">
        <v>201</v>
      </c>
      <c r="B13">
        <v>4.5</v>
      </c>
      <c r="C13">
        <v>2</v>
      </c>
      <c r="D13">
        <v>0.9</v>
      </c>
      <c r="F13">
        <v>0.11</v>
      </c>
      <c r="H13" s="83">
        <f t="shared" si="1"/>
        <v>2.9200153204633203E-6</v>
      </c>
      <c r="I13" s="83">
        <f t="shared" si="2"/>
        <v>5.1664716234444929E-6</v>
      </c>
      <c r="J13" s="83">
        <f t="shared" si="3"/>
        <v>3.2567254270146715E-4</v>
      </c>
      <c r="L13" s="83">
        <f t="shared" si="4"/>
        <v>1.0763861003861002E-5</v>
      </c>
      <c r="M13" s="83">
        <f t="shared" si="5"/>
        <v>5.2473822393822384E-6</v>
      </c>
      <c r="N13" s="83">
        <f t="shared" si="6"/>
        <v>7.1759073359073361E-8</v>
      </c>
      <c r="O13" s="83">
        <f t="shared" si="7"/>
        <v>5.3127359999999993E-6</v>
      </c>
      <c r="P13" s="83">
        <f t="shared" si="8"/>
        <v>4.1469999999999997E-7</v>
      </c>
      <c r="Q13" s="83">
        <f t="shared" si="9"/>
        <v>4.9067544855780146E-2</v>
      </c>
      <c r="R13" s="83">
        <f t="shared" si="0"/>
        <v>1.0688594308464914</v>
      </c>
      <c r="S13" s="83">
        <f t="shared" si="10"/>
        <v>0</v>
      </c>
      <c r="T13" s="83">
        <f t="shared" si="11"/>
        <v>8.2836605890603085E-2</v>
      </c>
      <c r="U13" s="83">
        <f t="shared" si="12"/>
        <v>5.8765932318873481E-3</v>
      </c>
      <c r="V13" s="83">
        <f t="shared" si="13"/>
        <v>2.3150215761980467E-3</v>
      </c>
      <c r="W13" s="83">
        <f t="shared" si="14"/>
        <v>0.28255135135135134</v>
      </c>
      <c r="X13" s="83">
        <f t="shared" si="15"/>
        <v>0.56510270270270269</v>
      </c>
      <c r="Y13" s="83">
        <f t="shared" si="16"/>
        <v>8.9698841698841695E-8</v>
      </c>
      <c r="Z13" s="83">
        <f t="shared" si="17"/>
        <v>1.0193050193050191E-6</v>
      </c>
      <c r="AA13" s="83">
        <f t="shared" si="18"/>
        <v>1.0193050193050192E-15</v>
      </c>
      <c r="AB13" s="131">
        <f t="shared" si="19"/>
        <v>17.402293178279514</v>
      </c>
      <c r="AG13" s="3"/>
      <c r="AI13" s="3"/>
      <c r="AL13" s="1"/>
      <c r="AN13" s="1"/>
    </row>
    <row r="14" spans="1:40">
      <c r="A14" t="s">
        <v>614</v>
      </c>
      <c r="B14">
        <v>4.5</v>
      </c>
      <c r="C14">
        <v>2</v>
      </c>
      <c r="D14">
        <v>0.47899999999999998</v>
      </c>
      <c r="F14">
        <v>0.11</v>
      </c>
      <c r="H14" s="83">
        <f t="shared" si="1"/>
        <v>2.9200153204633203E-6</v>
      </c>
      <c r="I14" s="83">
        <f t="shared" si="2"/>
        <v>2.7497110084776802E-6</v>
      </c>
      <c r="J14" s="83">
        <f t="shared" si="3"/>
        <v>3.2567254270146715E-4</v>
      </c>
      <c r="L14" s="83">
        <f t="shared" si="4"/>
        <v>1.0763861003861002E-5</v>
      </c>
      <c r="M14" s="83">
        <f t="shared" si="5"/>
        <v>5.2473822393822384E-6</v>
      </c>
      <c r="N14" s="83">
        <f t="shared" si="6"/>
        <v>7.1759073359073361E-8</v>
      </c>
      <c r="O14" s="83">
        <f t="shared" si="7"/>
        <v>5.3127359999999993E-6</v>
      </c>
      <c r="P14" s="83">
        <f t="shared" si="8"/>
        <v>4.1469999999999997E-7</v>
      </c>
      <c r="Q14" s="83">
        <f t="shared" si="9"/>
        <v>4.9067544855780146E-2</v>
      </c>
      <c r="R14" s="83">
        <f t="shared" si="0"/>
        <v>0.56887074152829931</v>
      </c>
      <c r="S14" s="83">
        <f t="shared" si="10"/>
        <v>0</v>
      </c>
      <c r="T14" s="83">
        <f t="shared" si="11"/>
        <v>4.4087482468443198E-2</v>
      </c>
      <c r="U14" s="83">
        <f t="shared" si="12"/>
        <v>5.8765932318873481E-3</v>
      </c>
      <c r="V14" s="83">
        <f t="shared" si="13"/>
        <v>2.3150215761980467E-3</v>
      </c>
      <c r="W14" s="83">
        <f t="shared" si="14"/>
        <v>0.28255135135135134</v>
      </c>
      <c r="X14" s="83">
        <f t="shared" si="15"/>
        <v>0.56510270270270269</v>
      </c>
      <c r="Y14" s="83">
        <f t="shared" si="16"/>
        <v>8.9698841698841695E-8</v>
      </c>
      <c r="Z14" s="83">
        <f t="shared" si="17"/>
        <v>1.0193050193050191E-6</v>
      </c>
      <c r="AA14" s="83">
        <f t="shared" si="18"/>
        <v>1.0193050193050192E-15</v>
      </c>
      <c r="AB14" s="131">
        <f t="shared" si="19"/>
        <v>17.169907670944283</v>
      </c>
      <c r="AG14" s="3"/>
      <c r="AI14" s="3"/>
      <c r="AL14" s="1"/>
      <c r="AN14" s="1"/>
    </row>
    <row r="15" spans="1:40">
      <c r="A15" t="s">
        <v>615</v>
      </c>
      <c r="B15">
        <v>4.5</v>
      </c>
      <c r="C15">
        <v>2</v>
      </c>
      <c r="D15">
        <v>0.24099999999999999</v>
      </c>
      <c r="F15">
        <v>0.11</v>
      </c>
      <c r="H15" s="83">
        <f t="shared" si="1"/>
        <v>2.9200153204633203E-6</v>
      </c>
      <c r="I15" s="83">
        <f t="shared" si="2"/>
        <v>1.3834662902779141E-6</v>
      </c>
      <c r="J15" s="83">
        <f t="shared" si="3"/>
        <v>3.2567254270146715E-4</v>
      </c>
      <c r="L15" s="83">
        <f t="shared" si="4"/>
        <v>1.0763861003861002E-5</v>
      </c>
      <c r="M15" s="83">
        <f t="shared" si="5"/>
        <v>5.2473822393822384E-6</v>
      </c>
      <c r="N15" s="83">
        <f t="shared" si="6"/>
        <v>7.1759073359073361E-8</v>
      </c>
      <c r="O15" s="83">
        <f t="shared" si="7"/>
        <v>5.3127359999999993E-6</v>
      </c>
      <c r="P15" s="83">
        <f t="shared" si="8"/>
        <v>4.1469999999999997E-7</v>
      </c>
      <c r="Q15" s="83">
        <f t="shared" si="9"/>
        <v>4.9067544855780146E-2</v>
      </c>
      <c r="R15" s="83">
        <f t="shared" si="0"/>
        <v>0.28621680314889381</v>
      </c>
      <c r="S15" s="83">
        <f t="shared" si="10"/>
        <v>0</v>
      </c>
      <c r="T15" s="83">
        <f t="shared" si="11"/>
        <v>2.2181802244039272E-2</v>
      </c>
      <c r="U15" s="83">
        <f t="shared" si="12"/>
        <v>5.8765932318873481E-3</v>
      </c>
      <c r="V15" s="83">
        <f t="shared" si="13"/>
        <v>2.3150215761980467E-3</v>
      </c>
      <c r="W15" s="83">
        <f t="shared" si="14"/>
        <v>0.28255135135135134</v>
      </c>
      <c r="X15" s="83">
        <f t="shared" si="15"/>
        <v>0.56510270270270269</v>
      </c>
      <c r="Y15" s="83">
        <f t="shared" si="16"/>
        <v>8.9698841698841695E-8</v>
      </c>
      <c r="Z15" s="83">
        <f t="shared" si="17"/>
        <v>1.0193050193050191E-6</v>
      </c>
      <c r="AA15" s="83">
        <f t="shared" si="18"/>
        <v>1.0193050193050192E-15</v>
      </c>
      <c r="AB15" s="131">
        <f t="shared" si="19"/>
        <v>17.038535341381856</v>
      </c>
      <c r="AG15" s="3"/>
      <c r="AI15" s="3"/>
      <c r="AL15" s="1"/>
      <c r="AN15" s="1"/>
    </row>
    <row r="16" spans="1:40">
      <c r="A16" t="s">
        <v>202</v>
      </c>
      <c r="B16">
        <v>4.5</v>
      </c>
      <c r="C16">
        <v>2</v>
      </c>
      <c r="D16">
        <v>1</v>
      </c>
      <c r="F16">
        <v>0.11</v>
      </c>
      <c r="H16" s="83">
        <f t="shared" si="1"/>
        <v>2.9200153204633203E-6</v>
      </c>
      <c r="I16" s="83">
        <f t="shared" si="2"/>
        <v>5.7405240260494371E-6</v>
      </c>
      <c r="J16" s="83">
        <f t="shared" si="3"/>
        <v>3.2567254270146715E-4</v>
      </c>
      <c r="L16" s="83">
        <f t="shared" si="4"/>
        <v>1.0763861003861002E-5</v>
      </c>
      <c r="M16" s="83">
        <f t="shared" si="5"/>
        <v>5.2473822393822384E-6</v>
      </c>
      <c r="N16" s="83">
        <f t="shared" si="6"/>
        <v>7.1759073359073361E-8</v>
      </c>
      <c r="O16" s="83">
        <f t="shared" si="7"/>
        <v>5.3127359999999993E-6</v>
      </c>
      <c r="P16" s="83">
        <f t="shared" si="8"/>
        <v>4.1469999999999997E-7</v>
      </c>
      <c r="Q16" s="83">
        <f t="shared" si="9"/>
        <v>4.9067544855780146E-2</v>
      </c>
      <c r="R16" s="83">
        <f t="shared" si="0"/>
        <v>1.1876215898294349</v>
      </c>
      <c r="S16" s="83">
        <f t="shared" si="10"/>
        <v>0</v>
      </c>
      <c r="T16" s="83">
        <f t="shared" si="11"/>
        <v>9.2040673211781207E-2</v>
      </c>
      <c r="U16" s="83">
        <f t="shared" si="12"/>
        <v>5.8765932318873481E-3</v>
      </c>
      <c r="V16" s="83">
        <f t="shared" si="13"/>
        <v>2.3150215761980467E-3</v>
      </c>
      <c r="W16" s="83">
        <f t="shared" si="14"/>
        <v>0.28255135135135134</v>
      </c>
      <c r="X16" s="83">
        <f t="shared" si="15"/>
        <v>0.56510270270270269</v>
      </c>
      <c r="Y16" s="83">
        <f t="shared" si="16"/>
        <v>8.9698841698841695E-8</v>
      </c>
      <c r="Z16" s="83">
        <f t="shared" si="17"/>
        <v>1.0193050193050191E-6</v>
      </c>
      <c r="AA16" s="83">
        <f t="shared" si="18"/>
        <v>1.0193050193050192E-15</v>
      </c>
      <c r="AB16" s="131">
        <f t="shared" si="19"/>
        <v>17.45749163607886</v>
      </c>
      <c r="AG16" s="3"/>
      <c r="AI16" s="3"/>
      <c r="AL16" s="1"/>
      <c r="AN16" s="1"/>
    </row>
    <row r="17" spans="1:40">
      <c r="A17" t="s">
        <v>618</v>
      </c>
      <c r="B17">
        <v>4.5</v>
      </c>
      <c r="C17">
        <v>2</v>
      </c>
      <c r="D17">
        <v>0.41099999999999998</v>
      </c>
      <c r="F17">
        <v>0.11</v>
      </c>
      <c r="H17" s="83">
        <f t="shared" si="1"/>
        <v>2.9200153204633203E-6</v>
      </c>
      <c r="I17" s="83">
        <f t="shared" si="2"/>
        <v>2.3593553747063187E-6</v>
      </c>
      <c r="J17" s="83">
        <f t="shared" si="3"/>
        <v>3.2567254270146715E-4</v>
      </c>
      <c r="L17" s="83">
        <f t="shared" si="4"/>
        <v>1.0763861003861002E-5</v>
      </c>
      <c r="M17" s="83">
        <f t="shared" si="5"/>
        <v>5.2473822393822384E-6</v>
      </c>
      <c r="N17" s="83">
        <f t="shared" si="6"/>
        <v>7.1759073359073361E-8</v>
      </c>
      <c r="O17" s="83">
        <f t="shared" si="7"/>
        <v>5.3127359999999993E-6</v>
      </c>
      <c r="P17" s="83">
        <f t="shared" si="8"/>
        <v>4.1469999999999997E-7</v>
      </c>
      <c r="Q17" s="83">
        <f t="shared" si="9"/>
        <v>4.9067544855780146E-2</v>
      </c>
      <c r="R17" s="83">
        <f t="shared" si="0"/>
        <v>0.48811247341989772</v>
      </c>
      <c r="S17" s="83">
        <f t="shared" si="10"/>
        <v>0</v>
      </c>
      <c r="T17" s="83">
        <f t="shared" si="11"/>
        <v>3.7828716690042077E-2</v>
      </c>
      <c r="U17" s="83">
        <f t="shared" si="12"/>
        <v>5.8765932318873481E-3</v>
      </c>
      <c r="V17" s="83">
        <f t="shared" si="13"/>
        <v>2.3150215761980467E-3</v>
      </c>
      <c r="W17" s="83">
        <f t="shared" si="14"/>
        <v>0.28255135135135134</v>
      </c>
      <c r="X17" s="83">
        <f t="shared" si="15"/>
        <v>0.56510270270270269</v>
      </c>
      <c r="Y17" s="83">
        <f t="shared" si="16"/>
        <v>8.9698841698841695E-8</v>
      </c>
      <c r="Z17" s="83">
        <f t="shared" si="17"/>
        <v>1.0193050193050191E-6</v>
      </c>
      <c r="AA17" s="83">
        <f t="shared" si="18"/>
        <v>1.0193050193050192E-15</v>
      </c>
      <c r="AB17" s="131">
        <f t="shared" si="19"/>
        <v>17.132372719640735</v>
      </c>
      <c r="AG17" s="3"/>
      <c r="AI17" s="3"/>
      <c r="AL17" s="1"/>
      <c r="AN17" s="1"/>
    </row>
    <row r="18" spans="1:40">
      <c r="A18" t="s">
        <v>622</v>
      </c>
      <c r="B18">
        <v>4.5</v>
      </c>
      <c r="C18">
        <v>2</v>
      </c>
      <c r="D18">
        <v>0.36399999999999999</v>
      </c>
      <c r="F18">
        <v>0.11</v>
      </c>
      <c r="H18" s="83">
        <f t="shared" si="1"/>
        <v>2.9200153204633203E-6</v>
      </c>
      <c r="I18" s="83">
        <f t="shared" si="2"/>
        <v>2.089550745481995E-6</v>
      </c>
      <c r="J18" s="83">
        <f t="shared" si="3"/>
        <v>3.2567254270146715E-4</v>
      </c>
      <c r="L18" s="83">
        <f t="shared" si="4"/>
        <v>1.0763861003861002E-5</v>
      </c>
      <c r="M18" s="83">
        <f t="shared" si="5"/>
        <v>5.2473822393822384E-6</v>
      </c>
      <c r="N18" s="83">
        <f t="shared" si="6"/>
        <v>7.1759073359073361E-8</v>
      </c>
      <c r="O18" s="83">
        <f t="shared" si="7"/>
        <v>5.3127359999999993E-6</v>
      </c>
      <c r="P18" s="83">
        <f t="shared" si="8"/>
        <v>4.1469999999999997E-7</v>
      </c>
      <c r="Q18" s="83">
        <f t="shared" si="9"/>
        <v>4.9067544855780146E-2</v>
      </c>
      <c r="R18" s="83">
        <f t="shared" si="0"/>
        <v>0.43229425869791427</v>
      </c>
      <c r="S18" s="83">
        <f t="shared" si="10"/>
        <v>0</v>
      </c>
      <c r="T18" s="83">
        <f t="shared" si="11"/>
        <v>3.3502805049088362E-2</v>
      </c>
      <c r="U18" s="83">
        <f t="shared" si="12"/>
        <v>5.8765932318873481E-3</v>
      </c>
      <c r="V18" s="83">
        <f t="shared" si="13"/>
        <v>2.3150215761980467E-3</v>
      </c>
      <c r="W18" s="83">
        <f t="shared" si="14"/>
        <v>0.28255135135135134</v>
      </c>
      <c r="X18" s="83">
        <f t="shared" si="15"/>
        <v>0.56510270270270269</v>
      </c>
      <c r="Y18" s="83">
        <f t="shared" si="16"/>
        <v>8.9698841698841695E-8</v>
      </c>
      <c r="Z18" s="83">
        <f t="shared" si="17"/>
        <v>1.0193050193050191E-6</v>
      </c>
      <c r="AA18" s="83">
        <f t="shared" si="18"/>
        <v>1.0193050193050192E-15</v>
      </c>
      <c r="AB18" s="131">
        <f t="shared" si="19"/>
        <v>17.106429444475044</v>
      </c>
      <c r="AG18" s="3"/>
      <c r="AI18" s="3"/>
      <c r="AL18" s="1"/>
      <c r="AN18" s="1"/>
    </row>
    <row r="19" spans="1:40">
      <c r="A19" t="s">
        <v>203</v>
      </c>
      <c r="B19">
        <v>4.5</v>
      </c>
      <c r="C19">
        <v>2</v>
      </c>
      <c r="D19">
        <v>0.98</v>
      </c>
      <c r="F19">
        <v>0.11</v>
      </c>
      <c r="H19" s="83">
        <f t="shared" si="1"/>
        <v>2.9200153204633203E-6</v>
      </c>
      <c r="I19" s="83">
        <f t="shared" si="2"/>
        <v>5.6257135455284474E-6</v>
      </c>
      <c r="J19" s="83">
        <f t="shared" si="3"/>
        <v>3.2567254270146715E-4</v>
      </c>
      <c r="L19" s="83">
        <f t="shared" si="4"/>
        <v>1.0763861003861002E-5</v>
      </c>
      <c r="M19" s="83">
        <f t="shared" si="5"/>
        <v>5.2473822393822384E-6</v>
      </c>
      <c r="N19" s="83">
        <f t="shared" si="6"/>
        <v>7.1759073359073361E-8</v>
      </c>
      <c r="O19" s="83">
        <f t="shared" si="7"/>
        <v>5.3127359999999993E-6</v>
      </c>
      <c r="P19" s="83">
        <f t="shared" si="8"/>
        <v>4.1469999999999997E-7</v>
      </c>
      <c r="Q19" s="83">
        <f t="shared" si="9"/>
        <v>4.9067544855780146E-2</v>
      </c>
      <c r="R19" s="83">
        <f t="shared" si="0"/>
        <v>1.1638691580328462</v>
      </c>
      <c r="S19" s="83">
        <f t="shared" si="10"/>
        <v>0</v>
      </c>
      <c r="T19" s="83">
        <f t="shared" si="11"/>
        <v>9.0199859747545588E-2</v>
      </c>
      <c r="U19" s="83">
        <f t="shared" si="12"/>
        <v>5.8765932318873481E-3</v>
      </c>
      <c r="V19" s="83">
        <f t="shared" si="13"/>
        <v>2.3150215761980467E-3</v>
      </c>
      <c r="W19" s="83">
        <f t="shared" si="14"/>
        <v>0.28255135135135134</v>
      </c>
      <c r="X19" s="83">
        <f t="shared" si="15"/>
        <v>0.56510270270270269</v>
      </c>
      <c r="Y19" s="83">
        <f t="shared" si="16"/>
        <v>8.9698841698841695E-8</v>
      </c>
      <c r="Z19" s="83">
        <f t="shared" si="17"/>
        <v>1.0193050193050191E-6</v>
      </c>
      <c r="AA19" s="83">
        <f t="shared" si="18"/>
        <v>1.0193050193050192E-15</v>
      </c>
      <c r="AB19" s="131">
        <f t="shared" si="19"/>
        <v>17.446451944518991</v>
      </c>
      <c r="AG19" s="3"/>
      <c r="AI19" s="3"/>
      <c r="AL19" s="1"/>
      <c r="AN19" s="1"/>
    </row>
    <row r="20" spans="1:40">
      <c r="A20" t="s">
        <v>204</v>
      </c>
      <c r="B20">
        <v>4.5</v>
      </c>
      <c r="C20">
        <v>2</v>
      </c>
      <c r="D20">
        <v>0.87</v>
      </c>
      <c r="F20">
        <v>0.11</v>
      </c>
      <c r="H20" s="83">
        <f t="shared" si="1"/>
        <v>2.9200153204633203E-6</v>
      </c>
      <c r="I20" s="83">
        <f t="shared" si="2"/>
        <v>4.9942559026630101E-6</v>
      </c>
      <c r="J20" s="83">
        <f t="shared" si="3"/>
        <v>3.2567254270146715E-4</v>
      </c>
      <c r="L20" s="83">
        <f t="shared" si="4"/>
        <v>1.0763861003861002E-5</v>
      </c>
      <c r="M20" s="83">
        <f t="shared" si="5"/>
        <v>5.2473822393822384E-6</v>
      </c>
      <c r="N20" s="83">
        <f t="shared" si="6"/>
        <v>7.1759073359073361E-8</v>
      </c>
      <c r="O20" s="83">
        <f t="shared" si="7"/>
        <v>5.3127359999999993E-6</v>
      </c>
      <c r="P20" s="83">
        <f t="shared" si="8"/>
        <v>4.1469999999999997E-7</v>
      </c>
      <c r="Q20" s="83">
        <f t="shared" si="9"/>
        <v>4.9067544855780146E-2</v>
      </c>
      <c r="R20" s="83">
        <f t="shared" si="0"/>
        <v>1.0332307831516083</v>
      </c>
      <c r="S20" s="83">
        <f t="shared" si="10"/>
        <v>0</v>
      </c>
      <c r="T20" s="83">
        <f t="shared" si="11"/>
        <v>8.0075385694249657E-2</v>
      </c>
      <c r="U20" s="83">
        <f t="shared" si="12"/>
        <v>5.8765932318873481E-3</v>
      </c>
      <c r="V20" s="83">
        <f t="shared" si="13"/>
        <v>2.3150215761980467E-3</v>
      </c>
      <c r="W20" s="83">
        <f t="shared" si="14"/>
        <v>0.28255135135135134</v>
      </c>
      <c r="X20" s="83">
        <f t="shared" si="15"/>
        <v>0.56510270270270269</v>
      </c>
      <c r="Y20" s="83">
        <f t="shared" si="16"/>
        <v>8.9698841698841695E-8</v>
      </c>
      <c r="Z20" s="83">
        <f t="shared" si="17"/>
        <v>1.0193050193050191E-6</v>
      </c>
      <c r="AA20" s="83">
        <f t="shared" si="18"/>
        <v>1.0193050193050192E-15</v>
      </c>
      <c r="AB20" s="131">
        <f t="shared" si="19"/>
        <v>17.385733640939716</v>
      </c>
      <c r="AG20" s="3"/>
      <c r="AI20" s="3"/>
      <c r="AL20" s="1"/>
      <c r="AN20" s="1"/>
    </row>
    <row r="21" spans="1:40">
      <c r="A21" t="s">
        <v>205</v>
      </c>
      <c r="B21">
        <v>4.5</v>
      </c>
      <c r="C21">
        <v>2</v>
      </c>
      <c r="D21">
        <v>0.97</v>
      </c>
      <c r="F21">
        <v>0.11</v>
      </c>
      <c r="H21" s="83">
        <f t="shared" si="1"/>
        <v>2.9200153204633203E-6</v>
      </c>
      <c r="I21" s="83">
        <f t="shared" si="2"/>
        <v>5.5683083052679534E-6</v>
      </c>
      <c r="J21" s="83">
        <f t="shared" si="3"/>
        <v>3.2567254270146715E-4</v>
      </c>
      <c r="L21" s="83">
        <f t="shared" si="4"/>
        <v>1.0763861003861002E-5</v>
      </c>
      <c r="M21" s="83">
        <f t="shared" si="5"/>
        <v>5.2473822393822384E-6</v>
      </c>
      <c r="N21" s="83">
        <f t="shared" si="6"/>
        <v>7.1759073359073361E-8</v>
      </c>
      <c r="O21" s="83">
        <f t="shared" si="7"/>
        <v>5.3127359999999993E-6</v>
      </c>
      <c r="P21" s="83">
        <f t="shared" si="8"/>
        <v>4.1469999999999997E-7</v>
      </c>
      <c r="Q21" s="83">
        <f t="shared" si="9"/>
        <v>4.9067544855780146E-2</v>
      </c>
      <c r="R21" s="83">
        <f t="shared" si="0"/>
        <v>1.1519929421345518</v>
      </c>
      <c r="S21" s="83">
        <f t="shared" si="10"/>
        <v>0</v>
      </c>
      <c r="T21" s="83">
        <f t="shared" si="11"/>
        <v>8.9279453015427765E-2</v>
      </c>
      <c r="U21" s="83">
        <f t="shared" si="12"/>
        <v>5.8765932318873481E-3</v>
      </c>
      <c r="V21" s="83">
        <f t="shared" si="13"/>
        <v>2.3150215761980467E-3</v>
      </c>
      <c r="W21" s="83">
        <f t="shared" si="14"/>
        <v>0.28255135135135134</v>
      </c>
      <c r="X21" s="83">
        <f t="shared" si="15"/>
        <v>0.56510270270270269</v>
      </c>
      <c r="Y21" s="83">
        <f t="shared" si="16"/>
        <v>8.9698841698841695E-8</v>
      </c>
      <c r="Z21" s="83">
        <f t="shared" si="17"/>
        <v>1.0193050193050191E-6</v>
      </c>
      <c r="AA21" s="83">
        <f t="shared" si="18"/>
        <v>1.0193050193050192E-15</v>
      </c>
      <c r="AB21" s="131">
        <f t="shared" si="19"/>
        <v>17.440932098739051</v>
      </c>
      <c r="AG21" s="3"/>
      <c r="AI21" s="3"/>
      <c r="AL21" s="1"/>
      <c r="AN21" s="1"/>
    </row>
    <row r="22" spans="1:40">
      <c r="A22" t="s">
        <v>206</v>
      </c>
      <c r="B22">
        <v>4.5</v>
      </c>
      <c r="C22">
        <v>2</v>
      </c>
      <c r="D22">
        <v>0.87</v>
      </c>
      <c r="F22">
        <v>0.11</v>
      </c>
      <c r="H22" s="83">
        <f t="shared" si="1"/>
        <v>2.9200153204633203E-6</v>
      </c>
      <c r="I22" s="83">
        <f t="shared" si="2"/>
        <v>4.9942559026630101E-6</v>
      </c>
      <c r="J22" s="83">
        <f t="shared" si="3"/>
        <v>3.2567254270146715E-4</v>
      </c>
      <c r="L22" s="83">
        <f t="shared" si="4"/>
        <v>1.0763861003861002E-5</v>
      </c>
      <c r="M22" s="83">
        <f t="shared" si="5"/>
        <v>5.2473822393822384E-6</v>
      </c>
      <c r="N22" s="83">
        <f t="shared" si="6"/>
        <v>7.1759073359073361E-8</v>
      </c>
      <c r="O22" s="83">
        <f t="shared" si="7"/>
        <v>5.3127359999999993E-6</v>
      </c>
      <c r="P22" s="83">
        <f t="shared" si="8"/>
        <v>4.1469999999999997E-7</v>
      </c>
      <c r="Q22" s="83">
        <f t="shared" si="9"/>
        <v>4.9067544855780146E-2</v>
      </c>
      <c r="R22" s="83">
        <f t="shared" si="0"/>
        <v>1.0332307831516083</v>
      </c>
      <c r="S22" s="83">
        <f t="shared" si="10"/>
        <v>0</v>
      </c>
      <c r="T22" s="83">
        <f t="shared" si="11"/>
        <v>8.0075385694249657E-2</v>
      </c>
      <c r="U22" s="83">
        <f t="shared" si="12"/>
        <v>5.8765932318873481E-3</v>
      </c>
      <c r="V22" s="83">
        <f t="shared" si="13"/>
        <v>2.3150215761980467E-3</v>
      </c>
      <c r="W22" s="83">
        <f t="shared" si="14"/>
        <v>0.28255135135135134</v>
      </c>
      <c r="X22" s="83">
        <f t="shared" si="15"/>
        <v>0.56510270270270269</v>
      </c>
      <c r="Y22" s="83">
        <f t="shared" si="16"/>
        <v>8.9698841698841695E-8</v>
      </c>
      <c r="Z22" s="83">
        <f t="shared" si="17"/>
        <v>1.0193050193050191E-6</v>
      </c>
      <c r="AA22" s="83">
        <f t="shared" si="18"/>
        <v>1.0193050193050192E-15</v>
      </c>
      <c r="AB22" s="131">
        <f t="shared" si="19"/>
        <v>17.385733640939716</v>
      </c>
      <c r="AG22" s="3"/>
      <c r="AI22" s="3"/>
      <c r="AL22" s="1"/>
      <c r="AN22" s="1"/>
    </row>
    <row r="23" spans="1:40">
      <c r="A23" t="s">
        <v>207</v>
      </c>
      <c r="B23">
        <v>4.5</v>
      </c>
      <c r="C23">
        <v>2</v>
      </c>
      <c r="D23">
        <v>0.95</v>
      </c>
      <c r="F23">
        <v>0.11</v>
      </c>
      <c r="H23" s="83">
        <f t="shared" si="1"/>
        <v>2.9200153204633203E-6</v>
      </c>
      <c r="I23" s="83">
        <f t="shared" si="2"/>
        <v>5.4534978247469646E-6</v>
      </c>
      <c r="J23" s="83">
        <f t="shared" si="3"/>
        <v>3.2567254270146715E-4</v>
      </c>
      <c r="L23" s="83">
        <f t="shared" si="4"/>
        <v>1.0763861003861002E-5</v>
      </c>
      <c r="M23" s="83">
        <f t="shared" si="5"/>
        <v>5.2473822393822384E-6</v>
      </c>
      <c r="N23" s="83">
        <f t="shared" si="6"/>
        <v>7.1759073359073361E-8</v>
      </c>
      <c r="O23" s="83">
        <f t="shared" si="7"/>
        <v>5.3127359999999993E-6</v>
      </c>
      <c r="P23" s="83">
        <f t="shared" si="8"/>
        <v>4.1469999999999997E-7</v>
      </c>
      <c r="Q23" s="83">
        <f t="shared" si="9"/>
        <v>4.9067544855780146E-2</v>
      </c>
      <c r="R23" s="83">
        <f t="shared" si="0"/>
        <v>1.1282405103379631</v>
      </c>
      <c r="S23" s="83">
        <f t="shared" si="10"/>
        <v>0</v>
      </c>
      <c r="T23" s="83">
        <f t="shared" si="11"/>
        <v>8.7438639551192146E-2</v>
      </c>
      <c r="U23" s="83">
        <f t="shared" si="12"/>
        <v>5.8765932318873481E-3</v>
      </c>
      <c r="V23" s="83">
        <f t="shared" si="13"/>
        <v>2.3150215761980467E-3</v>
      </c>
      <c r="W23" s="83">
        <f t="shared" si="14"/>
        <v>0.28255135135135134</v>
      </c>
      <c r="X23" s="83">
        <f t="shared" si="15"/>
        <v>0.56510270270270269</v>
      </c>
      <c r="Y23" s="83">
        <f t="shared" si="16"/>
        <v>8.9698841698841695E-8</v>
      </c>
      <c r="Z23" s="83">
        <f t="shared" si="17"/>
        <v>1.0193050193050191E-6</v>
      </c>
      <c r="AA23" s="83">
        <f t="shared" si="18"/>
        <v>1.0193050193050192E-15</v>
      </c>
      <c r="AB23" s="131">
        <f t="shared" si="19"/>
        <v>17.429892407179185</v>
      </c>
      <c r="AG23" s="3"/>
      <c r="AI23" s="3"/>
      <c r="AL23" s="1"/>
      <c r="AN23" s="1"/>
    </row>
    <row r="24" spans="1:40">
      <c r="A24" t="s">
        <v>208</v>
      </c>
      <c r="B24">
        <v>4.5</v>
      </c>
      <c r="C24">
        <v>2</v>
      </c>
      <c r="D24">
        <v>0.88</v>
      </c>
      <c r="F24">
        <v>0.11</v>
      </c>
      <c r="H24" s="83">
        <f t="shared" si="1"/>
        <v>2.9200153204633203E-6</v>
      </c>
      <c r="I24" s="83">
        <f t="shared" si="2"/>
        <v>5.0516611429235049E-6</v>
      </c>
      <c r="J24" s="83">
        <f t="shared" si="3"/>
        <v>3.2567254270146715E-4</v>
      </c>
      <c r="L24" s="83">
        <f t="shared" si="4"/>
        <v>1.0763861003861002E-5</v>
      </c>
      <c r="M24" s="83">
        <f t="shared" si="5"/>
        <v>5.2473822393822384E-6</v>
      </c>
      <c r="N24" s="83">
        <f t="shared" si="6"/>
        <v>7.1759073359073361E-8</v>
      </c>
      <c r="O24" s="83">
        <f t="shared" si="7"/>
        <v>5.3127359999999993E-6</v>
      </c>
      <c r="P24" s="83">
        <f t="shared" si="8"/>
        <v>4.1469999999999997E-7</v>
      </c>
      <c r="Q24" s="83">
        <f t="shared" si="9"/>
        <v>4.9067544855780146E-2</v>
      </c>
      <c r="R24" s="83">
        <f t="shared" si="0"/>
        <v>1.0451069990499027</v>
      </c>
      <c r="S24" s="83">
        <f t="shared" si="10"/>
        <v>0</v>
      </c>
      <c r="T24" s="83">
        <f t="shared" si="11"/>
        <v>8.0995792426367466E-2</v>
      </c>
      <c r="U24" s="83">
        <f t="shared" si="12"/>
        <v>5.8765932318873481E-3</v>
      </c>
      <c r="V24" s="83">
        <f t="shared" si="13"/>
        <v>2.3150215761980467E-3</v>
      </c>
      <c r="W24" s="83">
        <f t="shared" si="14"/>
        <v>0.28255135135135134</v>
      </c>
      <c r="X24" s="83">
        <f t="shared" si="15"/>
        <v>0.56510270270270269</v>
      </c>
      <c r="Y24" s="83">
        <f t="shared" si="16"/>
        <v>8.9698841698841695E-8</v>
      </c>
      <c r="Z24" s="83">
        <f t="shared" si="17"/>
        <v>1.0193050193050191E-6</v>
      </c>
      <c r="AA24" s="83">
        <f t="shared" si="18"/>
        <v>1.0193050193050192E-15</v>
      </c>
      <c r="AB24" s="131">
        <f t="shared" si="19"/>
        <v>17.391253486719648</v>
      </c>
      <c r="AG24" s="3"/>
      <c r="AI24" s="3"/>
      <c r="AL24" s="1"/>
      <c r="AN24" s="1"/>
    </row>
    <row r="25" spans="1:40">
      <c r="A25" t="s">
        <v>209</v>
      </c>
      <c r="B25">
        <v>4.5</v>
      </c>
      <c r="C25">
        <v>2</v>
      </c>
      <c r="D25">
        <v>0.92</v>
      </c>
      <c r="F25">
        <v>0.11</v>
      </c>
      <c r="H25" s="83">
        <f t="shared" si="1"/>
        <v>2.9200153204633203E-6</v>
      </c>
      <c r="I25" s="83">
        <f t="shared" si="2"/>
        <v>5.2812821039654826E-6</v>
      </c>
      <c r="J25" s="83">
        <f t="shared" si="3"/>
        <v>3.2567254270146715E-4</v>
      </c>
      <c r="L25" s="83">
        <f t="shared" si="4"/>
        <v>1.0763861003861002E-5</v>
      </c>
      <c r="M25" s="83">
        <f t="shared" si="5"/>
        <v>5.2473822393822384E-6</v>
      </c>
      <c r="N25" s="83">
        <f t="shared" si="6"/>
        <v>7.1759073359073361E-8</v>
      </c>
      <c r="O25" s="83">
        <f t="shared" si="7"/>
        <v>5.3127359999999993E-6</v>
      </c>
      <c r="P25" s="83">
        <f t="shared" si="8"/>
        <v>4.1469999999999997E-7</v>
      </c>
      <c r="Q25" s="83">
        <f t="shared" si="9"/>
        <v>4.9067544855780146E-2</v>
      </c>
      <c r="R25" s="83">
        <f t="shared" si="0"/>
        <v>1.0926118626430801</v>
      </c>
      <c r="S25" s="83">
        <f t="shared" si="10"/>
        <v>0</v>
      </c>
      <c r="T25" s="83">
        <f t="shared" si="11"/>
        <v>8.4677419354838718E-2</v>
      </c>
      <c r="U25" s="83">
        <f t="shared" si="12"/>
        <v>5.8765932318873481E-3</v>
      </c>
      <c r="V25" s="83">
        <f t="shared" si="13"/>
        <v>2.3150215761980467E-3</v>
      </c>
      <c r="W25" s="83">
        <f t="shared" si="14"/>
        <v>0.28255135135135134</v>
      </c>
      <c r="X25" s="83">
        <f t="shared" si="15"/>
        <v>0.56510270270270269</v>
      </c>
      <c r="Y25" s="83">
        <f t="shared" si="16"/>
        <v>8.9698841698841695E-8</v>
      </c>
      <c r="Z25" s="83">
        <f t="shared" si="17"/>
        <v>1.0193050193050191E-6</v>
      </c>
      <c r="AA25" s="83">
        <f t="shared" si="18"/>
        <v>1.0193050193050192E-15</v>
      </c>
      <c r="AB25" s="131">
        <f t="shared" si="19"/>
        <v>17.413332869839383</v>
      </c>
      <c r="AG25" s="3"/>
      <c r="AI25" s="3"/>
      <c r="AL25" s="1"/>
      <c r="AN25" s="1"/>
    </row>
    <row r="26" spans="1:40">
      <c r="A26" t="s">
        <v>210</v>
      </c>
      <c r="B26">
        <v>4.5</v>
      </c>
      <c r="C26">
        <v>2</v>
      </c>
      <c r="D26">
        <v>0.92</v>
      </c>
      <c r="F26">
        <v>0.11</v>
      </c>
      <c r="H26" s="83">
        <f t="shared" si="1"/>
        <v>2.9200153204633203E-6</v>
      </c>
      <c r="I26" s="83">
        <f t="shared" si="2"/>
        <v>5.2812821039654826E-6</v>
      </c>
      <c r="J26" s="83">
        <f t="shared" si="3"/>
        <v>3.2567254270146715E-4</v>
      </c>
      <c r="L26" s="83">
        <f t="shared" si="4"/>
        <v>1.0763861003861002E-5</v>
      </c>
      <c r="M26" s="83">
        <f t="shared" si="5"/>
        <v>5.2473822393822384E-6</v>
      </c>
      <c r="N26" s="83">
        <f t="shared" si="6"/>
        <v>7.1759073359073361E-8</v>
      </c>
      <c r="O26" s="83">
        <f t="shared" si="7"/>
        <v>5.3127359999999993E-6</v>
      </c>
      <c r="P26" s="83">
        <f t="shared" si="8"/>
        <v>4.1469999999999997E-7</v>
      </c>
      <c r="Q26" s="83">
        <f t="shared" si="9"/>
        <v>4.9067544855780146E-2</v>
      </c>
      <c r="R26" s="83">
        <f t="shared" si="0"/>
        <v>1.0926118626430801</v>
      </c>
      <c r="S26" s="83">
        <f t="shared" si="10"/>
        <v>0</v>
      </c>
      <c r="T26" s="83">
        <f t="shared" si="11"/>
        <v>8.4677419354838718E-2</v>
      </c>
      <c r="U26" s="83">
        <f t="shared" si="12"/>
        <v>5.8765932318873481E-3</v>
      </c>
      <c r="V26" s="83">
        <f t="shared" si="13"/>
        <v>2.3150215761980467E-3</v>
      </c>
      <c r="W26" s="83">
        <f t="shared" si="14"/>
        <v>0.28255135135135134</v>
      </c>
      <c r="X26" s="83">
        <f t="shared" si="15"/>
        <v>0.56510270270270269</v>
      </c>
      <c r="Y26" s="83">
        <f t="shared" si="16"/>
        <v>8.9698841698841695E-8</v>
      </c>
      <c r="Z26" s="83">
        <f t="shared" si="17"/>
        <v>1.0193050193050191E-6</v>
      </c>
      <c r="AA26" s="83">
        <f t="shared" si="18"/>
        <v>1.0193050193050192E-15</v>
      </c>
      <c r="AB26" s="131">
        <f t="shared" si="19"/>
        <v>17.413332869839383</v>
      </c>
      <c r="AG26" s="3"/>
      <c r="AI26" s="3"/>
      <c r="AL26" s="1"/>
      <c r="AN26" s="1"/>
    </row>
    <row r="27" spans="1:40">
      <c r="A27" s="44" t="s">
        <v>714</v>
      </c>
      <c r="AB27" s="200"/>
      <c r="AG27" s="3"/>
      <c r="AI27" s="3"/>
      <c r="AL27" s="1"/>
      <c r="AN27" s="1"/>
    </row>
    <row r="28" spans="1:40">
      <c r="A28" s="5" t="s">
        <v>696</v>
      </c>
      <c r="B28">
        <v>4.5</v>
      </c>
      <c r="C28">
        <v>2</v>
      </c>
      <c r="D28">
        <v>0.28999999999999998</v>
      </c>
      <c r="F28">
        <v>0.11</v>
      </c>
      <c r="H28" s="83">
        <f>B28*charco2yoll</f>
        <v>2.9200153204633203E-6</v>
      </c>
      <c r="I28" s="83">
        <f>D28*NOx_YOLL_Oxidant_charfact/0.62</f>
        <v>1.6647519675543365E-6</v>
      </c>
      <c r="J28" s="83">
        <f>F28*PM2.5_YOLL_charfact</f>
        <v>3.2567254270146715E-4</v>
      </c>
      <c r="L28" s="83">
        <f>CO2_malnutrition_charfact*B28</f>
        <v>1.0763861003861002E-5</v>
      </c>
      <c r="M28" s="83">
        <f>CO2_workingcapacity_charfact*B28</f>
        <v>5.2473822393822384E-6</v>
      </c>
      <c r="N28" s="83">
        <f>CO2_diarrhea_charfact*B28</f>
        <v>7.1759073359073361E-8</v>
      </c>
      <c r="O28" s="83">
        <f>PM2.5_asthmacases_charfact*F28</f>
        <v>5.3127359999999993E-6</v>
      </c>
      <c r="P28" s="83">
        <f>PM2.5_COPD_charfact*F28</f>
        <v>4.1469999999999997E-7</v>
      </c>
      <c r="Q28" s="83">
        <f>CO2_crop_charfact*B28</f>
        <v>4.9067544855780146E-2</v>
      </c>
      <c r="R28" s="83">
        <f>charnoxcrop/0.62*D28</f>
        <v>0.34441026105053607</v>
      </c>
      <c r="S28" s="83">
        <f>charco2woodgw*B28</f>
        <v>0</v>
      </c>
      <c r="T28" s="83">
        <f>NOx_wood_oxidantcharfact/0.62*D28</f>
        <v>2.669179523141655E-2</v>
      </c>
      <c r="U28" s="83">
        <f>CO2_fruitandveg_charfact*B28</f>
        <v>5.8765932318873481E-3</v>
      </c>
      <c r="V28" s="83">
        <f>CO2_meatandfish_charfact*B28</f>
        <v>2.3150215761980467E-3</v>
      </c>
      <c r="W28" s="83">
        <f>CO2_drinkingwater_charfact*B28</f>
        <v>0.28255135135135134</v>
      </c>
      <c r="X28" s="83">
        <f>CO2_irrigationwater_charfact*B28</f>
        <v>0.56510270270270269</v>
      </c>
      <c r="Y28" s="83">
        <f>CO2_housing_charfact*B28</f>
        <v>8.9698841698841695E-8</v>
      </c>
      <c r="Z28" s="83">
        <f>CO2_separations_charfact*B28</f>
        <v>1.0193050193050191E-6</v>
      </c>
      <c r="AA28" s="83">
        <f>CO2_NEX_charfact*B28</f>
        <v>1.0193050193050192E-15</v>
      </c>
      <c r="AB28" s="131">
        <f>(H28+I28+J28+K28)*YOLLvalue+L28*malnutrition+M28*working_capacity+N28*diarrhea+O28*asthmacasesvalue+P28*COPDvalue+(Q28+R28)*cropvalue+(S28+T28)*woodvalue+U28*Fruitandveg_value+V28*fishandmeatvalue+W28*drinkingwatervalue+X28*irrigationwatervalue+Y28*housingvalue+Z28*migrationvalue+AA28*speciesvalue</f>
        <v>17.065582585703531</v>
      </c>
      <c r="AG28" s="3"/>
      <c r="AI28" s="3"/>
      <c r="AL28" s="1"/>
      <c r="AN28" s="1"/>
    </row>
    <row r="29" spans="1:40">
      <c r="A29" t="s">
        <v>211</v>
      </c>
      <c r="B29">
        <v>4.5</v>
      </c>
      <c r="C29">
        <v>2</v>
      </c>
      <c r="D29">
        <v>0.75</v>
      </c>
      <c r="F29">
        <v>0.11</v>
      </c>
      <c r="H29" s="83">
        <f>B29*charco2yoll</f>
        <v>2.9200153204633203E-6</v>
      </c>
      <c r="I29" s="83">
        <f>D29*NOx_YOLL_Oxidant_charfact/0.62</f>
        <v>4.3053930195370778E-6</v>
      </c>
      <c r="J29" s="83">
        <f>F29*PM2.5_YOLL_charfact</f>
        <v>3.2567254270146715E-4</v>
      </c>
      <c r="L29" s="83">
        <f>CO2_malnutrition_charfact*B29</f>
        <v>1.0763861003861002E-5</v>
      </c>
      <c r="M29" s="83">
        <f>CO2_workingcapacity_charfact*B29</f>
        <v>5.2473822393822384E-6</v>
      </c>
      <c r="N29" s="83">
        <f>CO2_diarrhea_charfact*B29</f>
        <v>7.1759073359073361E-8</v>
      </c>
      <c r="O29" s="83">
        <f>PM2.5_asthmacases_charfact*F29</f>
        <v>5.3127359999999993E-6</v>
      </c>
      <c r="P29" s="83">
        <f>PM2.5_COPD_charfact*F29</f>
        <v>4.1469999999999997E-7</v>
      </c>
      <c r="Q29" s="83">
        <f>CO2_crop_charfact*B29</f>
        <v>4.9067544855780146E-2</v>
      </c>
      <c r="R29" s="83">
        <f>charnoxcrop/0.62*D29</f>
        <v>0.89071619237207611</v>
      </c>
      <c r="S29" s="83">
        <f>charco2woodgw*B29</f>
        <v>0</v>
      </c>
      <c r="T29" s="83">
        <f>NOx_wood_oxidantcharfact/0.62*D29</f>
        <v>6.9030504908835902E-2</v>
      </c>
      <c r="U29" s="83">
        <f>CO2_fruitandveg_charfact*B29</f>
        <v>5.8765932318873481E-3</v>
      </c>
      <c r="V29" s="83">
        <f>CO2_meatandfish_charfact*B29</f>
        <v>2.3150215761980467E-3</v>
      </c>
      <c r="W29" s="83">
        <f>CO2_drinkingwater_charfact*B29</f>
        <v>0.28255135135135134</v>
      </c>
      <c r="X29" s="83">
        <f>CO2_irrigationwater_charfact*B29</f>
        <v>0.56510270270270269</v>
      </c>
      <c r="Y29" s="83">
        <f>CO2_housing_charfact*B29</f>
        <v>8.9698841698841695E-8</v>
      </c>
      <c r="Z29" s="83">
        <f>CO2_separations_charfact*B29</f>
        <v>1.0193050193050191E-6</v>
      </c>
      <c r="AA29" s="83">
        <f>CO2_NEX_charfact*B29</f>
        <v>1.0193050193050192E-15</v>
      </c>
      <c r="AB29" s="131">
        <f>(H29+I29+J29+K29)*YOLLvalue+L29*malnutrition+M29*working_capacity+N29*diarrhea+O29*asthmacasesvalue+P29*COPDvalue+(Q29+R29)*cropvalue+(S29+T29)*woodvalue+U29*Fruitandveg_value+V29*fishandmeatvalue+W29*drinkingwatervalue+X29*irrigationwatervalue+Y29*housingvalue+Z29*migrationvalue+AA29*speciesvalue</f>
        <v>17.319495491580504</v>
      </c>
      <c r="AG29" s="3"/>
      <c r="AI29" s="3"/>
      <c r="AL29" s="1"/>
      <c r="AN29" s="1"/>
    </row>
    <row r="30" spans="1:40">
      <c r="A30" t="s">
        <v>610</v>
      </c>
      <c r="B30">
        <v>4.5</v>
      </c>
      <c r="C30">
        <v>2</v>
      </c>
      <c r="D30">
        <v>0.29899999999999999</v>
      </c>
      <c r="F30">
        <v>0.11</v>
      </c>
      <c r="H30" s="83">
        <f>B30*charco2yoll</f>
        <v>2.9200153204633203E-6</v>
      </c>
      <c r="I30" s="83">
        <f>D30*NOx_YOLL_Oxidant_charfact/0.62</f>
        <v>1.7164166837887815E-6</v>
      </c>
      <c r="J30" s="83">
        <f>F30*PM2.5_YOLL_charfact</f>
        <v>3.2567254270146715E-4</v>
      </c>
      <c r="L30" s="83">
        <f>CO2_malnutrition_charfact*B30</f>
        <v>1.0763861003861002E-5</v>
      </c>
      <c r="M30" s="83">
        <f>CO2_workingcapacity_charfact*B30</f>
        <v>5.2473822393822384E-6</v>
      </c>
      <c r="N30" s="83">
        <f>CO2_diarrhea_charfact*B30</f>
        <v>7.1759073359073361E-8</v>
      </c>
      <c r="O30" s="83">
        <f>PM2.5_asthmacases_charfact*F30</f>
        <v>5.3127359999999993E-6</v>
      </c>
      <c r="P30" s="83">
        <f>PM2.5_COPD_charfact*F30</f>
        <v>4.1469999999999997E-7</v>
      </c>
      <c r="Q30" s="83">
        <f>CO2_crop_charfact*B30</f>
        <v>4.9067544855780146E-2</v>
      </c>
      <c r="R30" s="83">
        <f>charnoxcrop/0.62*D30</f>
        <v>0.35509885535900104</v>
      </c>
      <c r="S30" s="83">
        <f>charco2woodgw*B30</f>
        <v>0</v>
      </c>
      <c r="T30" s="83">
        <f>NOx_wood_oxidantcharfact/0.62*D30</f>
        <v>2.752016129032258E-2</v>
      </c>
      <c r="U30" s="83">
        <f>CO2_fruitandveg_charfact*B30</f>
        <v>5.8765932318873481E-3</v>
      </c>
      <c r="V30" s="83">
        <f>CO2_meatandfish_charfact*B30</f>
        <v>2.3150215761980467E-3</v>
      </c>
      <c r="W30" s="83">
        <f>CO2_drinkingwater_charfact*B30</f>
        <v>0.28255135135135134</v>
      </c>
      <c r="X30" s="83">
        <f>CO2_irrigationwater_charfact*B30</f>
        <v>0.56510270270270269</v>
      </c>
      <c r="Y30" s="83">
        <f>CO2_housing_charfact*B30</f>
        <v>8.9698841698841695E-8</v>
      </c>
      <c r="Z30" s="83">
        <f>CO2_separations_charfact*B30</f>
        <v>1.0193050193050191E-6</v>
      </c>
      <c r="AA30" s="83">
        <f>CO2_NEX_charfact*B30</f>
        <v>1.0193050193050192E-15</v>
      </c>
      <c r="AB30" s="131">
        <f>(H30+I30+J30+K30)*YOLLvalue+L30*malnutrition+M30*working_capacity+N30*diarrhea+O30*asthmacasesvalue+P30*COPDvalue+(Q30+R30)*cropvalue+(S30+T30)*woodvalue+U30*Fruitandveg_value+V30*fishandmeatvalue+W30*drinkingwatervalue+X30*irrigationwatervalue+Y30*housingvalue+Z30*migrationvalue+AA30*speciesvalue</f>
        <v>17.070550446905475</v>
      </c>
      <c r="AG30" s="3"/>
      <c r="AI30" s="3"/>
      <c r="AL30" s="1"/>
      <c r="AN30" s="1"/>
    </row>
    <row r="31" spans="1:40">
      <c r="A31" s="5" t="s">
        <v>609</v>
      </c>
      <c r="B31">
        <v>4.5</v>
      </c>
      <c r="C31">
        <v>2</v>
      </c>
      <c r="D31">
        <v>0.44600000000000001</v>
      </c>
      <c r="F31">
        <v>0.11</v>
      </c>
      <c r="H31" s="83">
        <f>B31*charco2yoll</f>
        <v>2.9200153204633203E-6</v>
      </c>
      <c r="I31" s="83">
        <f>D31*NOx_YOLL_Oxidant_charfact/0.62</f>
        <v>2.5602737156180489E-6</v>
      </c>
      <c r="J31" s="83">
        <f>F31*PM2.5_YOLL_charfact</f>
        <v>3.2567254270146715E-4</v>
      </c>
      <c r="L31" s="83">
        <f>CO2_malnutrition_charfact*B31</f>
        <v>1.0763861003861002E-5</v>
      </c>
      <c r="M31" s="83">
        <f>CO2_workingcapacity_charfact*B31</f>
        <v>5.2473822393822384E-6</v>
      </c>
      <c r="N31" s="83">
        <f>CO2_diarrhea_charfact*B31</f>
        <v>7.1759073359073361E-8</v>
      </c>
      <c r="O31" s="83">
        <f>PM2.5_asthmacases_charfact*F31</f>
        <v>5.3127359999999993E-6</v>
      </c>
      <c r="P31" s="83">
        <f>PM2.5_COPD_charfact*F31</f>
        <v>4.1469999999999997E-7</v>
      </c>
      <c r="Q31" s="83">
        <f>CO2_crop_charfact*B31</f>
        <v>4.9067544855780146E-2</v>
      </c>
      <c r="R31" s="83">
        <f>charnoxcrop/0.62*D31</f>
        <v>0.52967922906392795</v>
      </c>
      <c r="S31" s="83">
        <f>charco2woodgw*B31</f>
        <v>0</v>
      </c>
      <c r="T31" s="83">
        <f>NOx_wood_oxidantcharfact/0.62*D31</f>
        <v>4.1050140252454417E-2</v>
      </c>
      <c r="U31" s="83">
        <f>CO2_fruitandveg_charfact*B31</f>
        <v>5.8765932318873481E-3</v>
      </c>
      <c r="V31" s="83">
        <f>CO2_meatandfish_charfact*B31</f>
        <v>2.3150215761980467E-3</v>
      </c>
      <c r="W31" s="83">
        <f>CO2_drinkingwater_charfact*B31</f>
        <v>0.28255135135135134</v>
      </c>
      <c r="X31" s="83">
        <f>CO2_irrigationwater_charfact*B31</f>
        <v>0.56510270270270269</v>
      </c>
      <c r="Y31" s="83">
        <f>CO2_housing_charfact*B31</f>
        <v>8.9698841698841695E-8</v>
      </c>
      <c r="Z31" s="83">
        <f>CO2_separations_charfact*B31</f>
        <v>1.0193050193050191E-6</v>
      </c>
      <c r="AA31" s="83">
        <f>CO2_NEX_charfact*B31</f>
        <v>1.0193050193050192E-15</v>
      </c>
      <c r="AB31" s="131">
        <f>(H31+I31+J31+K31)*YOLLvalue+L31*malnutrition+M31*working_capacity+N31*diarrhea+O31*asthmacasesvalue+P31*COPDvalue+(Q31+R31)*cropvalue+(S31+T31)*woodvalue+U31*Fruitandveg_value+V31*fishandmeatvalue+W31*drinkingwatervalue+X31*irrigationwatervalue+Y31*housingvalue+Z31*migrationvalue+AA31*speciesvalue</f>
        <v>17.151692179870501</v>
      </c>
      <c r="AG31" s="3"/>
      <c r="AI31" s="3"/>
      <c r="AL31" s="1"/>
      <c r="AN31" s="1"/>
    </row>
    <row r="32" spans="1:40">
      <c r="A32" s="44" t="s">
        <v>715</v>
      </c>
      <c r="AB32" s="200"/>
      <c r="AG32" s="3"/>
      <c r="AI32" s="3"/>
      <c r="AL32" s="1"/>
      <c r="AN32" s="1"/>
    </row>
    <row r="33" spans="1:40">
      <c r="A33" s="5" t="s">
        <v>689</v>
      </c>
      <c r="B33">
        <v>4.5</v>
      </c>
      <c r="C33">
        <v>2</v>
      </c>
      <c r="D33">
        <v>1</v>
      </c>
      <c r="F33">
        <v>0.11</v>
      </c>
      <c r="H33" s="83">
        <f t="shared" ref="H33:H45" si="20">B33*charco2yoll</f>
        <v>2.9200153204633203E-6</v>
      </c>
      <c r="I33" s="83">
        <f t="shared" ref="I33:I45" si="21">D33*NOx_YOLL_Oxidant_charfact/0.62</f>
        <v>5.7405240260494371E-6</v>
      </c>
      <c r="J33" s="83">
        <f t="shared" ref="J33:J45" si="22">F33*PM2.5_YOLL_charfact</f>
        <v>3.2567254270146715E-4</v>
      </c>
      <c r="K33" s="83">
        <f>0.89*K52</f>
        <v>3.5282142857142859E-6</v>
      </c>
      <c r="L33" s="83">
        <f t="shared" ref="L33:L45" si="23">CO2_malnutrition_charfact*B33</f>
        <v>1.0763861003861002E-5</v>
      </c>
      <c r="M33" s="83">
        <f t="shared" ref="M33:M45" si="24">CO2_workingcapacity_charfact*B33</f>
        <v>5.2473822393822384E-6</v>
      </c>
      <c r="N33" s="83">
        <f t="shared" ref="N33:N45" si="25">CO2_diarrhea_charfact*B33</f>
        <v>7.1759073359073361E-8</v>
      </c>
      <c r="O33" s="83">
        <f t="shared" ref="O33:O45" si="26">PM2.5_asthmacases_charfact*F33</f>
        <v>5.3127359999999993E-6</v>
      </c>
      <c r="P33" s="83">
        <f t="shared" ref="P33:P45" si="27">PM2.5_COPD_charfact*F33</f>
        <v>4.1469999999999997E-7</v>
      </c>
      <c r="Q33" s="83">
        <f t="shared" ref="Q33:Q45" si="28">CO2_crop_charfact*B33</f>
        <v>4.9067544855780146E-2</v>
      </c>
      <c r="R33" s="83">
        <f t="shared" ref="R33:R45" si="29">charnoxcrop/0.62*D33</f>
        <v>1.1876215898294349</v>
      </c>
      <c r="S33" s="83">
        <f t="shared" ref="S33:S45" si="30">charco2woodgw*B33</f>
        <v>0</v>
      </c>
      <c r="T33" s="83">
        <f t="shared" ref="T33:T45" si="31">NOx_wood_oxidantcharfact/0.62*D33</f>
        <v>9.2040673211781207E-2</v>
      </c>
      <c r="U33" s="83">
        <f t="shared" ref="U33:U45" si="32">CO2_fruitandveg_charfact*B33</f>
        <v>5.8765932318873481E-3</v>
      </c>
      <c r="V33" s="83">
        <f t="shared" ref="V33:V45" si="33">CO2_meatandfish_charfact*B33</f>
        <v>2.3150215761980467E-3</v>
      </c>
      <c r="W33" s="83">
        <f t="shared" ref="W33:W45" si="34">CO2_drinkingwater_charfact*B33</f>
        <v>0.28255135135135134</v>
      </c>
      <c r="X33" s="83">
        <f t="shared" ref="X33:X45" si="35">CO2_irrigationwater_charfact*B33</f>
        <v>0.56510270270270269</v>
      </c>
      <c r="Y33" s="83">
        <f t="shared" ref="Y33:Y45" si="36">CO2_housing_charfact*B33</f>
        <v>8.9698841698841695E-8</v>
      </c>
      <c r="Z33" s="83">
        <f t="shared" ref="Z33:Z45" si="37">CO2_separations_charfact*B33</f>
        <v>1.0193050193050191E-6</v>
      </c>
      <c r="AA33" s="83">
        <f t="shared" ref="AA33:AA45" si="38">CO2_NEX_charfact*B33</f>
        <v>1.0193050193050192E-15</v>
      </c>
      <c r="AB33" s="131">
        <f>(H33+I33+J33+K33)*YOLLvalue+L33*malnutrition+M33*working_capacity+N33*diarrhea+O33*asthmacasesvalue+P33*COPDvalue+(Q33+R33)*cropvalue+(S33+T33)*woodvalue+U33*Fruitandveg_value+V33*fishandmeatvalue+W33*drinkingwatervalue+X33*irrigationwatervalue+Y33*housingvalue+Z33*migrationvalue+AA33*speciesvalue</f>
        <v>17.633902350364572</v>
      </c>
      <c r="AG33" s="3"/>
      <c r="AI33" s="3"/>
      <c r="AL33" s="1"/>
      <c r="AN33" s="1"/>
    </row>
    <row r="34" spans="1:40">
      <c r="A34" s="5" t="s">
        <v>646</v>
      </c>
      <c r="B34">
        <v>4.5</v>
      </c>
      <c r="C34">
        <v>2</v>
      </c>
      <c r="D34">
        <v>1.25</v>
      </c>
      <c r="F34">
        <v>0.11</v>
      </c>
      <c r="H34" s="83">
        <f t="shared" si="20"/>
        <v>2.9200153204633203E-6</v>
      </c>
      <c r="I34" s="83">
        <f t="shared" si="21"/>
        <v>7.1756550325617956E-6</v>
      </c>
      <c r="J34" s="83">
        <f t="shared" si="22"/>
        <v>3.2567254270146715E-4</v>
      </c>
      <c r="K34" s="83">
        <f>0.074*K52</f>
        <v>2.9335714285714285E-7</v>
      </c>
      <c r="L34" s="83">
        <f t="shared" si="23"/>
        <v>1.0763861003861002E-5</v>
      </c>
      <c r="M34" s="83">
        <f t="shared" si="24"/>
        <v>5.2473822393822384E-6</v>
      </c>
      <c r="N34" s="83">
        <f t="shared" si="25"/>
        <v>7.1759073359073361E-8</v>
      </c>
      <c r="O34" s="83">
        <f t="shared" si="26"/>
        <v>5.3127359999999993E-6</v>
      </c>
      <c r="P34" s="83">
        <f t="shared" si="27"/>
        <v>4.1469999999999997E-7</v>
      </c>
      <c r="Q34" s="83">
        <f t="shared" si="28"/>
        <v>4.9067544855780146E-2</v>
      </c>
      <c r="R34" s="83">
        <f t="shared" si="29"/>
        <v>1.4845269872867937</v>
      </c>
      <c r="S34" s="83">
        <f t="shared" si="30"/>
        <v>0</v>
      </c>
      <c r="T34" s="83">
        <f t="shared" si="31"/>
        <v>0.11505084151472651</v>
      </c>
      <c r="U34" s="83">
        <f t="shared" si="32"/>
        <v>5.8765932318873481E-3</v>
      </c>
      <c r="V34" s="83">
        <f t="shared" si="33"/>
        <v>2.3150215761980467E-3</v>
      </c>
      <c r="W34" s="83">
        <f t="shared" si="34"/>
        <v>0.28255135135135134</v>
      </c>
      <c r="X34" s="83">
        <f t="shared" si="35"/>
        <v>0.56510270270270269</v>
      </c>
      <c r="Y34" s="83">
        <f t="shared" si="36"/>
        <v>8.9698841698841695E-8</v>
      </c>
      <c r="Z34" s="83">
        <f t="shared" si="37"/>
        <v>1.0193050193050191E-6</v>
      </c>
      <c r="AA34" s="83">
        <f t="shared" si="38"/>
        <v>1.0193050193050192E-15</v>
      </c>
      <c r="AB34" s="131">
        <f t="shared" ref="AB34:AB45" si="39">(H34+I34+J34+K34)*YOLLvalue+L34*malnutrition+M34*working_capacity+N34*diarrhea+O34*asthmacasesvalue+P34*COPDvalue+(Q34+R34)*cropvalue+(S34+T34)*woodvalue+U34*Fruitandveg_value+V34*fishandmeatvalue+W34*drinkingwatervalue+X34*irrigationwatervalue+Y34*housingvalue+Z34*migrationvalue+AA34*speciesvalue</f>
        <v>17.610155637720066</v>
      </c>
      <c r="AG34" s="3"/>
      <c r="AI34" s="3"/>
      <c r="AL34" s="1"/>
      <c r="AN34" s="1"/>
    </row>
    <row r="35" spans="1:40">
      <c r="A35" t="s">
        <v>212</v>
      </c>
      <c r="B35">
        <v>4.5</v>
      </c>
      <c r="C35">
        <v>2</v>
      </c>
      <c r="D35">
        <v>1.26</v>
      </c>
      <c r="F35">
        <v>0.11</v>
      </c>
      <c r="H35" s="83">
        <f t="shared" si="20"/>
        <v>2.9200153204633203E-6</v>
      </c>
      <c r="I35" s="83">
        <f t="shared" si="21"/>
        <v>7.2330602728222904E-6</v>
      </c>
      <c r="J35" s="83">
        <f t="shared" si="22"/>
        <v>3.2567254270146715E-4</v>
      </c>
      <c r="L35" s="83">
        <f t="shared" si="23"/>
        <v>1.0763861003861002E-5</v>
      </c>
      <c r="M35" s="83">
        <f t="shared" si="24"/>
        <v>5.2473822393822384E-6</v>
      </c>
      <c r="N35" s="83">
        <f t="shared" si="25"/>
        <v>7.1759073359073361E-8</v>
      </c>
      <c r="O35" s="83">
        <f t="shared" si="26"/>
        <v>5.3127359999999993E-6</v>
      </c>
      <c r="P35" s="83">
        <f t="shared" si="27"/>
        <v>4.1469999999999997E-7</v>
      </c>
      <c r="Q35" s="83">
        <f t="shared" si="28"/>
        <v>4.9067544855780146E-2</v>
      </c>
      <c r="R35" s="83">
        <f t="shared" si="29"/>
        <v>1.496403203185088</v>
      </c>
      <c r="S35" s="83">
        <f t="shared" si="30"/>
        <v>0</v>
      </c>
      <c r="T35" s="83">
        <f t="shared" si="31"/>
        <v>0.11597124824684432</v>
      </c>
      <c r="U35" s="83">
        <f t="shared" si="32"/>
        <v>5.8765932318873481E-3</v>
      </c>
      <c r="V35" s="83">
        <f t="shared" si="33"/>
        <v>2.3150215761980467E-3</v>
      </c>
      <c r="W35" s="83">
        <f t="shared" si="34"/>
        <v>0.28255135135135134</v>
      </c>
      <c r="X35" s="83">
        <f t="shared" si="35"/>
        <v>0.56510270270270269</v>
      </c>
      <c r="Y35" s="83">
        <f t="shared" si="36"/>
        <v>8.9698841698841695E-8</v>
      </c>
      <c r="Z35" s="83">
        <f t="shared" si="37"/>
        <v>1.0193050193050191E-6</v>
      </c>
      <c r="AA35" s="83">
        <f t="shared" si="38"/>
        <v>1.0193050193050192E-15</v>
      </c>
      <c r="AB35" s="131">
        <f t="shared" si="39"/>
        <v>17.601007626357145</v>
      </c>
      <c r="AG35" s="3"/>
      <c r="AI35" s="3"/>
      <c r="AL35" s="1"/>
      <c r="AN35" s="1"/>
    </row>
    <row r="36" spans="1:40">
      <c r="A36" t="s">
        <v>213</v>
      </c>
      <c r="B36">
        <v>4.5</v>
      </c>
      <c r="C36">
        <v>2</v>
      </c>
      <c r="D36">
        <v>1.1299999999999999</v>
      </c>
      <c r="F36">
        <v>0.11</v>
      </c>
      <c r="H36" s="83">
        <f t="shared" si="20"/>
        <v>2.9200153204633203E-6</v>
      </c>
      <c r="I36" s="83">
        <f t="shared" si="21"/>
        <v>6.4867921494358633E-6</v>
      </c>
      <c r="J36" s="83">
        <f t="shared" si="22"/>
        <v>3.2567254270146715E-4</v>
      </c>
      <c r="L36" s="83">
        <f t="shared" si="23"/>
        <v>1.0763861003861002E-5</v>
      </c>
      <c r="M36" s="83">
        <f t="shared" si="24"/>
        <v>5.2473822393822384E-6</v>
      </c>
      <c r="N36" s="83">
        <f t="shared" si="25"/>
        <v>7.1759073359073361E-8</v>
      </c>
      <c r="O36" s="83">
        <f t="shared" si="26"/>
        <v>5.3127359999999993E-6</v>
      </c>
      <c r="P36" s="83">
        <f t="shared" si="27"/>
        <v>4.1469999999999997E-7</v>
      </c>
      <c r="Q36" s="83">
        <f t="shared" si="28"/>
        <v>4.9067544855780146E-2</v>
      </c>
      <c r="R36" s="83">
        <f t="shared" si="29"/>
        <v>1.3420123965072612</v>
      </c>
      <c r="S36" s="83">
        <f t="shared" si="30"/>
        <v>0</v>
      </c>
      <c r="T36" s="83">
        <f t="shared" si="31"/>
        <v>0.10400596072931276</v>
      </c>
      <c r="U36" s="83">
        <f t="shared" si="32"/>
        <v>5.8765932318873481E-3</v>
      </c>
      <c r="V36" s="83">
        <f t="shared" si="33"/>
        <v>2.3150215761980467E-3</v>
      </c>
      <c r="W36" s="83">
        <f t="shared" si="34"/>
        <v>0.28255135135135134</v>
      </c>
      <c r="X36" s="83">
        <f t="shared" si="35"/>
        <v>0.56510270270270269</v>
      </c>
      <c r="Y36" s="83">
        <f t="shared" si="36"/>
        <v>8.9698841698841695E-8</v>
      </c>
      <c r="Z36" s="83">
        <f t="shared" si="37"/>
        <v>1.0193050193050191E-6</v>
      </c>
      <c r="AA36" s="83">
        <f t="shared" si="38"/>
        <v>1.0193050193050192E-15</v>
      </c>
      <c r="AB36" s="131">
        <f>(H36+I36+J36+K33)*YOLLvalue+L36*malnutrition+M36*working_capacity+N36*diarrhea+O36*asthmacasesvalue+P36*COPDvalue+(Q36+R36)*cropvalue+(S36+T36)*woodvalue+U36*Fruitandveg_value+V36*fishandmeatvalue+W36*drinkingwatervalue+X36*irrigationwatervalue+Y36*housingvalue+Z36*migrationvalue+AA36*speciesvalue</f>
        <v>17.705660345503716</v>
      </c>
      <c r="AG36" s="3"/>
      <c r="AI36" s="3"/>
      <c r="AL36" s="1"/>
      <c r="AN36" s="1"/>
    </row>
    <row r="37" spans="1:40">
      <c r="A37" s="5" t="s">
        <v>697</v>
      </c>
      <c r="B37">
        <v>4.5</v>
      </c>
      <c r="C37">
        <v>2</v>
      </c>
      <c r="D37">
        <v>0.627</v>
      </c>
      <c r="F37">
        <v>0.11</v>
      </c>
      <c r="H37" s="83">
        <f t="shared" si="20"/>
        <v>2.9200153204633203E-6</v>
      </c>
      <c r="I37" s="83">
        <f t="shared" si="21"/>
        <v>3.5993085643329967E-6</v>
      </c>
      <c r="J37" s="83">
        <f t="shared" si="22"/>
        <v>3.2567254270146715E-4</v>
      </c>
      <c r="L37" s="83">
        <f t="shared" si="23"/>
        <v>1.0763861003861002E-5</v>
      </c>
      <c r="M37" s="83">
        <f t="shared" si="24"/>
        <v>5.2473822393822384E-6</v>
      </c>
      <c r="N37" s="83">
        <f t="shared" si="25"/>
        <v>7.1759073359073361E-8</v>
      </c>
      <c r="O37" s="83">
        <f t="shared" si="26"/>
        <v>5.3127359999999993E-6</v>
      </c>
      <c r="P37" s="83">
        <f t="shared" si="27"/>
        <v>4.1469999999999997E-7</v>
      </c>
      <c r="Q37" s="83">
        <f t="shared" si="28"/>
        <v>4.9067544855780146E-2</v>
      </c>
      <c r="R37" s="83">
        <f t="shared" si="29"/>
        <v>0.7446387368230557</v>
      </c>
      <c r="S37" s="83">
        <f t="shared" si="30"/>
        <v>0</v>
      </c>
      <c r="T37" s="83">
        <f t="shared" si="31"/>
        <v>5.7709502103786815E-2</v>
      </c>
      <c r="U37" s="83">
        <f t="shared" si="32"/>
        <v>5.8765932318873481E-3</v>
      </c>
      <c r="V37" s="83">
        <f t="shared" si="33"/>
        <v>2.3150215761980467E-3</v>
      </c>
      <c r="W37" s="83">
        <f t="shared" si="34"/>
        <v>0.28255135135135134</v>
      </c>
      <c r="X37" s="83">
        <f t="shared" si="35"/>
        <v>0.56510270270270269</v>
      </c>
      <c r="Y37" s="83">
        <f t="shared" si="36"/>
        <v>8.9698841698841695E-8</v>
      </c>
      <c r="Z37" s="83">
        <f t="shared" si="37"/>
        <v>1.0193050193050191E-6</v>
      </c>
      <c r="AA37" s="83">
        <f t="shared" si="38"/>
        <v>1.0193050193050192E-15</v>
      </c>
      <c r="AB37" s="131">
        <f t="shared" si="39"/>
        <v>17.251601388487313</v>
      </c>
      <c r="AG37" s="3"/>
      <c r="AI37" s="3"/>
      <c r="AL37" s="1"/>
      <c r="AN37" s="1"/>
    </row>
    <row r="38" spans="1:40">
      <c r="A38" t="s">
        <v>214</v>
      </c>
      <c r="B38">
        <v>4.5</v>
      </c>
      <c r="C38">
        <v>2</v>
      </c>
      <c r="D38" s="5">
        <v>1.21</v>
      </c>
      <c r="E38" s="5"/>
      <c r="F38">
        <v>0.11</v>
      </c>
      <c r="G38" s="5"/>
      <c r="H38" s="83">
        <f t="shared" si="20"/>
        <v>2.9200153204633203E-6</v>
      </c>
      <c r="I38" s="83">
        <f t="shared" si="21"/>
        <v>6.9460340715198187E-6</v>
      </c>
      <c r="J38" s="83">
        <f t="shared" si="22"/>
        <v>3.2567254270146715E-4</v>
      </c>
      <c r="L38" s="83">
        <f t="shared" si="23"/>
        <v>1.0763861003861002E-5</v>
      </c>
      <c r="M38" s="83">
        <f t="shared" si="24"/>
        <v>5.2473822393822384E-6</v>
      </c>
      <c r="N38" s="83">
        <f t="shared" si="25"/>
        <v>7.1759073359073361E-8</v>
      </c>
      <c r="O38" s="83">
        <f t="shared" si="26"/>
        <v>5.3127359999999993E-6</v>
      </c>
      <c r="P38" s="83">
        <f t="shared" si="27"/>
        <v>4.1469999999999997E-7</v>
      </c>
      <c r="Q38" s="83">
        <f t="shared" si="28"/>
        <v>4.9067544855780146E-2</v>
      </c>
      <c r="R38" s="83">
        <f t="shared" si="29"/>
        <v>1.4370221236936163</v>
      </c>
      <c r="S38" s="83">
        <f t="shared" si="30"/>
        <v>0</v>
      </c>
      <c r="T38" s="83">
        <f t="shared" si="31"/>
        <v>0.11136921458625526</v>
      </c>
      <c r="U38" s="83">
        <f t="shared" si="32"/>
        <v>5.8765932318873481E-3</v>
      </c>
      <c r="V38" s="83">
        <f t="shared" si="33"/>
        <v>2.3150215761980467E-3</v>
      </c>
      <c r="W38" s="83">
        <f t="shared" si="34"/>
        <v>0.28255135135135134</v>
      </c>
      <c r="X38" s="83">
        <f t="shared" si="35"/>
        <v>0.56510270270270269</v>
      </c>
      <c r="Y38" s="83">
        <f t="shared" si="36"/>
        <v>8.9698841698841695E-8</v>
      </c>
      <c r="Z38" s="83">
        <f t="shared" si="37"/>
        <v>1.0193050193050191E-6</v>
      </c>
      <c r="AA38" s="83">
        <f t="shared" si="38"/>
        <v>1.0193050193050192E-15</v>
      </c>
      <c r="AB38" s="131">
        <f t="shared" si="39"/>
        <v>17.573408397457474</v>
      </c>
      <c r="AG38" s="3"/>
      <c r="AI38" s="3"/>
      <c r="AL38" s="1"/>
      <c r="AN38" s="1"/>
    </row>
    <row r="39" spans="1:40">
      <c r="A39" t="s">
        <v>215</v>
      </c>
      <c r="B39">
        <v>4.5</v>
      </c>
      <c r="C39">
        <v>2</v>
      </c>
      <c r="D39">
        <v>1.28</v>
      </c>
      <c r="F39">
        <v>0.11</v>
      </c>
      <c r="H39" s="83">
        <f t="shared" si="20"/>
        <v>2.9200153204633203E-6</v>
      </c>
      <c r="I39" s="83">
        <f t="shared" si="21"/>
        <v>7.3478707533432792E-6</v>
      </c>
      <c r="J39" s="83">
        <f t="shared" si="22"/>
        <v>3.2567254270146715E-4</v>
      </c>
      <c r="L39" s="83">
        <f t="shared" si="23"/>
        <v>1.0763861003861002E-5</v>
      </c>
      <c r="M39" s="83">
        <f t="shared" si="24"/>
        <v>5.2473822393822384E-6</v>
      </c>
      <c r="N39" s="83">
        <f t="shared" si="25"/>
        <v>7.1759073359073361E-8</v>
      </c>
      <c r="O39" s="83">
        <f t="shared" si="26"/>
        <v>5.3127359999999993E-6</v>
      </c>
      <c r="P39" s="83">
        <f t="shared" si="27"/>
        <v>4.1469999999999997E-7</v>
      </c>
      <c r="Q39" s="83">
        <f t="shared" si="28"/>
        <v>4.9067544855780146E-2</v>
      </c>
      <c r="R39" s="83">
        <f t="shared" si="29"/>
        <v>1.5201556349816767</v>
      </c>
      <c r="S39" s="83">
        <f t="shared" si="30"/>
        <v>0</v>
      </c>
      <c r="T39" s="83">
        <f t="shared" si="31"/>
        <v>0.11781206171107994</v>
      </c>
      <c r="U39" s="83">
        <f t="shared" si="32"/>
        <v>5.8765932318873481E-3</v>
      </c>
      <c r="V39" s="83">
        <f t="shared" si="33"/>
        <v>2.3150215761980467E-3</v>
      </c>
      <c r="W39" s="83">
        <f t="shared" si="34"/>
        <v>0.28255135135135134</v>
      </c>
      <c r="X39" s="83">
        <f t="shared" si="35"/>
        <v>0.56510270270270269</v>
      </c>
      <c r="Y39" s="83">
        <f t="shared" si="36"/>
        <v>8.9698841698841695E-8</v>
      </c>
      <c r="Z39" s="83">
        <f t="shared" si="37"/>
        <v>1.0193050193050191E-6</v>
      </c>
      <c r="AA39" s="83">
        <f t="shared" si="38"/>
        <v>1.0193050193050192E-15</v>
      </c>
      <c r="AB39" s="131">
        <f t="shared" si="39"/>
        <v>17.612047317917014</v>
      </c>
      <c r="AG39" s="3"/>
      <c r="AI39" s="3"/>
      <c r="AL39" s="1"/>
      <c r="AN39" s="1"/>
    </row>
    <row r="40" spans="1:40">
      <c r="A40" s="5" t="s">
        <v>616</v>
      </c>
      <c r="B40">
        <v>4.5</v>
      </c>
      <c r="C40">
        <v>2</v>
      </c>
      <c r="D40">
        <v>0.97</v>
      </c>
      <c r="F40">
        <v>0.11</v>
      </c>
      <c r="H40" s="83">
        <f t="shared" si="20"/>
        <v>2.9200153204633203E-6</v>
      </c>
      <c r="I40" s="83">
        <f t="shared" si="21"/>
        <v>5.5683083052679534E-6</v>
      </c>
      <c r="J40" s="83">
        <f t="shared" si="22"/>
        <v>3.2567254270146715E-4</v>
      </c>
      <c r="L40" s="83">
        <f t="shared" si="23"/>
        <v>1.0763861003861002E-5</v>
      </c>
      <c r="M40" s="83">
        <f t="shared" si="24"/>
        <v>5.2473822393822384E-6</v>
      </c>
      <c r="N40" s="83">
        <f t="shared" si="25"/>
        <v>7.1759073359073361E-8</v>
      </c>
      <c r="O40" s="83">
        <f t="shared" si="26"/>
        <v>5.3127359999999993E-6</v>
      </c>
      <c r="P40" s="83">
        <f t="shared" si="27"/>
        <v>4.1469999999999997E-7</v>
      </c>
      <c r="Q40" s="83">
        <f t="shared" si="28"/>
        <v>4.9067544855780146E-2</v>
      </c>
      <c r="R40" s="83">
        <f t="shared" si="29"/>
        <v>1.1519929421345518</v>
      </c>
      <c r="S40" s="83">
        <f t="shared" si="30"/>
        <v>0</v>
      </c>
      <c r="T40" s="83">
        <f t="shared" si="31"/>
        <v>8.9279453015427765E-2</v>
      </c>
      <c r="U40" s="83">
        <f t="shared" si="32"/>
        <v>5.8765932318873481E-3</v>
      </c>
      <c r="V40" s="83">
        <f t="shared" si="33"/>
        <v>2.3150215761980467E-3</v>
      </c>
      <c r="W40" s="83">
        <f t="shared" si="34"/>
        <v>0.28255135135135134</v>
      </c>
      <c r="X40" s="83">
        <f t="shared" si="35"/>
        <v>0.56510270270270269</v>
      </c>
      <c r="Y40" s="83">
        <f t="shared" si="36"/>
        <v>8.9698841698841695E-8</v>
      </c>
      <c r="Z40" s="83">
        <f t="shared" si="37"/>
        <v>1.0193050193050191E-6</v>
      </c>
      <c r="AA40" s="83">
        <f t="shared" si="38"/>
        <v>1.0193050193050192E-15</v>
      </c>
      <c r="AB40" s="131">
        <f t="shared" si="39"/>
        <v>17.440932098739051</v>
      </c>
      <c r="AG40" s="3"/>
      <c r="AI40" s="3"/>
      <c r="AL40" s="1"/>
      <c r="AN40" s="1"/>
    </row>
    <row r="41" spans="1:40">
      <c r="A41" s="5" t="s">
        <v>690</v>
      </c>
      <c r="B41">
        <v>4.5</v>
      </c>
      <c r="C41">
        <v>2</v>
      </c>
      <c r="D41">
        <v>1.1100000000000001</v>
      </c>
      <c r="F41">
        <v>0.11</v>
      </c>
      <c r="H41" s="83">
        <f t="shared" si="20"/>
        <v>2.9200153204633203E-6</v>
      </c>
      <c r="I41" s="83">
        <f t="shared" si="21"/>
        <v>6.3719816689148753E-6</v>
      </c>
      <c r="J41" s="83">
        <f t="shared" si="22"/>
        <v>3.2567254270146715E-4</v>
      </c>
      <c r="L41" s="83">
        <f t="shared" si="23"/>
        <v>1.0763861003861002E-5</v>
      </c>
      <c r="M41" s="83">
        <f t="shared" si="24"/>
        <v>5.2473822393822384E-6</v>
      </c>
      <c r="N41" s="83">
        <f t="shared" si="25"/>
        <v>7.1759073359073361E-8</v>
      </c>
      <c r="O41" s="83">
        <f t="shared" si="26"/>
        <v>5.3127359999999993E-6</v>
      </c>
      <c r="P41" s="83">
        <f t="shared" si="27"/>
        <v>4.1469999999999997E-7</v>
      </c>
      <c r="Q41" s="83">
        <f t="shared" si="28"/>
        <v>4.9067544855780146E-2</v>
      </c>
      <c r="R41" s="83">
        <f t="shared" si="29"/>
        <v>1.3182599647106727</v>
      </c>
      <c r="S41" s="83">
        <f t="shared" si="30"/>
        <v>0</v>
      </c>
      <c r="T41" s="83">
        <f t="shared" si="31"/>
        <v>0.10216514726507715</v>
      </c>
      <c r="U41" s="83">
        <f t="shared" si="32"/>
        <v>5.8765932318873481E-3</v>
      </c>
      <c r="V41" s="83">
        <f t="shared" si="33"/>
        <v>2.3150215761980467E-3</v>
      </c>
      <c r="W41" s="83">
        <f t="shared" si="34"/>
        <v>0.28255135135135134</v>
      </c>
      <c r="X41" s="83">
        <f t="shared" si="35"/>
        <v>0.56510270270270269</v>
      </c>
      <c r="Y41" s="83">
        <f t="shared" si="36"/>
        <v>8.9698841698841695E-8</v>
      </c>
      <c r="Z41" s="83">
        <f t="shared" si="37"/>
        <v>1.0193050193050191E-6</v>
      </c>
      <c r="AA41" s="83">
        <f t="shared" si="38"/>
        <v>1.0193050193050192E-15</v>
      </c>
      <c r="AB41" s="131">
        <f t="shared" si="39"/>
        <v>17.518209939658131</v>
      </c>
      <c r="AG41" s="3"/>
      <c r="AI41" s="3"/>
      <c r="AL41" s="1"/>
      <c r="AN41" s="1"/>
    </row>
    <row r="42" spans="1:40">
      <c r="A42" s="5" t="s">
        <v>698</v>
      </c>
      <c r="B42">
        <v>4.5</v>
      </c>
      <c r="C42">
        <v>2</v>
      </c>
      <c r="D42">
        <v>0.67100000000000004</v>
      </c>
      <c r="F42">
        <v>0.11</v>
      </c>
      <c r="H42" s="83">
        <f t="shared" si="20"/>
        <v>2.9200153204633203E-6</v>
      </c>
      <c r="I42" s="83">
        <f t="shared" si="21"/>
        <v>3.8518916214791728E-6</v>
      </c>
      <c r="J42" s="83">
        <f t="shared" si="22"/>
        <v>3.2567254270146715E-4</v>
      </c>
      <c r="L42" s="83">
        <f t="shared" si="23"/>
        <v>1.0763861003861002E-5</v>
      </c>
      <c r="M42" s="83">
        <f t="shared" si="24"/>
        <v>5.2473822393822384E-6</v>
      </c>
      <c r="N42" s="83">
        <f t="shared" si="25"/>
        <v>7.1759073359073361E-8</v>
      </c>
      <c r="O42" s="83">
        <f t="shared" si="26"/>
        <v>5.3127359999999993E-6</v>
      </c>
      <c r="P42" s="83">
        <f t="shared" si="27"/>
        <v>4.1469999999999997E-7</v>
      </c>
      <c r="Q42" s="83">
        <f t="shared" si="28"/>
        <v>4.9067544855780146E-2</v>
      </c>
      <c r="R42" s="83">
        <f t="shared" si="29"/>
        <v>0.79689408677555085</v>
      </c>
      <c r="S42" s="83">
        <f t="shared" si="30"/>
        <v>0</v>
      </c>
      <c r="T42" s="83">
        <f t="shared" si="31"/>
        <v>6.1759291725105192E-2</v>
      </c>
      <c r="U42" s="83">
        <f t="shared" si="32"/>
        <v>5.8765932318873481E-3</v>
      </c>
      <c r="V42" s="83">
        <f t="shared" si="33"/>
        <v>2.3150215761980467E-3</v>
      </c>
      <c r="W42" s="83">
        <f t="shared" si="34"/>
        <v>0.28255135135135134</v>
      </c>
      <c r="X42" s="83">
        <f t="shared" si="35"/>
        <v>0.56510270270270269</v>
      </c>
      <c r="Y42" s="83">
        <f t="shared" si="36"/>
        <v>8.9698841698841695E-8</v>
      </c>
      <c r="Z42" s="83">
        <f t="shared" si="37"/>
        <v>1.0193050193050191E-6</v>
      </c>
      <c r="AA42" s="83">
        <f t="shared" si="38"/>
        <v>1.0193050193050192E-15</v>
      </c>
      <c r="AB42" s="131">
        <f t="shared" si="39"/>
        <v>17.275888709919023</v>
      </c>
      <c r="AG42" s="3"/>
      <c r="AI42" s="3"/>
      <c r="AL42" s="1"/>
      <c r="AN42" s="1"/>
    </row>
    <row r="43" spans="1:40">
      <c r="A43" s="5" t="s">
        <v>699</v>
      </c>
      <c r="B43">
        <v>4.5</v>
      </c>
      <c r="C43">
        <v>2</v>
      </c>
      <c r="D43">
        <v>0.874</v>
      </c>
      <c r="F43">
        <v>0.11</v>
      </c>
      <c r="H43" s="83">
        <f t="shared" si="20"/>
        <v>2.9200153204633203E-6</v>
      </c>
      <c r="I43" s="83">
        <f t="shared" si="21"/>
        <v>5.0172179987672072E-6</v>
      </c>
      <c r="J43" s="83">
        <f t="shared" si="22"/>
        <v>3.2567254270146715E-4</v>
      </c>
      <c r="L43" s="83">
        <f t="shared" si="23"/>
        <v>1.0763861003861002E-5</v>
      </c>
      <c r="M43" s="83">
        <f t="shared" si="24"/>
        <v>5.2473822393822384E-6</v>
      </c>
      <c r="N43" s="83">
        <f t="shared" si="25"/>
        <v>7.1759073359073361E-8</v>
      </c>
      <c r="O43" s="83">
        <f t="shared" si="26"/>
        <v>5.3127359999999993E-6</v>
      </c>
      <c r="P43" s="83">
        <f t="shared" si="27"/>
        <v>4.1469999999999997E-7</v>
      </c>
      <c r="Q43" s="83">
        <f t="shared" si="28"/>
        <v>4.9067544855780146E-2</v>
      </c>
      <c r="R43" s="83">
        <f t="shared" si="29"/>
        <v>1.0379812695109261</v>
      </c>
      <c r="S43" s="83">
        <f t="shared" si="30"/>
        <v>0</v>
      </c>
      <c r="T43" s="83">
        <f t="shared" si="31"/>
        <v>8.0443548387096775E-2</v>
      </c>
      <c r="U43" s="83">
        <f t="shared" si="32"/>
        <v>5.8765932318873481E-3</v>
      </c>
      <c r="V43" s="83">
        <f t="shared" si="33"/>
        <v>2.3150215761980467E-3</v>
      </c>
      <c r="W43" s="83">
        <f t="shared" si="34"/>
        <v>0.28255135135135134</v>
      </c>
      <c r="X43" s="83">
        <f t="shared" si="35"/>
        <v>0.56510270270270269</v>
      </c>
      <c r="Y43" s="83">
        <f t="shared" si="36"/>
        <v>8.9698841698841695E-8</v>
      </c>
      <c r="Z43" s="83">
        <f t="shared" si="37"/>
        <v>1.0193050193050191E-6</v>
      </c>
      <c r="AA43" s="83">
        <f t="shared" si="38"/>
        <v>1.0193050193050192E-15</v>
      </c>
      <c r="AB43" s="131">
        <f t="shared" si="39"/>
        <v>17.387941579251684</v>
      </c>
      <c r="AG43" s="3"/>
      <c r="AI43" s="3"/>
      <c r="AL43" s="1"/>
      <c r="AN43" s="1"/>
    </row>
    <row r="44" spans="1:40">
      <c r="A44" s="5" t="s">
        <v>700</v>
      </c>
      <c r="B44">
        <v>4.5</v>
      </c>
      <c r="C44">
        <v>2</v>
      </c>
      <c r="D44">
        <v>1.07</v>
      </c>
      <c r="F44">
        <v>0.11</v>
      </c>
      <c r="H44" s="83">
        <f t="shared" si="20"/>
        <v>2.9200153204633203E-6</v>
      </c>
      <c r="I44" s="83">
        <f t="shared" si="21"/>
        <v>6.1423607078728977E-6</v>
      </c>
      <c r="J44" s="83">
        <f t="shared" si="22"/>
        <v>3.2567254270146715E-4</v>
      </c>
      <c r="L44" s="83">
        <f t="shared" si="23"/>
        <v>1.0763861003861002E-5</v>
      </c>
      <c r="M44" s="83">
        <f t="shared" si="24"/>
        <v>5.2473822393822384E-6</v>
      </c>
      <c r="N44" s="83">
        <f t="shared" si="25"/>
        <v>7.1759073359073361E-8</v>
      </c>
      <c r="O44" s="83">
        <f t="shared" si="26"/>
        <v>5.3127359999999993E-6</v>
      </c>
      <c r="P44" s="83">
        <f t="shared" si="27"/>
        <v>4.1469999999999997E-7</v>
      </c>
      <c r="Q44" s="83">
        <f t="shared" si="28"/>
        <v>4.9067544855780146E-2</v>
      </c>
      <c r="R44" s="83">
        <f t="shared" si="29"/>
        <v>1.2707551011174953</v>
      </c>
      <c r="S44" s="83">
        <f t="shared" si="30"/>
        <v>0</v>
      </c>
      <c r="T44" s="83">
        <f t="shared" si="31"/>
        <v>9.8483520336605901E-2</v>
      </c>
      <c r="U44" s="83">
        <f t="shared" si="32"/>
        <v>5.8765932318873481E-3</v>
      </c>
      <c r="V44" s="83">
        <f t="shared" si="33"/>
        <v>2.3150215761980467E-3</v>
      </c>
      <c r="W44" s="83">
        <f t="shared" si="34"/>
        <v>0.28255135135135134</v>
      </c>
      <c r="X44" s="83">
        <f t="shared" si="35"/>
        <v>0.56510270270270269</v>
      </c>
      <c r="Y44" s="83">
        <f t="shared" si="36"/>
        <v>8.9698841698841695E-8</v>
      </c>
      <c r="Z44" s="83">
        <f t="shared" si="37"/>
        <v>1.0193050193050191E-6</v>
      </c>
      <c r="AA44" s="83">
        <f t="shared" si="38"/>
        <v>1.0193050193050192E-15</v>
      </c>
      <c r="AB44" s="131">
        <f t="shared" si="39"/>
        <v>17.496130556538397</v>
      </c>
      <c r="AG44" s="3"/>
      <c r="AI44" s="3"/>
      <c r="AL44" s="1"/>
      <c r="AN44" s="1"/>
    </row>
    <row r="45" spans="1:40">
      <c r="A45" s="5" t="s">
        <v>701</v>
      </c>
      <c r="B45">
        <v>4.5</v>
      </c>
      <c r="C45">
        <v>2</v>
      </c>
      <c r="D45">
        <v>0.85099999999999998</v>
      </c>
      <c r="F45">
        <v>0.11</v>
      </c>
      <c r="H45" s="83">
        <f t="shared" si="20"/>
        <v>2.9200153204633203E-6</v>
      </c>
      <c r="I45" s="83">
        <f t="shared" si="21"/>
        <v>4.8851859461680707E-6</v>
      </c>
      <c r="J45" s="83">
        <f t="shared" si="22"/>
        <v>3.2567254270146715E-4</v>
      </c>
      <c r="K45" s="83">
        <f>3/5.9*K52</f>
        <v>2.0157384987893463E-6</v>
      </c>
      <c r="L45" s="83">
        <f t="shared" si="23"/>
        <v>1.0763861003861002E-5</v>
      </c>
      <c r="M45" s="83">
        <f t="shared" si="24"/>
        <v>5.2473822393822384E-6</v>
      </c>
      <c r="N45" s="83">
        <f t="shared" si="25"/>
        <v>7.1759073359073361E-8</v>
      </c>
      <c r="O45" s="83">
        <f t="shared" si="26"/>
        <v>5.3127359999999993E-6</v>
      </c>
      <c r="P45" s="83">
        <f t="shared" si="27"/>
        <v>4.1469999999999997E-7</v>
      </c>
      <c r="Q45" s="83">
        <f t="shared" si="28"/>
        <v>4.9067544855780146E-2</v>
      </c>
      <c r="R45" s="83">
        <f t="shared" si="29"/>
        <v>1.0106659729448491</v>
      </c>
      <c r="S45" s="83">
        <f t="shared" si="30"/>
        <v>0</v>
      </c>
      <c r="T45" s="83">
        <f t="shared" si="31"/>
        <v>7.8326612903225803E-2</v>
      </c>
      <c r="U45" s="83">
        <f t="shared" si="32"/>
        <v>5.8765932318873481E-3</v>
      </c>
      <c r="V45" s="83">
        <f t="shared" si="33"/>
        <v>2.3150215761980467E-3</v>
      </c>
      <c r="W45" s="83">
        <f t="shared" si="34"/>
        <v>0.28255135135135134</v>
      </c>
      <c r="X45" s="83">
        <f t="shared" si="35"/>
        <v>0.56510270270270269</v>
      </c>
      <c r="Y45" s="83">
        <f t="shared" si="36"/>
        <v>8.9698841698841695E-8</v>
      </c>
      <c r="Z45" s="83">
        <f t="shared" si="37"/>
        <v>1.0193050193050191E-6</v>
      </c>
      <c r="AA45" s="83">
        <f t="shared" si="38"/>
        <v>1.0193050193050192E-15</v>
      </c>
      <c r="AB45" s="131">
        <f t="shared" si="39"/>
        <v>17.476032858897305</v>
      </c>
      <c r="AG45" s="3"/>
      <c r="AI45" s="3"/>
      <c r="AL45" s="1"/>
      <c r="AN45" s="1"/>
    </row>
    <row r="46" spans="1:40">
      <c r="A46" s="44" t="s">
        <v>716</v>
      </c>
      <c r="AB46" s="200"/>
      <c r="AG46" s="3"/>
      <c r="AI46" s="3"/>
      <c r="AL46" s="1"/>
      <c r="AN46" s="1"/>
    </row>
    <row r="47" spans="1:40">
      <c r="A47" t="s">
        <v>632</v>
      </c>
      <c r="B47">
        <v>4.5</v>
      </c>
      <c r="C47">
        <v>2</v>
      </c>
      <c r="D47">
        <v>1.51</v>
      </c>
      <c r="F47">
        <v>0.11</v>
      </c>
      <c r="H47" s="83">
        <f>B47*charco2yoll</f>
        <v>2.9200153204633203E-6</v>
      </c>
      <c r="I47" s="83">
        <f>D47*NOx_YOLL_Oxidant_charfact/0.62</f>
        <v>8.6681912793346488E-6</v>
      </c>
      <c r="J47" s="83">
        <f>F47*PM2.5_YOLL_charfact</f>
        <v>3.2567254270146715E-4</v>
      </c>
      <c r="L47" s="83">
        <f>CO2_malnutrition_charfact*B47</f>
        <v>1.0763861003861002E-5</v>
      </c>
      <c r="M47" s="83">
        <f>CO2_workingcapacity_charfact*B47</f>
        <v>5.2473822393822384E-6</v>
      </c>
      <c r="N47" s="83">
        <f>CO2_diarrhea_charfact*B47</f>
        <v>7.1759073359073361E-8</v>
      </c>
      <c r="O47" s="83">
        <f>PM2.5_asthmacases_charfact*F47</f>
        <v>5.3127359999999993E-6</v>
      </c>
      <c r="P47" s="83">
        <f>PM2.5_COPD_charfact*F47</f>
        <v>4.1469999999999997E-7</v>
      </c>
      <c r="Q47" s="83">
        <f>CO2_crop_charfact*B47</f>
        <v>4.9067544855780146E-2</v>
      </c>
      <c r="R47" s="83">
        <f>charnoxcrop/0.62*D47</f>
        <v>1.7933086006424468</v>
      </c>
      <c r="S47" s="83">
        <f>charco2woodgw*B47</f>
        <v>0</v>
      </c>
      <c r="T47" s="83">
        <f>NOx_wood_oxidantcharfact/0.62*D47</f>
        <v>0.13898141654978963</v>
      </c>
      <c r="U47" s="83">
        <f>CO2_fruitandveg_charfact*B47</f>
        <v>5.8765932318873481E-3</v>
      </c>
      <c r="V47" s="83">
        <f>CO2_meatandfish_charfact*B47</f>
        <v>2.3150215761980467E-3</v>
      </c>
      <c r="W47" s="83">
        <f>CO2_drinkingwater_charfact*B47</f>
        <v>0.28255135135135134</v>
      </c>
      <c r="X47" s="83">
        <f>CO2_irrigationwater_charfact*B47</f>
        <v>0.56510270270270269</v>
      </c>
      <c r="Y47" s="83">
        <f>CO2_housing_charfact*B47</f>
        <v>8.9698841698841695E-8</v>
      </c>
      <c r="Z47" s="83">
        <f>CO2_separations_charfact*B47</f>
        <v>1.0193050193050191E-6</v>
      </c>
      <c r="AA47" s="83">
        <f>CO2_NEX_charfact*B47</f>
        <v>1.0193050193050192E-15</v>
      </c>
      <c r="AB47" s="131">
        <f>(H47+I47+J47+K47)*YOLLvalue+L47*malnutrition+M47*working_capacity+N47*diarrhea+O47*asthmacasesvalue+P47*COPDvalue+(Q47+R47)*cropvalue+(S47+T47)*woodvalue+U47*Fruitandveg_value+V47*fishandmeatvalue+W47*drinkingwatervalue+X47*irrigationwatervalue+Y47*housingvalue+Z47*migrationvalue+AA47*speciesvalue</f>
        <v>17.739003770855501</v>
      </c>
      <c r="AG47" s="3"/>
      <c r="AI47" s="3"/>
      <c r="AL47" s="1"/>
      <c r="AN47" s="1"/>
    </row>
    <row r="48" spans="1:40">
      <c r="A48" s="5" t="s">
        <v>612</v>
      </c>
      <c r="B48">
        <v>4.5</v>
      </c>
      <c r="C48">
        <v>2</v>
      </c>
      <c r="D48">
        <v>0.88</v>
      </c>
      <c r="F48">
        <v>0.11</v>
      </c>
      <c r="H48" s="83">
        <f>B48*charco2yoll</f>
        <v>2.9200153204633203E-6</v>
      </c>
      <c r="I48" s="83">
        <f>D48*NOx_YOLL_Oxidant_charfact/0.62</f>
        <v>5.0516611429235049E-6</v>
      </c>
      <c r="J48" s="83">
        <f>F48*PM2.5_YOLL_charfact</f>
        <v>3.2567254270146715E-4</v>
      </c>
      <c r="L48" s="83">
        <f>CO2_malnutrition_charfact*B48</f>
        <v>1.0763861003861002E-5</v>
      </c>
      <c r="M48" s="83">
        <f>CO2_workingcapacity_charfact*B48</f>
        <v>5.2473822393822384E-6</v>
      </c>
      <c r="N48" s="83">
        <f>CO2_diarrhea_charfact*B48</f>
        <v>7.1759073359073361E-8</v>
      </c>
      <c r="O48" s="83">
        <f>PM2.5_asthmacases_charfact*F48</f>
        <v>5.3127359999999993E-6</v>
      </c>
      <c r="P48" s="83">
        <f>PM2.5_COPD_charfact*F48</f>
        <v>4.1469999999999997E-7</v>
      </c>
      <c r="Q48" s="83">
        <f>CO2_crop_charfact*B48</f>
        <v>4.9067544855780146E-2</v>
      </c>
      <c r="R48" s="83">
        <f>charnoxcrop/0.62*D48</f>
        <v>1.0451069990499027</v>
      </c>
      <c r="S48" s="83">
        <f>charco2woodgw*B48</f>
        <v>0</v>
      </c>
      <c r="T48" s="83">
        <f>NOx_wood_oxidantcharfact/0.62*D48</f>
        <v>8.0995792426367466E-2</v>
      </c>
      <c r="U48" s="83">
        <f>CO2_fruitandveg_charfact*B48</f>
        <v>5.8765932318873481E-3</v>
      </c>
      <c r="V48" s="83">
        <f>CO2_meatandfish_charfact*B48</f>
        <v>2.3150215761980467E-3</v>
      </c>
      <c r="W48" s="83">
        <f>CO2_drinkingwater_charfact*B48</f>
        <v>0.28255135135135134</v>
      </c>
      <c r="X48" s="83">
        <f>CO2_irrigationwater_charfact*B48</f>
        <v>0.56510270270270269</v>
      </c>
      <c r="Y48" s="83">
        <f>CO2_housing_charfact*B48</f>
        <v>8.9698841698841695E-8</v>
      </c>
      <c r="Z48" s="83">
        <f>CO2_separations_charfact*B48</f>
        <v>1.0193050193050191E-6</v>
      </c>
      <c r="AA48" s="83">
        <f>CO2_NEX_charfact*B48</f>
        <v>1.0193050193050192E-15</v>
      </c>
      <c r="AB48" s="131">
        <f>(H48+I48+J48+K48)*YOLLvalue+L48*malnutrition+M48*working_capacity+N48*diarrhea+O48*asthmacasesvalue+P48*COPDvalue+(Q48+R48)*cropvalue+(S48+T48)*woodvalue+U48*Fruitandveg_value+V48*fishandmeatvalue+W48*drinkingwatervalue+X48*irrigationwatervalue+Y48*housingvalue+Z48*migrationvalue+AA48*speciesvalue</f>
        <v>17.391253486719648</v>
      </c>
      <c r="AG48" s="3"/>
      <c r="AI48" s="3"/>
      <c r="AL48" s="1"/>
      <c r="AN48" s="1"/>
    </row>
    <row r="49" spans="1:40">
      <c r="A49" s="44" t="s">
        <v>717</v>
      </c>
      <c r="AB49" s="200"/>
      <c r="AG49" s="3"/>
      <c r="AI49" s="3"/>
      <c r="AL49" s="1"/>
      <c r="AN49" s="1"/>
    </row>
    <row r="50" spans="1:40">
      <c r="A50" t="s">
        <v>216</v>
      </c>
      <c r="B50">
        <v>4.5</v>
      </c>
      <c r="C50">
        <v>2</v>
      </c>
      <c r="D50">
        <v>0.42</v>
      </c>
      <c r="F50">
        <v>0.11</v>
      </c>
      <c r="H50" s="83">
        <f>B50*charco2yoll</f>
        <v>2.9200153204633203E-6</v>
      </c>
      <c r="I50" s="83">
        <f>D50*NOx_YOLL_Oxidant_charfact/0.62</f>
        <v>2.4110200909407636E-6</v>
      </c>
      <c r="J50" s="83">
        <f>F50*PM2.5_YOLL_charfact</f>
        <v>3.2567254270146715E-4</v>
      </c>
      <c r="L50" s="83">
        <f>CO2_malnutrition_charfact*B50</f>
        <v>1.0763861003861002E-5</v>
      </c>
      <c r="M50" s="83">
        <f>CO2_workingcapacity_charfact*B50</f>
        <v>5.2473822393822384E-6</v>
      </c>
      <c r="N50" s="83">
        <f>CO2_diarrhea_charfact*B50</f>
        <v>7.1759073359073361E-8</v>
      </c>
      <c r="O50" s="83">
        <f>PM2.5_asthmacases_charfact*F50</f>
        <v>5.3127359999999993E-6</v>
      </c>
      <c r="P50" s="83">
        <f>PM2.5_COPD_charfact*F50</f>
        <v>4.1469999999999997E-7</v>
      </c>
      <c r="Q50" s="83">
        <f>CO2_crop_charfact*B50</f>
        <v>4.9067544855780146E-2</v>
      </c>
      <c r="R50" s="83">
        <f>charnoxcrop/0.62*D50</f>
        <v>0.49880106772836263</v>
      </c>
      <c r="S50" s="83">
        <f>charco2woodgw*B50</f>
        <v>0</v>
      </c>
      <c r="T50" s="83">
        <f>NOx_wood_oxidantcharfact/0.62*D50</f>
        <v>3.8657082748948107E-2</v>
      </c>
      <c r="U50" s="83">
        <f>CO2_fruitandveg_charfact*B50</f>
        <v>5.8765932318873481E-3</v>
      </c>
      <c r="V50" s="83">
        <f>CO2_meatandfish_charfact*B50</f>
        <v>2.3150215761980467E-3</v>
      </c>
      <c r="W50" s="83">
        <f>CO2_drinkingwater_charfact*B50</f>
        <v>0.28255135135135134</v>
      </c>
      <c r="X50" s="83">
        <f>CO2_irrigationwater_charfact*B50</f>
        <v>0.56510270270270269</v>
      </c>
      <c r="Y50" s="83">
        <f>CO2_housing_charfact*B50</f>
        <v>8.9698841698841695E-8</v>
      </c>
      <c r="Z50" s="83">
        <f>CO2_separations_charfact*B50</f>
        <v>1.0193050193050191E-6</v>
      </c>
      <c r="AA50" s="83">
        <f>CO2_NEX_charfact*B50</f>
        <v>1.0193050193050192E-15</v>
      </c>
      <c r="AB50" s="131">
        <f>(H50+I50+J50+K50)*YOLLvalue+L50*malnutrition+M50*working_capacity+N50*diarrhea+O50*asthmacasesvalue+P50*COPDvalue+(Q50+R50)*cropvalue+(S50+T50)*woodvalue+U50*Fruitandveg_value+V50*fishandmeatvalue+W50*drinkingwatervalue+X50*irrigationwatervalue+Y50*housingvalue+Z50*migrationvalue+AA50*speciesvalue</f>
        <v>17.137340580842675</v>
      </c>
      <c r="AG50" s="3"/>
      <c r="AI50" s="3"/>
      <c r="AL50" s="1"/>
      <c r="AN50" s="1"/>
    </row>
    <row r="51" spans="1:40">
      <c r="A51" s="44" t="s">
        <v>718</v>
      </c>
      <c r="AB51" s="200"/>
      <c r="AG51" s="3"/>
      <c r="AI51" s="3"/>
      <c r="AL51" s="1"/>
      <c r="AN51" s="1"/>
    </row>
    <row r="52" spans="1:40">
      <c r="A52" s="5" t="s">
        <v>191</v>
      </c>
      <c r="B52">
        <v>4.5</v>
      </c>
      <c r="C52">
        <v>2</v>
      </c>
      <c r="D52" s="5">
        <v>0.35</v>
      </c>
      <c r="F52">
        <v>0.11</v>
      </c>
      <c r="H52" s="83">
        <f>B52*charco2yoll</f>
        <v>2.9200153204633203E-6</v>
      </c>
      <c r="I52" s="83">
        <f t="shared" ref="I52:I67" si="40">D52*NOx_YOLL_Oxidant_charfact/0.62</f>
        <v>2.0091834091173031E-6</v>
      </c>
      <c r="J52" s="83">
        <f t="shared" ref="J52:J67" si="41">F52*PM2.5_YOLL_charfact</f>
        <v>3.2567254270146715E-4</v>
      </c>
      <c r="K52" s="83">
        <f xml:space="preserve"> 51800/(5600000000*28/12)</f>
        <v>3.9642857142857143E-6</v>
      </c>
      <c r="L52" s="83">
        <f t="shared" ref="L52:L67" si="42">CO2_malnutrition_charfact*B52</f>
        <v>1.0763861003861002E-5</v>
      </c>
      <c r="M52" s="83">
        <f t="shared" ref="M52:M67" si="43">CO2_workingcapacity_charfact*B52</f>
        <v>5.2473822393822384E-6</v>
      </c>
      <c r="N52" s="83">
        <f t="shared" ref="N52:N67" si="44">CO2_diarrhea_charfact*B52</f>
        <v>7.1759073359073361E-8</v>
      </c>
      <c r="O52" s="83">
        <f t="shared" ref="O52:O67" si="45">PM2.5_asthmacases_charfact*F52</f>
        <v>5.3127359999999993E-6</v>
      </c>
      <c r="P52" s="83">
        <f t="shared" ref="P52:P67" si="46">PM2.5_COPD_charfact*F52</f>
        <v>4.1469999999999997E-7</v>
      </c>
      <c r="Q52" s="83">
        <f t="shared" ref="Q52:Q67" si="47">CO2_crop_charfact*B52</f>
        <v>4.9067544855780146E-2</v>
      </c>
      <c r="R52" s="83">
        <f t="shared" ref="R52:R67" si="48">charnoxcrop/0.62*D52</f>
        <v>0.41566755644030218</v>
      </c>
      <c r="S52" s="83">
        <f t="shared" ref="S52:S67" si="49">charco2woodgw*B52</f>
        <v>0</v>
      </c>
      <c r="T52" s="83">
        <f t="shared" ref="T52:T67" si="50">NOx_wood_oxidantcharfact/0.62*D52</f>
        <v>3.221423562412342E-2</v>
      </c>
      <c r="U52" s="83">
        <f t="shared" ref="U52:U67" si="51">CO2_fruitandveg_charfact*B52</f>
        <v>5.8765932318873481E-3</v>
      </c>
      <c r="V52" s="83">
        <f t="shared" ref="V52:V67" si="52">CO2_meatandfish_charfact*B52</f>
        <v>2.3150215761980467E-3</v>
      </c>
      <c r="W52" s="83">
        <f t="shared" ref="W52:W67" si="53">CO2_drinkingwater_charfact*B52</f>
        <v>0.28255135135135134</v>
      </c>
      <c r="X52" s="83">
        <f t="shared" ref="X52:X67" si="54">CO2_irrigationwater_charfact*B52</f>
        <v>0.56510270270270269</v>
      </c>
      <c r="Y52" s="83">
        <f t="shared" ref="Y52:Y67" si="55">CO2_housing_charfact*B52</f>
        <v>8.9698841698841695E-8</v>
      </c>
      <c r="Z52" s="83">
        <f t="shared" ref="Z52:Z67" si="56">CO2_separations_charfact*B52</f>
        <v>1.0193050193050191E-6</v>
      </c>
      <c r="AA52" s="83">
        <f t="shared" ref="AA52:AA67" si="57">CO2_NEX_charfact*B52</f>
        <v>1.0193050193050192E-15</v>
      </c>
      <c r="AB52" s="131">
        <f t="shared" ref="AB52:AB67" si="58">(H52+I52+J52+K52)*YOLLvalue+L52*malnutrition+M52*working_capacity+N52*diarrhea+O52*asthmacasesvalue+P52*COPDvalue+(Q52+R52)*cropvalue+(S52+T52)*woodvalue+U52*Fruitandveg_value+V52*fishandmeatvalue+W52*drinkingwatervalue+X52*irrigationwatervalue+Y52*housingvalue+Z52*migrationvalue+AA52*speciesvalue</f>
        <v>17.296915946097421</v>
      </c>
      <c r="AG52" s="3"/>
      <c r="AI52" s="3"/>
      <c r="AL52" s="1"/>
      <c r="AN52" s="1"/>
    </row>
    <row r="53" spans="1:40">
      <c r="A53" t="s">
        <v>217</v>
      </c>
      <c r="B53">
        <v>4.5</v>
      </c>
      <c r="C53">
        <v>2</v>
      </c>
      <c r="D53">
        <v>0.48</v>
      </c>
      <c r="F53">
        <v>0.11</v>
      </c>
      <c r="H53" s="83">
        <f>B53*charco2yoll</f>
        <v>2.9200153204633203E-6</v>
      </c>
      <c r="I53" s="83">
        <f t="shared" si="40"/>
        <v>2.7554515325037297E-6</v>
      </c>
      <c r="J53" s="83">
        <f t="shared" si="41"/>
        <v>3.2567254270146715E-4</v>
      </c>
      <c r="L53" s="83">
        <f t="shared" si="42"/>
        <v>1.0763861003861002E-5</v>
      </c>
      <c r="M53" s="83">
        <f t="shared" si="43"/>
        <v>5.2473822393822384E-6</v>
      </c>
      <c r="N53" s="83">
        <f t="shared" si="44"/>
        <v>7.1759073359073361E-8</v>
      </c>
      <c r="O53" s="83">
        <f t="shared" si="45"/>
        <v>5.3127359999999993E-6</v>
      </c>
      <c r="P53" s="83">
        <f t="shared" si="46"/>
        <v>4.1469999999999997E-7</v>
      </c>
      <c r="Q53" s="83">
        <f t="shared" si="47"/>
        <v>4.9067544855780146E-2</v>
      </c>
      <c r="R53" s="83">
        <f t="shared" si="48"/>
        <v>0.57005836311812874</v>
      </c>
      <c r="S53" s="83">
        <f t="shared" si="49"/>
        <v>0</v>
      </c>
      <c r="T53" s="83">
        <f t="shared" si="50"/>
        <v>4.4179523141654978E-2</v>
      </c>
      <c r="U53" s="83">
        <f t="shared" si="51"/>
        <v>5.8765932318873481E-3</v>
      </c>
      <c r="V53" s="83">
        <f t="shared" si="52"/>
        <v>2.3150215761980467E-3</v>
      </c>
      <c r="W53" s="83">
        <f t="shared" si="53"/>
        <v>0.28255135135135134</v>
      </c>
      <c r="X53" s="83">
        <f t="shared" si="54"/>
        <v>0.56510270270270269</v>
      </c>
      <c r="Y53" s="83">
        <f t="shared" si="55"/>
        <v>8.9698841698841695E-8</v>
      </c>
      <c r="Z53" s="83">
        <f t="shared" si="56"/>
        <v>1.0193050193050191E-6</v>
      </c>
      <c r="AA53" s="83">
        <f t="shared" si="57"/>
        <v>1.0193050193050192E-15</v>
      </c>
      <c r="AB53" s="131">
        <f t="shared" si="58"/>
        <v>17.170459655522276</v>
      </c>
      <c r="AG53" s="3"/>
      <c r="AI53" s="3"/>
      <c r="AL53" s="1"/>
      <c r="AN53" s="1"/>
    </row>
    <row r="54" spans="1:40">
      <c r="A54" t="s">
        <v>218</v>
      </c>
      <c r="B54">
        <v>4.5</v>
      </c>
      <c r="C54">
        <v>2</v>
      </c>
      <c r="D54">
        <v>0.75</v>
      </c>
      <c r="F54">
        <v>0.11</v>
      </c>
      <c r="H54" s="83">
        <f>B54*charco2yoll</f>
        <v>2.9200153204633203E-6</v>
      </c>
      <c r="I54" s="83">
        <f t="shared" si="40"/>
        <v>4.3053930195370778E-6</v>
      </c>
      <c r="J54" s="83">
        <f t="shared" si="41"/>
        <v>3.2567254270146715E-4</v>
      </c>
      <c r="L54" s="83">
        <f t="shared" si="42"/>
        <v>1.0763861003861002E-5</v>
      </c>
      <c r="M54" s="83">
        <f t="shared" si="43"/>
        <v>5.2473822393822384E-6</v>
      </c>
      <c r="N54" s="83">
        <f t="shared" si="44"/>
        <v>7.1759073359073361E-8</v>
      </c>
      <c r="O54" s="83">
        <f t="shared" si="45"/>
        <v>5.3127359999999993E-6</v>
      </c>
      <c r="P54" s="83">
        <f t="shared" si="46"/>
        <v>4.1469999999999997E-7</v>
      </c>
      <c r="Q54" s="83">
        <f t="shared" si="47"/>
        <v>4.9067544855780146E-2</v>
      </c>
      <c r="R54" s="83">
        <f t="shared" si="48"/>
        <v>0.89071619237207611</v>
      </c>
      <c r="S54" s="83">
        <f t="shared" si="49"/>
        <v>0</v>
      </c>
      <c r="T54" s="83">
        <f t="shared" si="50"/>
        <v>6.9030504908835902E-2</v>
      </c>
      <c r="U54" s="83">
        <f t="shared" si="51"/>
        <v>5.8765932318873481E-3</v>
      </c>
      <c r="V54" s="83">
        <f t="shared" si="52"/>
        <v>2.3150215761980467E-3</v>
      </c>
      <c r="W54" s="83">
        <f t="shared" si="53"/>
        <v>0.28255135135135134</v>
      </c>
      <c r="X54" s="83">
        <f t="shared" si="54"/>
        <v>0.56510270270270269</v>
      </c>
      <c r="Y54" s="83">
        <f t="shared" si="55"/>
        <v>8.9698841698841695E-8</v>
      </c>
      <c r="Z54" s="83">
        <f t="shared" si="56"/>
        <v>1.0193050193050191E-6</v>
      </c>
      <c r="AA54" s="83">
        <f t="shared" si="57"/>
        <v>1.0193050193050192E-15</v>
      </c>
      <c r="AB54" s="131">
        <f t="shared" si="58"/>
        <v>17.319495491580504</v>
      </c>
      <c r="AG54" s="3"/>
      <c r="AI54" s="3"/>
      <c r="AL54" s="1"/>
      <c r="AN54" s="1"/>
    </row>
    <row r="55" spans="1:40">
      <c r="A55" t="s">
        <v>219</v>
      </c>
      <c r="B55">
        <v>4.5</v>
      </c>
      <c r="C55">
        <v>2</v>
      </c>
      <c r="D55">
        <v>1.08</v>
      </c>
      <c r="F55">
        <v>0.11</v>
      </c>
      <c r="H55" s="83">
        <f>B55*charco2yoll</f>
        <v>2.9200153204633203E-6</v>
      </c>
      <c r="I55" s="83">
        <f t="shared" si="40"/>
        <v>6.1997659481333917E-6</v>
      </c>
      <c r="J55" s="83">
        <f t="shared" si="41"/>
        <v>3.2567254270146715E-4</v>
      </c>
      <c r="L55" s="83">
        <f t="shared" si="42"/>
        <v>1.0763861003861002E-5</v>
      </c>
      <c r="M55" s="83">
        <f t="shared" si="43"/>
        <v>5.2473822393822384E-6</v>
      </c>
      <c r="N55" s="83">
        <f t="shared" si="44"/>
        <v>7.1759073359073361E-8</v>
      </c>
      <c r="O55" s="83">
        <f t="shared" si="45"/>
        <v>5.3127359999999993E-6</v>
      </c>
      <c r="P55" s="83">
        <f t="shared" si="46"/>
        <v>4.1469999999999997E-7</v>
      </c>
      <c r="Q55" s="83">
        <f t="shared" si="47"/>
        <v>4.9067544855780146E-2</v>
      </c>
      <c r="R55" s="83">
        <f t="shared" si="48"/>
        <v>1.2826313170157897</v>
      </c>
      <c r="S55" s="83">
        <f t="shared" si="49"/>
        <v>0</v>
      </c>
      <c r="T55" s="83">
        <f t="shared" si="50"/>
        <v>9.940392706872371E-2</v>
      </c>
      <c r="U55" s="83">
        <f t="shared" si="51"/>
        <v>5.8765932318873481E-3</v>
      </c>
      <c r="V55" s="83">
        <f t="shared" si="52"/>
        <v>2.3150215761980467E-3</v>
      </c>
      <c r="W55" s="83">
        <f t="shared" si="53"/>
        <v>0.28255135135135134</v>
      </c>
      <c r="X55" s="83">
        <f t="shared" si="54"/>
        <v>0.56510270270270269</v>
      </c>
      <c r="Y55" s="83">
        <f t="shared" si="55"/>
        <v>8.9698841698841695E-8</v>
      </c>
      <c r="Z55" s="83">
        <f t="shared" si="56"/>
        <v>1.0193050193050191E-6</v>
      </c>
      <c r="AA55" s="83">
        <f t="shared" si="57"/>
        <v>1.0193050193050192E-15</v>
      </c>
      <c r="AB55" s="131">
        <f t="shared" si="58"/>
        <v>17.501650402318333</v>
      </c>
      <c r="AG55" s="3"/>
      <c r="AI55" s="3"/>
      <c r="AL55" s="1"/>
      <c r="AN55" s="1"/>
    </row>
    <row r="56" spans="1:40">
      <c r="A56" t="s">
        <v>220</v>
      </c>
      <c r="B56">
        <v>4.5</v>
      </c>
      <c r="C56">
        <v>2</v>
      </c>
      <c r="D56">
        <v>1.03</v>
      </c>
      <c r="F56">
        <v>0.11</v>
      </c>
      <c r="H56" s="83">
        <f>B56*charco2yoll</f>
        <v>2.9200153204633203E-6</v>
      </c>
      <c r="I56" s="83">
        <f t="shared" si="40"/>
        <v>5.91273974683092E-6</v>
      </c>
      <c r="J56" s="83">
        <f t="shared" si="41"/>
        <v>3.2567254270146715E-4</v>
      </c>
      <c r="L56" s="83">
        <f t="shared" si="42"/>
        <v>1.0763861003861002E-5</v>
      </c>
      <c r="M56" s="83">
        <f t="shared" si="43"/>
        <v>5.2473822393822384E-6</v>
      </c>
      <c r="N56" s="83">
        <f t="shared" si="44"/>
        <v>7.1759073359073361E-8</v>
      </c>
      <c r="O56" s="83">
        <f t="shared" si="45"/>
        <v>5.3127359999999993E-6</v>
      </c>
      <c r="P56" s="83">
        <f t="shared" si="46"/>
        <v>4.1469999999999997E-7</v>
      </c>
      <c r="Q56" s="83">
        <f t="shared" si="47"/>
        <v>4.9067544855780146E-2</v>
      </c>
      <c r="R56" s="83">
        <f t="shared" si="48"/>
        <v>1.2232502375243179</v>
      </c>
      <c r="S56" s="83">
        <f t="shared" si="49"/>
        <v>0</v>
      </c>
      <c r="T56" s="83">
        <f t="shared" si="50"/>
        <v>9.4801893408134649E-2</v>
      </c>
      <c r="U56" s="83">
        <f t="shared" si="51"/>
        <v>5.8765932318873481E-3</v>
      </c>
      <c r="V56" s="83">
        <f t="shared" si="52"/>
        <v>2.3150215761980467E-3</v>
      </c>
      <c r="W56" s="83">
        <f t="shared" si="53"/>
        <v>0.28255135135135134</v>
      </c>
      <c r="X56" s="83">
        <f t="shared" si="54"/>
        <v>0.56510270270270269</v>
      </c>
      <c r="Y56" s="83">
        <f t="shared" si="55"/>
        <v>8.9698841698841695E-8</v>
      </c>
      <c r="Z56" s="83">
        <f t="shared" si="56"/>
        <v>1.0193050193050191E-6</v>
      </c>
      <c r="AA56" s="83">
        <f t="shared" si="57"/>
        <v>1.0193050193050192E-15</v>
      </c>
      <c r="AB56" s="131">
        <f t="shared" si="58"/>
        <v>17.474051173418658</v>
      </c>
      <c r="AG56" s="3"/>
      <c r="AI56" s="3"/>
      <c r="AL56" s="1"/>
      <c r="AN56" s="1"/>
    </row>
    <row r="57" spans="1:40">
      <c r="A57" t="s">
        <v>221</v>
      </c>
      <c r="B57">
        <v>4.5</v>
      </c>
      <c r="C57">
        <v>2</v>
      </c>
      <c r="D57">
        <v>0.82</v>
      </c>
      <c r="F57">
        <v>0.11</v>
      </c>
      <c r="H57" s="83">
        <f t="shared" ref="H57:H67" si="59">B57*charco2yoll</f>
        <v>2.9200153204633203E-6</v>
      </c>
      <c r="I57" s="83">
        <f t="shared" si="40"/>
        <v>4.7072297013605375E-6</v>
      </c>
      <c r="J57" s="83">
        <f t="shared" si="41"/>
        <v>3.2567254270146715E-4</v>
      </c>
      <c r="L57" s="83">
        <f t="shared" si="42"/>
        <v>1.0763861003861002E-5</v>
      </c>
      <c r="M57" s="83">
        <f t="shared" si="43"/>
        <v>5.2473822393822384E-6</v>
      </c>
      <c r="N57" s="83">
        <f t="shared" si="44"/>
        <v>7.1759073359073361E-8</v>
      </c>
      <c r="O57" s="83">
        <f t="shared" si="45"/>
        <v>5.3127359999999993E-6</v>
      </c>
      <c r="P57" s="83">
        <f t="shared" si="46"/>
        <v>4.1469999999999997E-7</v>
      </c>
      <c r="Q57" s="83">
        <f t="shared" si="47"/>
        <v>4.9067544855780146E-2</v>
      </c>
      <c r="R57" s="83">
        <f t="shared" si="48"/>
        <v>0.97384970366013657</v>
      </c>
      <c r="S57" s="83">
        <f t="shared" si="49"/>
        <v>0</v>
      </c>
      <c r="T57" s="83">
        <f t="shared" si="50"/>
        <v>7.5473352033660582E-2</v>
      </c>
      <c r="U57" s="83">
        <f t="shared" si="51"/>
        <v>5.8765932318873481E-3</v>
      </c>
      <c r="V57" s="83">
        <f t="shared" si="52"/>
        <v>2.3150215761980467E-3</v>
      </c>
      <c r="W57" s="83">
        <f t="shared" si="53"/>
        <v>0.28255135135135134</v>
      </c>
      <c r="X57" s="83">
        <f t="shared" si="54"/>
        <v>0.56510270270270269</v>
      </c>
      <c r="Y57" s="83">
        <f t="shared" si="55"/>
        <v>8.9698841698841695E-8</v>
      </c>
      <c r="Z57" s="83">
        <f t="shared" si="56"/>
        <v>1.0193050193050191E-6</v>
      </c>
      <c r="AA57" s="83">
        <f t="shared" si="57"/>
        <v>1.0193050193050192E-15</v>
      </c>
      <c r="AB57" s="131">
        <f t="shared" si="58"/>
        <v>17.358134412040041</v>
      </c>
      <c r="AG57" s="3"/>
      <c r="AI57" s="3"/>
      <c r="AL57" s="1"/>
      <c r="AN57" s="1"/>
    </row>
    <row r="58" spans="1:40">
      <c r="A58" t="s">
        <v>222</v>
      </c>
      <c r="B58">
        <v>4.5</v>
      </c>
      <c r="C58">
        <v>2</v>
      </c>
      <c r="D58">
        <v>0.62</v>
      </c>
      <c r="F58">
        <v>0.11</v>
      </c>
      <c r="H58" s="83">
        <f t="shared" si="59"/>
        <v>2.9200153204633203E-6</v>
      </c>
      <c r="I58" s="83">
        <f t="shared" si="40"/>
        <v>3.5591248961506504E-6</v>
      </c>
      <c r="J58" s="83">
        <f t="shared" si="41"/>
        <v>3.2567254270146715E-4</v>
      </c>
      <c r="L58" s="83">
        <f t="shared" si="42"/>
        <v>1.0763861003861002E-5</v>
      </c>
      <c r="M58" s="83">
        <f t="shared" si="43"/>
        <v>5.2473822393822384E-6</v>
      </c>
      <c r="N58" s="83">
        <f t="shared" si="44"/>
        <v>7.1759073359073361E-8</v>
      </c>
      <c r="O58" s="83">
        <f t="shared" si="45"/>
        <v>5.3127359999999993E-6</v>
      </c>
      <c r="P58" s="83">
        <f t="shared" si="46"/>
        <v>4.1469999999999997E-7</v>
      </c>
      <c r="Q58" s="83">
        <f t="shared" si="47"/>
        <v>4.9067544855780146E-2</v>
      </c>
      <c r="R58" s="83">
        <f t="shared" si="48"/>
        <v>0.73632538569424966</v>
      </c>
      <c r="S58" s="83">
        <f t="shared" si="49"/>
        <v>0</v>
      </c>
      <c r="T58" s="83">
        <f t="shared" si="50"/>
        <v>5.7065217391304351E-2</v>
      </c>
      <c r="U58" s="83">
        <f t="shared" si="51"/>
        <v>5.8765932318873481E-3</v>
      </c>
      <c r="V58" s="83">
        <f t="shared" si="52"/>
        <v>2.3150215761980467E-3</v>
      </c>
      <c r="W58" s="83">
        <f t="shared" si="53"/>
        <v>0.28255135135135134</v>
      </c>
      <c r="X58" s="83">
        <f t="shared" si="54"/>
        <v>0.56510270270270269</v>
      </c>
      <c r="Y58" s="83">
        <f t="shared" si="55"/>
        <v>8.9698841698841695E-8</v>
      </c>
      <c r="Z58" s="83">
        <f t="shared" si="56"/>
        <v>1.0193050193050191E-6</v>
      </c>
      <c r="AA58" s="83">
        <f t="shared" si="57"/>
        <v>1.0193050193050192E-15</v>
      </c>
      <c r="AB58" s="131">
        <f t="shared" si="58"/>
        <v>17.247737496441356</v>
      </c>
    </row>
    <row r="59" spans="1:40">
      <c r="A59" t="s">
        <v>223</v>
      </c>
      <c r="B59">
        <v>4.5</v>
      </c>
      <c r="C59">
        <v>2</v>
      </c>
      <c r="D59">
        <v>0.81</v>
      </c>
      <c r="F59">
        <v>0.11</v>
      </c>
      <c r="H59" s="83">
        <f t="shared" si="59"/>
        <v>2.9200153204633203E-6</v>
      </c>
      <c r="I59" s="83">
        <f t="shared" si="40"/>
        <v>4.6498244611000444E-6</v>
      </c>
      <c r="J59" s="83">
        <f t="shared" si="41"/>
        <v>3.2567254270146715E-4</v>
      </c>
      <c r="L59" s="83">
        <f t="shared" si="42"/>
        <v>1.0763861003861002E-5</v>
      </c>
      <c r="M59" s="83">
        <f t="shared" si="43"/>
        <v>5.2473822393822384E-6</v>
      </c>
      <c r="N59" s="83">
        <f t="shared" si="44"/>
        <v>7.1759073359073361E-8</v>
      </c>
      <c r="O59" s="83">
        <f t="shared" si="45"/>
        <v>5.3127359999999993E-6</v>
      </c>
      <c r="P59" s="83">
        <f t="shared" si="46"/>
        <v>4.1469999999999997E-7</v>
      </c>
      <c r="Q59" s="83">
        <f t="shared" si="47"/>
        <v>4.9067544855780146E-2</v>
      </c>
      <c r="R59" s="83">
        <f t="shared" si="48"/>
        <v>0.96197348776184233</v>
      </c>
      <c r="S59" s="83">
        <f t="shared" si="49"/>
        <v>0</v>
      </c>
      <c r="T59" s="83">
        <f t="shared" si="50"/>
        <v>7.4552945301542786E-2</v>
      </c>
      <c r="U59" s="83">
        <f t="shared" si="51"/>
        <v>5.8765932318873481E-3</v>
      </c>
      <c r="V59" s="83">
        <f t="shared" si="52"/>
        <v>2.3150215761980467E-3</v>
      </c>
      <c r="W59" s="83">
        <f t="shared" si="53"/>
        <v>0.28255135135135134</v>
      </c>
      <c r="X59" s="83">
        <f t="shared" si="54"/>
        <v>0.56510270270270269</v>
      </c>
      <c r="Y59" s="83">
        <f t="shared" si="55"/>
        <v>8.9698841698841695E-8</v>
      </c>
      <c r="Z59" s="83">
        <f t="shared" si="56"/>
        <v>1.0193050193050191E-6</v>
      </c>
      <c r="AA59" s="83">
        <f t="shared" si="57"/>
        <v>1.0193050193050192E-15</v>
      </c>
      <c r="AB59" s="131">
        <f t="shared" si="58"/>
        <v>17.352614566260112</v>
      </c>
    </row>
    <row r="60" spans="1:40">
      <c r="A60" t="s">
        <v>224</v>
      </c>
      <c r="B60">
        <v>4.5</v>
      </c>
      <c r="C60">
        <v>2</v>
      </c>
      <c r="D60">
        <v>0.63</v>
      </c>
      <c r="F60">
        <v>0.11</v>
      </c>
      <c r="H60" s="83">
        <f t="shared" si="59"/>
        <v>2.9200153204633203E-6</v>
      </c>
      <c r="I60" s="83">
        <f t="shared" si="40"/>
        <v>3.6165301364111452E-6</v>
      </c>
      <c r="J60" s="83">
        <f t="shared" si="41"/>
        <v>3.2567254270146715E-4</v>
      </c>
      <c r="L60" s="83">
        <f t="shared" si="42"/>
        <v>1.0763861003861002E-5</v>
      </c>
      <c r="M60" s="83">
        <f t="shared" si="43"/>
        <v>5.2473822393822384E-6</v>
      </c>
      <c r="N60" s="83">
        <f t="shared" si="44"/>
        <v>7.1759073359073361E-8</v>
      </c>
      <c r="O60" s="83">
        <f t="shared" si="45"/>
        <v>5.3127359999999993E-6</v>
      </c>
      <c r="P60" s="83">
        <f t="shared" si="46"/>
        <v>4.1469999999999997E-7</v>
      </c>
      <c r="Q60" s="83">
        <f t="shared" si="47"/>
        <v>4.9067544855780146E-2</v>
      </c>
      <c r="R60" s="83">
        <f t="shared" si="48"/>
        <v>0.74820160159254401</v>
      </c>
      <c r="S60" s="83">
        <f t="shared" si="49"/>
        <v>0</v>
      </c>
      <c r="T60" s="83">
        <f t="shared" si="50"/>
        <v>5.7985624123422161E-2</v>
      </c>
      <c r="U60" s="83">
        <f t="shared" si="51"/>
        <v>5.8765932318873481E-3</v>
      </c>
      <c r="V60" s="83">
        <f t="shared" si="52"/>
        <v>2.3150215761980467E-3</v>
      </c>
      <c r="W60" s="83">
        <f t="shared" si="53"/>
        <v>0.28255135135135134</v>
      </c>
      <c r="X60" s="83">
        <f t="shared" si="54"/>
        <v>0.56510270270270269</v>
      </c>
      <c r="Y60" s="83">
        <f t="shared" si="55"/>
        <v>8.9698841698841695E-8</v>
      </c>
      <c r="Z60" s="83">
        <f t="shared" si="56"/>
        <v>1.0193050193050191E-6</v>
      </c>
      <c r="AA60" s="83">
        <f t="shared" si="57"/>
        <v>1.0193050193050192E-15</v>
      </c>
      <c r="AB60" s="131">
        <f t="shared" si="58"/>
        <v>17.253257342221293</v>
      </c>
    </row>
    <row r="61" spans="1:40">
      <c r="A61" s="5" t="s">
        <v>226</v>
      </c>
      <c r="B61">
        <v>4.5</v>
      </c>
      <c r="C61">
        <v>2</v>
      </c>
      <c r="D61">
        <v>1.01</v>
      </c>
      <c r="F61">
        <v>0.11</v>
      </c>
      <c r="H61" s="83">
        <f t="shared" si="59"/>
        <v>2.9200153204633203E-6</v>
      </c>
      <c r="I61" s="83">
        <f t="shared" si="40"/>
        <v>5.7979292663099311E-6</v>
      </c>
      <c r="J61" s="83">
        <f t="shared" si="41"/>
        <v>3.2567254270146715E-4</v>
      </c>
      <c r="L61" s="83">
        <f t="shared" si="42"/>
        <v>1.0763861003861002E-5</v>
      </c>
      <c r="M61" s="83">
        <f t="shared" si="43"/>
        <v>5.2473822393822384E-6</v>
      </c>
      <c r="N61" s="83">
        <f t="shared" si="44"/>
        <v>7.1759073359073361E-8</v>
      </c>
      <c r="O61" s="83">
        <f t="shared" si="45"/>
        <v>5.3127359999999993E-6</v>
      </c>
      <c r="P61" s="83">
        <f t="shared" si="46"/>
        <v>4.1469999999999997E-7</v>
      </c>
      <c r="Q61" s="83">
        <f t="shared" si="47"/>
        <v>4.9067544855780146E-2</v>
      </c>
      <c r="R61" s="83">
        <f t="shared" si="48"/>
        <v>1.1994978057277292</v>
      </c>
      <c r="S61" s="83">
        <f t="shared" si="49"/>
        <v>0</v>
      </c>
      <c r="T61" s="83">
        <f t="shared" si="50"/>
        <v>9.2961079943899017E-2</v>
      </c>
      <c r="U61" s="83">
        <f t="shared" si="51"/>
        <v>5.8765932318873481E-3</v>
      </c>
      <c r="V61" s="83">
        <f t="shared" si="52"/>
        <v>2.3150215761980467E-3</v>
      </c>
      <c r="W61" s="83">
        <f t="shared" si="53"/>
        <v>0.28255135135135134</v>
      </c>
      <c r="X61" s="83">
        <f t="shared" si="54"/>
        <v>0.56510270270270269</v>
      </c>
      <c r="Y61" s="83">
        <f t="shared" si="55"/>
        <v>8.9698841698841695E-8</v>
      </c>
      <c r="Z61" s="83">
        <f t="shared" si="56"/>
        <v>1.0193050193050191E-6</v>
      </c>
      <c r="AA61" s="83">
        <f t="shared" si="57"/>
        <v>1.0193050193050192E-15</v>
      </c>
      <c r="AB61" s="131">
        <f t="shared" si="58"/>
        <v>17.463011481858793</v>
      </c>
    </row>
    <row r="62" spans="1:40">
      <c r="A62" s="5" t="s">
        <v>225</v>
      </c>
      <c r="B62">
        <v>4.5</v>
      </c>
      <c r="C62">
        <v>2</v>
      </c>
      <c r="D62">
        <v>0.62</v>
      </c>
      <c r="F62">
        <v>0.11</v>
      </c>
      <c r="H62" s="83">
        <f t="shared" si="59"/>
        <v>2.9200153204633203E-6</v>
      </c>
      <c r="I62" s="83">
        <f t="shared" si="40"/>
        <v>3.5591248961506504E-6</v>
      </c>
      <c r="J62" s="83">
        <f t="shared" si="41"/>
        <v>3.2567254270146715E-4</v>
      </c>
      <c r="L62" s="83">
        <f t="shared" si="42"/>
        <v>1.0763861003861002E-5</v>
      </c>
      <c r="M62" s="83">
        <f t="shared" si="43"/>
        <v>5.2473822393822384E-6</v>
      </c>
      <c r="N62" s="83">
        <f t="shared" si="44"/>
        <v>7.1759073359073361E-8</v>
      </c>
      <c r="O62" s="83">
        <f t="shared" si="45"/>
        <v>5.3127359999999993E-6</v>
      </c>
      <c r="P62" s="83">
        <f t="shared" si="46"/>
        <v>4.1469999999999997E-7</v>
      </c>
      <c r="Q62" s="83">
        <f t="shared" si="47"/>
        <v>4.9067544855780146E-2</v>
      </c>
      <c r="R62" s="83">
        <f t="shared" si="48"/>
        <v>0.73632538569424966</v>
      </c>
      <c r="S62" s="83">
        <f t="shared" si="49"/>
        <v>0</v>
      </c>
      <c r="T62" s="83">
        <f t="shared" si="50"/>
        <v>5.7065217391304351E-2</v>
      </c>
      <c r="U62" s="83">
        <f t="shared" si="51"/>
        <v>5.8765932318873481E-3</v>
      </c>
      <c r="V62" s="83">
        <f t="shared" si="52"/>
        <v>2.3150215761980467E-3</v>
      </c>
      <c r="W62" s="83">
        <f t="shared" si="53"/>
        <v>0.28255135135135134</v>
      </c>
      <c r="X62" s="83">
        <f t="shared" si="54"/>
        <v>0.56510270270270269</v>
      </c>
      <c r="Y62" s="83">
        <f t="shared" si="55"/>
        <v>8.9698841698841695E-8</v>
      </c>
      <c r="Z62" s="83">
        <f t="shared" si="56"/>
        <v>1.0193050193050191E-6</v>
      </c>
      <c r="AA62" s="83">
        <f t="shared" si="57"/>
        <v>1.0193050193050192E-15</v>
      </c>
      <c r="AB62" s="131">
        <f t="shared" si="58"/>
        <v>17.247737496441356</v>
      </c>
    </row>
    <row r="63" spans="1:40">
      <c r="A63" t="s">
        <v>227</v>
      </c>
      <c r="B63">
        <v>4.5</v>
      </c>
      <c r="C63">
        <v>2</v>
      </c>
      <c r="D63">
        <v>0.95</v>
      </c>
      <c r="F63">
        <v>0.11</v>
      </c>
      <c r="H63" s="83">
        <f t="shared" si="59"/>
        <v>2.9200153204633203E-6</v>
      </c>
      <c r="I63" s="83">
        <f t="shared" si="40"/>
        <v>5.4534978247469646E-6</v>
      </c>
      <c r="J63" s="83">
        <f t="shared" si="41"/>
        <v>3.2567254270146715E-4</v>
      </c>
      <c r="L63" s="83">
        <f t="shared" si="42"/>
        <v>1.0763861003861002E-5</v>
      </c>
      <c r="M63" s="83">
        <f t="shared" si="43"/>
        <v>5.2473822393822384E-6</v>
      </c>
      <c r="N63" s="83">
        <f t="shared" si="44"/>
        <v>7.1759073359073361E-8</v>
      </c>
      <c r="O63" s="83">
        <f t="shared" si="45"/>
        <v>5.3127359999999993E-6</v>
      </c>
      <c r="P63" s="83">
        <f t="shared" si="46"/>
        <v>4.1469999999999997E-7</v>
      </c>
      <c r="Q63" s="83">
        <f t="shared" si="47"/>
        <v>4.9067544855780146E-2</v>
      </c>
      <c r="R63" s="83">
        <f t="shared" si="48"/>
        <v>1.1282405103379631</v>
      </c>
      <c r="S63" s="83">
        <f t="shared" si="49"/>
        <v>0</v>
      </c>
      <c r="T63" s="83">
        <f t="shared" si="50"/>
        <v>8.7438639551192146E-2</v>
      </c>
      <c r="U63" s="83">
        <f t="shared" si="51"/>
        <v>5.8765932318873481E-3</v>
      </c>
      <c r="V63" s="83">
        <f t="shared" si="52"/>
        <v>2.3150215761980467E-3</v>
      </c>
      <c r="W63" s="83">
        <f t="shared" si="53"/>
        <v>0.28255135135135134</v>
      </c>
      <c r="X63" s="83">
        <f t="shared" si="54"/>
        <v>0.56510270270270269</v>
      </c>
      <c r="Y63" s="83">
        <f t="shared" si="55"/>
        <v>8.9698841698841695E-8</v>
      </c>
      <c r="Z63" s="83">
        <f t="shared" si="56"/>
        <v>1.0193050193050191E-6</v>
      </c>
      <c r="AA63" s="83">
        <f t="shared" si="57"/>
        <v>1.0193050193050192E-15</v>
      </c>
      <c r="AB63" s="131">
        <f t="shared" si="58"/>
        <v>17.429892407179185</v>
      </c>
    </row>
    <row r="64" spans="1:40">
      <c r="A64" t="s">
        <v>228</v>
      </c>
      <c r="B64">
        <v>4.5</v>
      </c>
      <c r="C64">
        <v>2</v>
      </c>
      <c r="D64">
        <v>0.79</v>
      </c>
      <c r="F64">
        <v>0.11</v>
      </c>
      <c r="H64" s="83">
        <f t="shared" si="59"/>
        <v>2.9200153204633203E-6</v>
      </c>
      <c r="I64" s="83">
        <f t="shared" si="40"/>
        <v>4.5350139805790555E-6</v>
      </c>
      <c r="J64" s="83">
        <f t="shared" si="41"/>
        <v>3.2567254270146715E-4</v>
      </c>
      <c r="L64" s="83">
        <f t="shared" si="42"/>
        <v>1.0763861003861002E-5</v>
      </c>
      <c r="M64" s="83">
        <f t="shared" si="43"/>
        <v>5.2473822393822384E-6</v>
      </c>
      <c r="N64" s="83">
        <f t="shared" si="44"/>
        <v>7.1759073359073361E-8</v>
      </c>
      <c r="O64" s="83">
        <f t="shared" si="45"/>
        <v>5.3127359999999993E-6</v>
      </c>
      <c r="P64" s="83">
        <f t="shared" si="46"/>
        <v>4.1469999999999997E-7</v>
      </c>
      <c r="Q64" s="83">
        <f t="shared" si="47"/>
        <v>4.9067544855780146E-2</v>
      </c>
      <c r="R64" s="83">
        <f t="shared" si="48"/>
        <v>0.93822105596525363</v>
      </c>
      <c r="S64" s="83">
        <f t="shared" si="49"/>
        <v>0</v>
      </c>
      <c r="T64" s="83">
        <f t="shared" si="50"/>
        <v>7.2712131837307153E-2</v>
      </c>
      <c r="U64" s="83">
        <f t="shared" si="51"/>
        <v>5.8765932318873481E-3</v>
      </c>
      <c r="V64" s="83">
        <f t="shared" si="52"/>
        <v>2.3150215761980467E-3</v>
      </c>
      <c r="W64" s="83">
        <f t="shared" si="53"/>
        <v>0.28255135135135134</v>
      </c>
      <c r="X64" s="83">
        <f t="shared" si="54"/>
        <v>0.56510270270270269</v>
      </c>
      <c r="Y64" s="83">
        <f t="shared" si="55"/>
        <v>8.9698841698841695E-8</v>
      </c>
      <c r="Z64" s="83">
        <f t="shared" si="56"/>
        <v>1.0193050193050191E-6</v>
      </c>
      <c r="AA64" s="83">
        <f t="shared" si="57"/>
        <v>1.0193050193050192E-15</v>
      </c>
      <c r="AB64" s="131">
        <f t="shared" si="58"/>
        <v>17.341574874700239</v>
      </c>
    </row>
    <row r="65" spans="1:28">
      <c r="A65" t="s">
        <v>229</v>
      </c>
      <c r="B65">
        <v>4.5</v>
      </c>
      <c r="C65">
        <v>2</v>
      </c>
      <c r="D65">
        <v>0.63</v>
      </c>
      <c r="F65">
        <v>0.11</v>
      </c>
      <c r="H65" s="83">
        <f t="shared" si="59"/>
        <v>2.9200153204633203E-6</v>
      </c>
      <c r="I65" s="83">
        <f t="shared" si="40"/>
        <v>3.6165301364111452E-6</v>
      </c>
      <c r="J65" s="83">
        <f t="shared" si="41"/>
        <v>3.2567254270146715E-4</v>
      </c>
      <c r="L65" s="83">
        <f t="shared" si="42"/>
        <v>1.0763861003861002E-5</v>
      </c>
      <c r="M65" s="83">
        <f t="shared" si="43"/>
        <v>5.2473822393822384E-6</v>
      </c>
      <c r="N65" s="83">
        <f t="shared" si="44"/>
        <v>7.1759073359073361E-8</v>
      </c>
      <c r="O65" s="83">
        <f t="shared" si="45"/>
        <v>5.3127359999999993E-6</v>
      </c>
      <c r="P65" s="83">
        <f t="shared" si="46"/>
        <v>4.1469999999999997E-7</v>
      </c>
      <c r="Q65" s="83">
        <f t="shared" si="47"/>
        <v>4.9067544855780146E-2</v>
      </c>
      <c r="R65" s="83">
        <f t="shared" si="48"/>
        <v>0.74820160159254401</v>
      </c>
      <c r="S65" s="83">
        <f t="shared" si="49"/>
        <v>0</v>
      </c>
      <c r="T65" s="83">
        <f t="shared" si="50"/>
        <v>5.7985624123422161E-2</v>
      </c>
      <c r="U65" s="83">
        <f t="shared" si="51"/>
        <v>5.8765932318873481E-3</v>
      </c>
      <c r="V65" s="83">
        <f t="shared" si="52"/>
        <v>2.3150215761980467E-3</v>
      </c>
      <c r="W65" s="83">
        <f t="shared" si="53"/>
        <v>0.28255135135135134</v>
      </c>
      <c r="X65" s="83">
        <f t="shared" si="54"/>
        <v>0.56510270270270269</v>
      </c>
      <c r="Y65" s="83">
        <f t="shared" si="55"/>
        <v>8.9698841698841695E-8</v>
      </c>
      <c r="Z65" s="83">
        <f t="shared" si="56"/>
        <v>1.0193050193050191E-6</v>
      </c>
      <c r="AA65" s="83">
        <f t="shared" si="57"/>
        <v>1.0193050193050192E-15</v>
      </c>
      <c r="AB65" s="131">
        <f t="shared" si="58"/>
        <v>17.253257342221293</v>
      </c>
    </row>
    <row r="66" spans="1:28">
      <c r="A66" t="s">
        <v>620</v>
      </c>
      <c r="B66">
        <v>4.5</v>
      </c>
      <c r="C66">
        <v>2</v>
      </c>
      <c r="D66">
        <v>1.32</v>
      </c>
      <c r="F66">
        <v>0.11</v>
      </c>
      <c r="H66" s="83">
        <f t="shared" si="59"/>
        <v>2.9200153204633203E-6</v>
      </c>
      <c r="I66" s="83">
        <f t="shared" si="40"/>
        <v>7.5774917143852561E-6</v>
      </c>
      <c r="J66" s="83">
        <f t="shared" si="41"/>
        <v>3.2567254270146715E-4</v>
      </c>
      <c r="L66" s="83">
        <f t="shared" si="42"/>
        <v>1.0763861003861002E-5</v>
      </c>
      <c r="M66" s="83">
        <f t="shared" si="43"/>
        <v>5.2473822393822384E-6</v>
      </c>
      <c r="N66" s="83">
        <f t="shared" si="44"/>
        <v>7.1759073359073361E-8</v>
      </c>
      <c r="O66" s="83">
        <f t="shared" si="45"/>
        <v>5.3127359999999993E-6</v>
      </c>
      <c r="P66" s="83">
        <f t="shared" si="46"/>
        <v>4.1469999999999997E-7</v>
      </c>
      <c r="Q66" s="83">
        <f t="shared" si="47"/>
        <v>4.9067544855780146E-2</v>
      </c>
      <c r="R66" s="83">
        <f t="shared" si="48"/>
        <v>1.5676604985748541</v>
      </c>
      <c r="S66" s="83">
        <f t="shared" si="49"/>
        <v>0</v>
      </c>
      <c r="T66" s="83">
        <f t="shared" si="50"/>
        <v>0.12149368863955119</v>
      </c>
      <c r="U66" s="83">
        <f t="shared" si="51"/>
        <v>5.8765932318873481E-3</v>
      </c>
      <c r="V66" s="83">
        <f t="shared" si="52"/>
        <v>2.3150215761980467E-3</v>
      </c>
      <c r="W66" s="83">
        <f t="shared" si="53"/>
        <v>0.28255135135135134</v>
      </c>
      <c r="X66" s="83">
        <f t="shared" si="54"/>
        <v>0.56510270270270269</v>
      </c>
      <c r="Y66" s="83">
        <f t="shared" si="55"/>
        <v>8.9698841698841695E-8</v>
      </c>
      <c r="Z66" s="83">
        <f t="shared" si="56"/>
        <v>1.0193050193050191E-6</v>
      </c>
      <c r="AA66" s="83">
        <f t="shared" si="57"/>
        <v>1.0193050193050192E-15</v>
      </c>
      <c r="AB66" s="131">
        <f t="shared" si="58"/>
        <v>17.634126701036749</v>
      </c>
    </row>
    <row r="67" spans="1:28">
      <c r="A67" t="s">
        <v>619</v>
      </c>
      <c r="B67">
        <v>4.5</v>
      </c>
      <c r="C67">
        <v>2</v>
      </c>
      <c r="D67">
        <v>1.2949999999999999</v>
      </c>
      <c r="F67">
        <v>0.11</v>
      </c>
      <c r="H67" s="83">
        <f t="shared" si="59"/>
        <v>2.9200153204633203E-6</v>
      </c>
      <c r="I67" s="83">
        <f t="shared" si="40"/>
        <v>7.4339786137340198E-6</v>
      </c>
      <c r="J67" s="83">
        <f t="shared" si="41"/>
        <v>3.2567254270146715E-4</v>
      </c>
      <c r="L67" s="83">
        <f t="shared" si="42"/>
        <v>1.0763861003861002E-5</v>
      </c>
      <c r="M67" s="83">
        <f t="shared" si="43"/>
        <v>5.2473822393822384E-6</v>
      </c>
      <c r="N67" s="83">
        <f t="shared" si="44"/>
        <v>7.1759073359073361E-8</v>
      </c>
      <c r="O67" s="83">
        <f t="shared" si="45"/>
        <v>5.3127359999999993E-6</v>
      </c>
      <c r="P67" s="83">
        <f t="shared" si="46"/>
        <v>4.1469999999999997E-7</v>
      </c>
      <c r="Q67" s="83">
        <f t="shared" si="47"/>
        <v>4.9067544855780146E-2</v>
      </c>
      <c r="R67" s="83">
        <f t="shared" si="48"/>
        <v>1.537969958829118</v>
      </c>
      <c r="S67" s="83">
        <f t="shared" si="49"/>
        <v>0</v>
      </c>
      <c r="T67" s="83">
        <f t="shared" si="50"/>
        <v>0.11919267180925666</v>
      </c>
      <c r="U67" s="83">
        <f t="shared" si="51"/>
        <v>5.8765932318873481E-3</v>
      </c>
      <c r="V67" s="83">
        <f t="shared" si="52"/>
        <v>2.3150215761980467E-3</v>
      </c>
      <c r="W67" s="83">
        <f t="shared" si="53"/>
        <v>0.28255135135135134</v>
      </c>
      <c r="X67" s="83">
        <f t="shared" si="54"/>
        <v>0.56510270270270269</v>
      </c>
      <c r="Y67" s="83">
        <f t="shared" si="55"/>
        <v>8.9698841698841695E-8</v>
      </c>
      <c r="Z67" s="83">
        <f t="shared" si="56"/>
        <v>1.0193050193050191E-6</v>
      </c>
      <c r="AA67" s="83">
        <f t="shared" si="57"/>
        <v>1.0193050193050192E-15</v>
      </c>
      <c r="AB67" s="131">
        <f t="shared" si="58"/>
        <v>17.620327086586919</v>
      </c>
    </row>
    <row r="68" spans="1:28">
      <c r="A68" s="44" t="s">
        <v>719</v>
      </c>
      <c r="AB68" s="200"/>
    </row>
    <row r="69" spans="1:28">
      <c r="A69" t="s">
        <v>230</v>
      </c>
      <c r="B69">
        <v>4.5</v>
      </c>
      <c r="C69">
        <v>2</v>
      </c>
      <c r="D69">
        <v>0.17</v>
      </c>
      <c r="F69">
        <v>0.11</v>
      </c>
      <c r="H69" s="83">
        <f t="shared" ref="H69:H82" si="60">B69*charco2yoll</f>
        <v>2.9200153204633203E-6</v>
      </c>
      <c r="I69" s="83">
        <f t="shared" ref="I69:I82" si="61">D69*NOx_YOLL_Oxidant_charfact/0.62</f>
        <v>9.7588908442840433E-7</v>
      </c>
      <c r="J69" s="83">
        <f t="shared" ref="J69:J82" si="62">F69*PM2.5_YOLL_charfact</f>
        <v>3.2567254270146715E-4</v>
      </c>
      <c r="L69" s="83">
        <f t="shared" ref="L69:L82" si="63">CO2_malnutrition_charfact*B69</f>
        <v>1.0763861003861002E-5</v>
      </c>
      <c r="M69" s="83">
        <f t="shared" ref="M69:M82" si="64">CO2_workingcapacity_charfact*B69</f>
        <v>5.2473822393822384E-6</v>
      </c>
      <c r="N69" s="83">
        <f t="shared" ref="N69:N82" si="65">CO2_diarrhea_charfact*B69</f>
        <v>7.1759073359073361E-8</v>
      </c>
      <c r="O69" s="83">
        <f t="shared" ref="O69:O82" si="66">PM2.5_asthmacases_charfact*F69</f>
        <v>5.3127359999999993E-6</v>
      </c>
      <c r="P69" s="83">
        <f t="shared" ref="P69:P82" si="67">PM2.5_COPD_charfact*F69</f>
        <v>4.1469999999999997E-7</v>
      </c>
      <c r="Q69" s="83">
        <f t="shared" ref="Q69:Q82" si="68">CO2_crop_charfact*B69</f>
        <v>4.9067544855780146E-2</v>
      </c>
      <c r="R69" s="83">
        <f t="shared" ref="R69:R82" si="69">charnoxcrop/0.62*D69</f>
        <v>0.20189567027100394</v>
      </c>
      <c r="S69" s="83">
        <f t="shared" ref="S69:S82" si="70">charco2woodgw*B69</f>
        <v>0</v>
      </c>
      <c r="T69" s="83">
        <f t="shared" ref="T69:T82" si="71">NOx_wood_oxidantcharfact/0.62*D69</f>
        <v>1.5646914446002805E-2</v>
      </c>
      <c r="U69" s="83">
        <f t="shared" ref="U69:U82" si="72">CO2_fruitandveg_charfact*B69</f>
        <v>5.8765932318873481E-3</v>
      </c>
      <c r="V69" s="83">
        <f t="shared" ref="V69:V82" si="73">CO2_meatandfish_charfact*B69</f>
        <v>2.3150215761980467E-3</v>
      </c>
      <c r="W69" s="83">
        <f t="shared" ref="W69:W82" si="74">CO2_drinkingwater_charfact*B69</f>
        <v>0.28255135135135134</v>
      </c>
      <c r="X69" s="83">
        <f t="shared" ref="X69:X82" si="75">CO2_irrigationwater_charfact*B69</f>
        <v>0.56510270270270269</v>
      </c>
      <c r="Y69" s="83">
        <f t="shared" ref="Y69:Y82" si="76">CO2_housing_charfact*B69</f>
        <v>8.9698841698841695E-8</v>
      </c>
      <c r="Z69" s="83">
        <f t="shared" ref="Z69:Z82" si="77">CO2_separations_charfact*B69</f>
        <v>1.0193050193050191E-6</v>
      </c>
      <c r="AA69" s="83">
        <f t="shared" ref="AA69:AA82" si="78">CO2_NEX_charfact*B69</f>
        <v>1.0193050193050192E-15</v>
      </c>
      <c r="AB69" s="131">
        <f t="shared" ref="AB69:AB82" si="79">(H69+I69+J69+K69)*YOLLvalue+L69*malnutrition+M69*working_capacity+N69*diarrhea+O69*asthmacasesvalue+P69*COPDvalue+(Q69+R69)*cropvalue+(S69+T69)*woodvalue+U69*Fruitandveg_value+V69*fishandmeatvalue+W69*drinkingwatervalue+X69*irrigationwatervalue+Y69*housingvalue+Z69*migrationvalue+AA69*speciesvalue</f>
        <v>16.999344436344316</v>
      </c>
    </row>
    <row r="70" spans="1:28">
      <c r="A70" t="s">
        <v>231</v>
      </c>
      <c r="B70">
        <v>4.5</v>
      </c>
      <c r="C70">
        <v>2</v>
      </c>
      <c r="D70">
        <v>0.53</v>
      </c>
      <c r="F70">
        <v>0.11</v>
      </c>
      <c r="H70" s="83">
        <f t="shared" si="60"/>
        <v>2.9200153204633203E-6</v>
      </c>
      <c r="I70" s="83">
        <f t="shared" si="61"/>
        <v>3.0424777338062018E-6</v>
      </c>
      <c r="J70" s="83">
        <f t="shared" si="62"/>
        <v>3.2567254270146715E-4</v>
      </c>
      <c r="L70" s="83">
        <f t="shared" si="63"/>
        <v>1.0763861003861002E-5</v>
      </c>
      <c r="M70" s="83">
        <f t="shared" si="64"/>
        <v>5.2473822393822384E-6</v>
      </c>
      <c r="N70" s="83">
        <f t="shared" si="65"/>
        <v>7.1759073359073361E-8</v>
      </c>
      <c r="O70" s="83">
        <f t="shared" si="66"/>
        <v>5.3127359999999993E-6</v>
      </c>
      <c r="P70" s="83">
        <f t="shared" si="67"/>
        <v>4.1469999999999997E-7</v>
      </c>
      <c r="Q70" s="83">
        <f t="shared" si="68"/>
        <v>4.9067544855780146E-2</v>
      </c>
      <c r="R70" s="83">
        <f t="shared" si="69"/>
        <v>0.6294394426096005</v>
      </c>
      <c r="S70" s="83">
        <f t="shared" si="70"/>
        <v>0</v>
      </c>
      <c r="T70" s="83">
        <f t="shared" si="71"/>
        <v>4.8781556802244039E-2</v>
      </c>
      <c r="U70" s="83">
        <f t="shared" si="72"/>
        <v>5.8765932318873481E-3</v>
      </c>
      <c r="V70" s="83">
        <f t="shared" si="73"/>
        <v>2.3150215761980467E-3</v>
      </c>
      <c r="W70" s="83">
        <f t="shared" si="74"/>
        <v>0.28255135135135134</v>
      </c>
      <c r="X70" s="83">
        <f t="shared" si="75"/>
        <v>0.56510270270270269</v>
      </c>
      <c r="Y70" s="83">
        <f t="shared" si="76"/>
        <v>8.9698841698841695E-8</v>
      </c>
      <c r="Z70" s="83">
        <f t="shared" si="77"/>
        <v>1.0193050193050191E-6</v>
      </c>
      <c r="AA70" s="83">
        <f t="shared" si="78"/>
        <v>1.0193050193050192E-15</v>
      </c>
      <c r="AB70" s="131">
        <f t="shared" si="79"/>
        <v>17.198058884421954</v>
      </c>
    </row>
    <row r="71" spans="1:28">
      <c r="A71" s="5" t="s">
        <v>702</v>
      </c>
      <c r="B71">
        <v>4.5</v>
      </c>
      <c r="C71">
        <v>2</v>
      </c>
      <c r="D71">
        <v>0.54300000000000004</v>
      </c>
      <c r="F71">
        <v>0.11</v>
      </c>
      <c r="H71" s="83">
        <f t="shared" si="60"/>
        <v>2.9200153204633203E-6</v>
      </c>
      <c r="I71" s="83">
        <f t="shared" si="61"/>
        <v>3.1171045461448443E-6</v>
      </c>
      <c r="J71" s="83">
        <f t="shared" si="62"/>
        <v>3.2567254270146715E-4</v>
      </c>
      <c r="L71" s="83">
        <f t="shared" si="63"/>
        <v>1.0763861003861002E-5</v>
      </c>
      <c r="M71" s="83">
        <f t="shared" si="64"/>
        <v>5.2473822393822384E-6</v>
      </c>
      <c r="N71" s="83">
        <f t="shared" si="65"/>
        <v>7.1759073359073361E-8</v>
      </c>
      <c r="O71" s="83">
        <f t="shared" si="66"/>
        <v>5.3127359999999993E-6</v>
      </c>
      <c r="P71" s="83">
        <f t="shared" si="67"/>
        <v>4.1469999999999997E-7</v>
      </c>
      <c r="Q71" s="83">
        <f t="shared" si="68"/>
        <v>4.9067544855780146E-2</v>
      </c>
      <c r="R71" s="83">
        <f t="shared" si="69"/>
        <v>0.64487852327738315</v>
      </c>
      <c r="S71" s="83">
        <f t="shared" si="70"/>
        <v>0</v>
      </c>
      <c r="T71" s="83">
        <f t="shared" si="71"/>
        <v>4.9978085553997201E-2</v>
      </c>
      <c r="U71" s="83">
        <f t="shared" si="72"/>
        <v>5.8765932318873481E-3</v>
      </c>
      <c r="V71" s="83">
        <f t="shared" si="73"/>
        <v>2.3150215761980467E-3</v>
      </c>
      <c r="W71" s="83">
        <f t="shared" si="74"/>
        <v>0.28255135135135134</v>
      </c>
      <c r="X71" s="83">
        <f t="shared" si="75"/>
        <v>0.56510270270270269</v>
      </c>
      <c r="Y71" s="83">
        <f t="shared" si="76"/>
        <v>8.9698841698841695E-8</v>
      </c>
      <c r="Z71" s="83">
        <f t="shared" si="77"/>
        <v>1.0193050193050191E-6</v>
      </c>
      <c r="AA71" s="83">
        <f t="shared" si="78"/>
        <v>1.0193050193050192E-15</v>
      </c>
      <c r="AB71" s="131">
        <f t="shared" si="79"/>
        <v>17.205234683935863</v>
      </c>
    </row>
    <row r="72" spans="1:28">
      <c r="A72" t="s">
        <v>232</v>
      </c>
      <c r="B72">
        <v>4.5</v>
      </c>
      <c r="C72">
        <v>2</v>
      </c>
      <c r="D72">
        <v>0.4</v>
      </c>
      <c r="F72">
        <v>0.11</v>
      </c>
      <c r="H72" s="83">
        <f t="shared" si="60"/>
        <v>2.9200153204633203E-6</v>
      </c>
      <c r="I72" s="83">
        <f t="shared" si="61"/>
        <v>2.2962096104197748E-6</v>
      </c>
      <c r="J72" s="83">
        <f t="shared" si="62"/>
        <v>3.2567254270146715E-4</v>
      </c>
      <c r="L72" s="83">
        <f t="shared" si="63"/>
        <v>1.0763861003861002E-5</v>
      </c>
      <c r="M72" s="83">
        <f t="shared" si="64"/>
        <v>5.2473822393822384E-6</v>
      </c>
      <c r="N72" s="83">
        <f t="shared" si="65"/>
        <v>7.1759073359073361E-8</v>
      </c>
      <c r="O72" s="83">
        <f t="shared" si="66"/>
        <v>5.3127359999999993E-6</v>
      </c>
      <c r="P72" s="83">
        <f t="shared" si="67"/>
        <v>4.1469999999999997E-7</v>
      </c>
      <c r="Q72" s="83">
        <f t="shared" si="68"/>
        <v>4.9067544855780146E-2</v>
      </c>
      <c r="R72" s="83">
        <f t="shared" si="69"/>
        <v>0.47504863593177399</v>
      </c>
      <c r="S72" s="83">
        <f t="shared" si="70"/>
        <v>0</v>
      </c>
      <c r="T72" s="83">
        <f t="shared" si="71"/>
        <v>3.6816269284712481E-2</v>
      </c>
      <c r="U72" s="83">
        <f t="shared" si="72"/>
        <v>5.8765932318873481E-3</v>
      </c>
      <c r="V72" s="83">
        <f t="shared" si="73"/>
        <v>2.3150215761980467E-3</v>
      </c>
      <c r="W72" s="83">
        <f t="shared" si="74"/>
        <v>0.28255135135135134</v>
      </c>
      <c r="X72" s="83">
        <f t="shared" si="75"/>
        <v>0.56510270270270269</v>
      </c>
      <c r="Y72" s="83">
        <f t="shared" si="76"/>
        <v>8.9698841698841695E-8</v>
      </c>
      <c r="Z72" s="83">
        <f t="shared" si="77"/>
        <v>1.0193050193050191E-6</v>
      </c>
      <c r="AA72" s="83">
        <f t="shared" si="78"/>
        <v>1.0193050193050192E-15</v>
      </c>
      <c r="AB72" s="131">
        <f t="shared" si="79"/>
        <v>17.12630088928281</v>
      </c>
    </row>
    <row r="73" spans="1:28">
      <c r="A73" t="s">
        <v>233</v>
      </c>
      <c r="B73">
        <v>4.5</v>
      </c>
      <c r="C73">
        <v>2</v>
      </c>
      <c r="D73">
        <v>0.79</v>
      </c>
      <c r="F73">
        <v>0.11</v>
      </c>
      <c r="H73" s="83">
        <f t="shared" si="60"/>
        <v>2.9200153204633203E-6</v>
      </c>
      <c r="I73" s="83">
        <f t="shared" si="61"/>
        <v>4.5350139805790555E-6</v>
      </c>
      <c r="J73" s="83">
        <f t="shared" si="62"/>
        <v>3.2567254270146715E-4</v>
      </c>
      <c r="L73" s="83">
        <f t="shared" si="63"/>
        <v>1.0763861003861002E-5</v>
      </c>
      <c r="M73" s="83">
        <f t="shared" si="64"/>
        <v>5.2473822393822384E-6</v>
      </c>
      <c r="N73" s="83">
        <f t="shared" si="65"/>
        <v>7.1759073359073361E-8</v>
      </c>
      <c r="O73" s="83">
        <f t="shared" si="66"/>
        <v>5.3127359999999993E-6</v>
      </c>
      <c r="P73" s="83">
        <f t="shared" si="67"/>
        <v>4.1469999999999997E-7</v>
      </c>
      <c r="Q73" s="83">
        <f t="shared" si="68"/>
        <v>4.9067544855780146E-2</v>
      </c>
      <c r="R73" s="83">
        <f t="shared" si="69"/>
        <v>0.93822105596525363</v>
      </c>
      <c r="S73" s="83">
        <f t="shared" si="70"/>
        <v>0</v>
      </c>
      <c r="T73" s="83">
        <f t="shared" si="71"/>
        <v>7.2712131837307153E-2</v>
      </c>
      <c r="U73" s="83">
        <f t="shared" si="72"/>
        <v>5.8765932318873481E-3</v>
      </c>
      <c r="V73" s="83">
        <f t="shared" si="73"/>
        <v>2.3150215761980467E-3</v>
      </c>
      <c r="W73" s="83">
        <f t="shared" si="74"/>
        <v>0.28255135135135134</v>
      </c>
      <c r="X73" s="83">
        <f t="shared" si="75"/>
        <v>0.56510270270270269</v>
      </c>
      <c r="Y73" s="83">
        <f t="shared" si="76"/>
        <v>8.9698841698841695E-8</v>
      </c>
      <c r="Z73" s="83">
        <f t="shared" si="77"/>
        <v>1.0193050193050191E-6</v>
      </c>
      <c r="AA73" s="83">
        <f t="shared" si="78"/>
        <v>1.0193050193050192E-15</v>
      </c>
      <c r="AB73" s="131">
        <f t="shared" si="79"/>
        <v>17.341574874700239</v>
      </c>
    </row>
    <row r="74" spans="1:28">
      <c r="A74" t="s">
        <v>234</v>
      </c>
      <c r="B74">
        <v>4.5</v>
      </c>
      <c r="C74">
        <v>2</v>
      </c>
      <c r="D74">
        <v>0.375</v>
      </c>
      <c r="F74">
        <v>0.11</v>
      </c>
      <c r="H74" s="83">
        <f t="shared" si="60"/>
        <v>2.9200153204633203E-6</v>
      </c>
      <c r="I74" s="83">
        <f t="shared" si="61"/>
        <v>2.1526965097685389E-6</v>
      </c>
      <c r="J74" s="83">
        <f t="shared" si="62"/>
        <v>3.2567254270146715E-4</v>
      </c>
      <c r="L74" s="83">
        <f t="shared" si="63"/>
        <v>1.0763861003861002E-5</v>
      </c>
      <c r="M74" s="83">
        <f t="shared" si="64"/>
        <v>5.2473822393822384E-6</v>
      </c>
      <c r="N74" s="83">
        <f t="shared" si="65"/>
        <v>7.1759073359073361E-8</v>
      </c>
      <c r="O74" s="83">
        <f t="shared" si="66"/>
        <v>5.3127359999999993E-6</v>
      </c>
      <c r="P74" s="83">
        <f t="shared" si="67"/>
        <v>4.1469999999999997E-7</v>
      </c>
      <c r="Q74" s="83">
        <f t="shared" si="68"/>
        <v>4.9067544855780146E-2</v>
      </c>
      <c r="R74" s="83">
        <f t="shared" si="69"/>
        <v>0.44535809618603805</v>
      </c>
      <c r="S74" s="83">
        <f t="shared" si="70"/>
        <v>0</v>
      </c>
      <c r="T74" s="83">
        <f t="shared" si="71"/>
        <v>3.4515252454417951E-2</v>
      </c>
      <c r="U74" s="83">
        <f t="shared" si="72"/>
        <v>5.8765932318873481E-3</v>
      </c>
      <c r="V74" s="83">
        <f t="shared" si="73"/>
        <v>2.3150215761980467E-3</v>
      </c>
      <c r="W74" s="83">
        <f t="shared" si="74"/>
        <v>0.28255135135135134</v>
      </c>
      <c r="X74" s="83">
        <f t="shared" si="75"/>
        <v>0.56510270270270269</v>
      </c>
      <c r="Y74" s="83">
        <f t="shared" si="76"/>
        <v>8.9698841698841695E-8</v>
      </c>
      <c r="Z74" s="83">
        <f t="shared" si="77"/>
        <v>1.0193050193050191E-6</v>
      </c>
      <c r="AA74" s="83">
        <f t="shared" si="78"/>
        <v>1.0193050193050192E-15</v>
      </c>
      <c r="AB74" s="131">
        <f t="shared" si="79"/>
        <v>17.112501274832972</v>
      </c>
    </row>
    <row r="75" spans="1:28">
      <c r="A75" s="5" t="s">
        <v>693</v>
      </c>
      <c r="B75">
        <v>4.5</v>
      </c>
      <c r="C75">
        <v>2</v>
      </c>
      <c r="D75">
        <v>0.4</v>
      </c>
      <c r="F75">
        <v>0.11</v>
      </c>
      <c r="H75" s="83">
        <f t="shared" si="60"/>
        <v>2.9200153204633203E-6</v>
      </c>
      <c r="I75" s="83">
        <f t="shared" si="61"/>
        <v>2.2962096104197748E-6</v>
      </c>
      <c r="J75" s="83">
        <f t="shared" si="62"/>
        <v>3.2567254270146715E-4</v>
      </c>
      <c r="L75" s="83">
        <f t="shared" si="63"/>
        <v>1.0763861003861002E-5</v>
      </c>
      <c r="M75" s="83">
        <f t="shared" si="64"/>
        <v>5.2473822393822384E-6</v>
      </c>
      <c r="N75" s="83">
        <f t="shared" si="65"/>
        <v>7.1759073359073361E-8</v>
      </c>
      <c r="O75" s="83">
        <f t="shared" si="66"/>
        <v>5.3127359999999993E-6</v>
      </c>
      <c r="P75" s="83">
        <f t="shared" si="67"/>
        <v>4.1469999999999997E-7</v>
      </c>
      <c r="Q75" s="83">
        <f t="shared" si="68"/>
        <v>4.9067544855780146E-2</v>
      </c>
      <c r="R75" s="83">
        <f t="shared" si="69"/>
        <v>0.47504863593177399</v>
      </c>
      <c r="S75" s="83">
        <f t="shared" si="70"/>
        <v>0</v>
      </c>
      <c r="T75" s="83">
        <f t="shared" si="71"/>
        <v>3.6816269284712481E-2</v>
      </c>
      <c r="U75" s="83">
        <f t="shared" si="72"/>
        <v>5.8765932318873481E-3</v>
      </c>
      <c r="V75" s="83">
        <f t="shared" si="73"/>
        <v>2.3150215761980467E-3</v>
      </c>
      <c r="W75" s="83">
        <f t="shared" si="74"/>
        <v>0.28255135135135134</v>
      </c>
      <c r="X75" s="83">
        <f t="shared" si="75"/>
        <v>0.56510270270270269</v>
      </c>
      <c r="Y75" s="83">
        <f t="shared" si="76"/>
        <v>8.9698841698841695E-8</v>
      </c>
      <c r="Z75" s="83">
        <f t="shared" si="77"/>
        <v>1.0193050193050191E-6</v>
      </c>
      <c r="AA75" s="83">
        <f t="shared" si="78"/>
        <v>1.0193050193050192E-15</v>
      </c>
      <c r="AB75" s="131">
        <f t="shared" si="79"/>
        <v>17.12630088928281</v>
      </c>
    </row>
    <row r="76" spans="1:28">
      <c r="A76" s="5" t="s">
        <v>694</v>
      </c>
      <c r="B76">
        <v>4.5</v>
      </c>
      <c r="C76">
        <v>2</v>
      </c>
      <c r="D76">
        <v>0.123</v>
      </c>
      <c r="F76">
        <v>0.11</v>
      </c>
      <c r="H76" s="83">
        <f t="shared" si="60"/>
        <v>2.9200153204633203E-6</v>
      </c>
      <c r="I76" s="83">
        <f t="shared" si="61"/>
        <v>7.0608445520408067E-7</v>
      </c>
      <c r="J76" s="83">
        <f t="shared" si="62"/>
        <v>3.2567254270146715E-4</v>
      </c>
      <c r="L76" s="83">
        <f t="shared" si="63"/>
        <v>1.0763861003861002E-5</v>
      </c>
      <c r="M76" s="83">
        <f t="shared" si="64"/>
        <v>5.2473822393822384E-6</v>
      </c>
      <c r="N76" s="83">
        <f t="shared" si="65"/>
        <v>7.1759073359073361E-8</v>
      </c>
      <c r="O76" s="83">
        <f t="shared" si="66"/>
        <v>5.3127359999999993E-6</v>
      </c>
      <c r="P76" s="83">
        <f t="shared" si="67"/>
        <v>4.1469999999999997E-7</v>
      </c>
      <c r="Q76" s="83">
        <f t="shared" si="68"/>
        <v>4.9067544855780146E-2</v>
      </c>
      <c r="R76" s="83">
        <f t="shared" si="69"/>
        <v>0.14607745554902049</v>
      </c>
      <c r="S76" s="83">
        <f t="shared" si="70"/>
        <v>0</v>
      </c>
      <c r="T76" s="83">
        <f t="shared" si="71"/>
        <v>1.1321002805049088E-2</v>
      </c>
      <c r="U76" s="83">
        <f t="shared" si="72"/>
        <v>5.8765932318873481E-3</v>
      </c>
      <c r="V76" s="83">
        <f t="shared" si="73"/>
        <v>2.3150215761980467E-3</v>
      </c>
      <c r="W76" s="83">
        <f t="shared" si="74"/>
        <v>0.28255135135135134</v>
      </c>
      <c r="X76" s="83">
        <f t="shared" si="75"/>
        <v>0.56510270270270269</v>
      </c>
      <c r="Y76" s="83">
        <f t="shared" si="76"/>
        <v>8.9698841698841695E-8</v>
      </c>
      <c r="Z76" s="83">
        <f t="shared" si="77"/>
        <v>1.0193050193050191E-6</v>
      </c>
      <c r="AA76" s="83">
        <f t="shared" si="78"/>
        <v>1.0193050193050192E-15</v>
      </c>
      <c r="AB76" s="131">
        <f t="shared" si="79"/>
        <v>16.973401161178629</v>
      </c>
    </row>
    <row r="77" spans="1:28">
      <c r="A77" s="5" t="s">
        <v>695</v>
      </c>
      <c r="B77">
        <v>4.5</v>
      </c>
      <c r="C77">
        <v>2</v>
      </c>
      <c r="D77">
        <v>0.42199999999999999</v>
      </c>
      <c r="F77">
        <v>0.11</v>
      </c>
      <c r="H77" s="83">
        <f t="shared" si="60"/>
        <v>2.9200153204633203E-6</v>
      </c>
      <c r="I77" s="83">
        <f t="shared" si="61"/>
        <v>2.4225011389928622E-6</v>
      </c>
      <c r="J77" s="83">
        <f t="shared" si="62"/>
        <v>3.2567254270146715E-4</v>
      </c>
      <c r="L77" s="83">
        <f t="shared" si="63"/>
        <v>1.0763861003861002E-5</v>
      </c>
      <c r="M77" s="83">
        <f t="shared" si="64"/>
        <v>5.2473822393822384E-6</v>
      </c>
      <c r="N77" s="83">
        <f t="shared" si="65"/>
        <v>7.1759073359073361E-8</v>
      </c>
      <c r="O77" s="83">
        <f t="shared" si="66"/>
        <v>5.3127359999999993E-6</v>
      </c>
      <c r="P77" s="83">
        <f t="shared" si="67"/>
        <v>4.1469999999999997E-7</v>
      </c>
      <c r="Q77" s="83">
        <f t="shared" si="68"/>
        <v>4.9067544855780146E-2</v>
      </c>
      <c r="R77" s="83">
        <f t="shared" si="69"/>
        <v>0.50117631090802151</v>
      </c>
      <c r="S77" s="83">
        <f t="shared" si="70"/>
        <v>0</v>
      </c>
      <c r="T77" s="83">
        <f t="shared" si="71"/>
        <v>3.8841164095371666E-2</v>
      </c>
      <c r="U77" s="83">
        <f t="shared" si="72"/>
        <v>5.8765932318873481E-3</v>
      </c>
      <c r="V77" s="83">
        <f t="shared" si="73"/>
        <v>2.3150215761980467E-3</v>
      </c>
      <c r="W77" s="83">
        <f t="shared" si="74"/>
        <v>0.28255135135135134</v>
      </c>
      <c r="X77" s="83">
        <f t="shared" si="75"/>
        <v>0.56510270270270269</v>
      </c>
      <c r="Y77" s="83">
        <f t="shared" si="76"/>
        <v>8.9698841698841695E-8</v>
      </c>
      <c r="Z77" s="83">
        <f t="shared" si="77"/>
        <v>1.0193050193050191E-6</v>
      </c>
      <c r="AA77" s="83">
        <f t="shared" si="78"/>
        <v>1.0193050193050192E-15</v>
      </c>
      <c r="AB77" s="131">
        <f t="shared" si="79"/>
        <v>17.13844454999866</v>
      </c>
    </row>
    <row r="78" spans="1:28">
      <c r="A78" s="5" t="s">
        <v>616</v>
      </c>
      <c r="B78">
        <v>4.5</v>
      </c>
      <c r="C78">
        <v>2</v>
      </c>
      <c r="D78">
        <v>0.40699999999999997</v>
      </c>
      <c r="F78">
        <v>0.11</v>
      </c>
      <c r="H78" s="83">
        <f t="shared" si="60"/>
        <v>2.9200153204633203E-6</v>
      </c>
      <c r="I78" s="83">
        <f t="shared" si="61"/>
        <v>2.3363932786021207E-6</v>
      </c>
      <c r="J78" s="83">
        <f t="shared" si="62"/>
        <v>3.2567254270146715E-4</v>
      </c>
      <c r="L78" s="83">
        <f t="shared" si="63"/>
        <v>1.0763861003861002E-5</v>
      </c>
      <c r="M78" s="83">
        <f t="shared" si="64"/>
        <v>5.2473822393822384E-6</v>
      </c>
      <c r="N78" s="83">
        <f t="shared" si="65"/>
        <v>7.1759073359073361E-8</v>
      </c>
      <c r="O78" s="83">
        <f t="shared" si="66"/>
        <v>5.3127359999999993E-6</v>
      </c>
      <c r="P78" s="83">
        <f t="shared" si="67"/>
        <v>4.1469999999999997E-7</v>
      </c>
      <c r="Q78" s="83">
        <f t="shared" si="68"/>
        <v>4.9067544855780146E-2</v>
      </c>
      <c r="R78" s="83">
        <f t="shared" si="69"/>
        <v>0.48336198706057998</v>
      </c>
      <c r="S78" s="83">
        <f t="shared" si="70"/>
        <v>0</v>
      </c>
      <c r="T78" s="83">
        <f t="shared" si="71"/>
        <v>3.7460553997194952E-2</v>
      </c>
      <c r="U78" s="83">
        <f t="shared" si="72"/>
        <v>5.8765932318873481E-3</v>
      </c>
      <c r="V78" s="83">
        <f t="shared" si="73"/>
        <v>2.3150215761980467E-3</v>
      </c>
      <c r="W78" s="83">
        <f t="shared" si="74"/>
        <v>0.28255135135135134</v>
      </c>
      <c r="X78" s="83">
        <f t="shared" si="75"/>
        <v>0.56510270270270269</v>
      </c>
      <c r="Y78" s="83">
        <f t="shared" si="76"/>
        <v>8.9698841698841695E-8</v>
      </c>
      <c r="Z78" s="83">
        <f t="shared" si="77"/>
        <v>1.0193050193050191E-6</v>
      </c>
      <c r="AA78" s="83">
        <f t="shared" si="78"/>
        <v>1.0193050193050192E-15</v>
      </c>
      <c r="AB78" s="131">
        <f t="shared" si="79"/>
        <v>17.130164781328759</v>
      </c>
    </row>
    <row r="79" spans="1:28">
      <c r="A79" s="5" t="s">
        <v>623</v>
      </c>
      <c r="B79">
        <v>4.5</v>
      </c>
      <c r="C79">
        <v>2</v>
      </c>
      <c r="D79">
        <v>0.41199999999999998</v>
      </c>
      <c r="F79">
        <v>0.11</v>
      </c>
      <c r="H79" s="83">
        <f t="shared" si="60"/>
        <v>2.9200153204633203E-6</v>
      </c>
      <c r="I79" s="83">
        <f t="shared" si="61"/>
        <v>2.3650958987323677E-6</v>
      </c>
      <c r="J79" s="83">
        <f t="shared" si="62"/>
        <v>3.2567254270146715E-4</v>
      </c>
      <c r="L79" s="83">
        <f t="shared" si="63"/>
        <v>1.0763861003861002E-5</v>
      </c>
      <c r="M79" s="83">
        <f t="shared" si="64"/>
        <v>5.2473822393822384E-6</v>
      </c>
      <c r="N79" s="83">
        <f t="shared" si="65"/>
        <v>7.1759073359073361E-8</v>
      </c>
      <c r="O79" s="83">
        <f t="shared" si="66"/>
        <v>5.3127359999999993E-6</v>
      </c>
      <c r="P79" s="83">
        <f t="shared" si="67"/>
        <v>4.1469999999999997E-7</v>
      </c>
      <c r="Q79" s="83">
        <f t="shared" si="68"/>
        <v>4.9067544855780146E-2</v>
      </c>
      <c r="R79" s="83">
        <f t="shared" si="69"/>
        <v>0.48930009500972715</v>
      </c>
      <c r="S79" s="83">
        <f t="shared" si="70"/>
        <v>0</v>
      </c>
      <c r="T79" s="83">
        <f t="shared" si="71"/>
        <v>3.7920757363253857E-2</v>
      </c>
      <c r="U79" s="83">
        <f t="shared" si="72"/>
        <v>5.8765932318873481E-3</v>
      </c>
      <c r="V79" s="83">
        <f t="shared" si="73"/>
        <v>2.3150215761980467E-3</v>
      </c>
      <c r="W79" s="83">
        <f t="shared" si="74"/>
        <v>0.28255135135135134</v>
      </c>
      <c r="X79" s="83">
        <f t="shared" si="75"/>
        <v>0.56510270270270269</v>
      </c>
      <c r="Y79" s="83">
        <f t="shared" si="76"/>
        <v>8.9698841698841695E-8</v>
      </c>
      <c r="Z79" s="83">
        <f t="shared" si="77"/>
        <v>1.0193050193050191E-6</v>
      </c>
      <c r="AA79" s="83">
        <f t="shared" si="78"/>
        <v>1.0193050193050192E-15</v>
      </c>
      <c r="AB79" s="131">
        <f t="shared" si="79"/>
        <v>17.132924704218727</v>
      </c>
    </row>
    <row r="80" spans="1:28">
      <c r="A80" s="5" t="s">
        <v>621</v>
      </c>
      <c r="B80">
        <v>4.5</v>
      </c>
      <c r="C80">
        <v>2</v>
      </c>
      <c r="D80">
        <v>0.36599999999999999</v>
      </c>
      <c r="F80">
        <v>0.11</v>
      </c>
      <c r="H80" s="83">
        <f t="shared" si="60"/>
        <v>2.9200153204633203E-6</v>
      </c>
      <c r="I80" s="83">
        <f t="shared" si="61"/>
        <v>2.101031793534094E-6</v>
      </c>
      <c r="J80" s="83">
        <f t="shared" si="62"/>
        <v>3.2567254270146715E-4</v>
      </c>
      <c r="L80" s="83">
        <f t="shared" si="63"/>
        <v>1.0763861003861002E-5</v>
      </c>
      <c r="M80" s="83">
        <f t="shared" si="64"/>
        <v>5.2473822393822384E-6</v>
      </c>
      <c r="N80" s="83">
        <f t="shared" si="65"/>
        <v>7.1759073359073361E-8</v>
      </c>
      <c r="O80" s="83">
        <f t="shared" si="66"/>
        <v>5.3127359999999993E-6</v>
      </c>
      <c r="P80" s="83">
        <f t="shared" si="67"/>
        <v>4.1469999999999997E-7</v>
      </c>
      <c r="Q80" s="83">
        <f t="shared" si="68"/>
        <v>4.9067544855780146E-2</v>
      </c>
      <c r="R80" s="83">
        <f t="shared" si="69"/>
        <v>0.43466950187757314</v>
      </c>
      <c r="S80" s="83">
        <f t="shared" si="70"/>
        <v>0</v>
      </c>
      <c r="T80" s="83">
        <f t="shared" si="71"/>
        <v>3.3686886395511921E-2</v>
      </c>
      <c r="U80" s="83">
        <f t="shared" si="72"/>
        <v>5.8765932318873481E-3</v>
      </c>
      <c r="V80" s="83">
        <f t="shared" si="73"/>
        <v>2.3150215761980467E-3</v>
      </c>
      <c r="W80" s="83">
        <f t="shared" si="74"/>
        <v>0.28255135135135134</v>
      </c>
      <c r="X80" s="83">
        <f t="shared" si="75"/>
        <v>0.56510270270270269</v>
      </c>
      <c r="Y80" s="83">
        <f t="shared" si="76"/>
        <v>8.9698841698841695E-8</v>
      </c>
      <c r="Z80" s="83">
        <f t="shared" si="77"/>
        <v>1.0193050193050191E-6</v>
      </c>
      <c r="AA80" s="83">
        <f t="shared" si="78"/>
        <v>1.0193050193050192E-15</v>
      </c>
      <c r="AB80" s="131">
        <f t="shared" si="79"/>
        <v>17.107533413631028</v>
      </c>
    </row>
    <row r="81" spans="1:28">
      <c r="A81" s="5" t="s">
        <v>617</v>
      </c>
      <c r="B81">
        <v>4.5</v>
      </c>
      <c r="C81">
        <v>2</v>
      </c>
      <c r="D81">
        <v>0.14199999999999999</v>
      </c>
      <c r="F81">
        <v>0.11</v>
      </c>
      <c r="H81" s="83">
        <f t="shared" si="60"/>
        <v>2.9200153204633203E-6</v>
      </c>
      <c r="I81" s="83">
        <f t="shared" si="61"/>
        <v>8.1515441169902003E-7</v>
      </c>
      <c r="J81" s="83">
        <f t="shared" si="62"/>
        <v>3.2567254270146715E-4</v>
      </c>
      <c r="L81" s="83">
        <f t="shared" si="63"/>
        <v>1.0763861003861002E-5</v>
      </c>
      <c r="M81" s="83">
        <f t="shared" si="64"/>
        <v>5.2473822393822384E-6</v>
      </c>
      <c r="N81" s="83">
        <f t="shared" si="65"/>
        <v>7.1759073359073361E-8</v>
      </c>
      <c r="O81" s="83">
        <f t="shared" si="66"/>
        <v>5.3127359999999993E-6</v>
      </c>
      <c r="P81" s="83">
        <f t="shared" si="67"/>
        <v>4.1469999999999997E-7</v>
      </c>
      <c r="Q81" s="83">
        <f t="shared" si="68"/>
        <v>4.9067544855780146E-2</v>
      </c>
      <c r="R81" s="83">
        <f t="shared" si="69"/>
        <v>0.16864226575577973</v>
      </c>
      <c r="S81" s="83">
        <f t="shared" si="70"/>
        <v>0</v>
      </c>
      <c r="T81" s="83">
        <f t="shared" si="71"/>
        <v>1.3069775596072931E-2</v>
      </c>
      <c r="U81" s="83">
        <f t="shared" si="72"/>
        <v>5.8765932318873481E-3</v>
      </c>
      <c r="V81" s="83">
        <f t="shared" si="73"/>
        <v>2.3150215761980467E-3</v>
      </c>
      <c r="W81" s="83">
        <f t="shared" si="74"/>
        <v>0.28255135135135134</v>
      </c>
      <c r="X81" s="83">
        <f t="shared" si="75"/>
        <v>0.56510270270270269</v>
      </c>
      <c r="Y81" s="83">
        <f t="shared" si="76"/>
        <v>8.9698841698841695E-8</v>
      </c>
      <c r="Z81" s="83">
        <f t="shared" si="77"/>
        <v>1.0193050193050191E-6</v>
      </c>
      <c r="AA81" s="83">
        <f t="shared" si="78"/>
        <v>1.0193050193050192E-15</v>
      </c>
      <c r="AB81" s="131">
        <f t="shared" si="79"/>
        <v>16.983888868160502</v>
      </c>
    </row>
    <row r="82" spans="1:28">
      <c r="A82" s="5" t="s">
        <v>625</v>
      </c>
      <c r="B82">
        <v>4.5</v>
      </c>
      <c r="C82">
        <v>2</v>
      </c>
      <c r="D82">
        <v>0.26200000000000001</v>
      </c>
      <c r="F82">
        <v>0.11</v>
      </c>
      <c r="H82" s="83">
        <f t="shared" si="60"/>
        <v>2.9200153204633203E-6</v>
      </c>
      <c r="I82" s="83">
        <f t="shared" si="61"/>
        <v>1.5040172948249525E-6</v>
      </c>
      <c r="J82" s="83">
        <f t="shared" si="62"/>
        <v>3.2567254270146715E-4</v>
      </c>
      <c r="L82" s="83">
        <f t="shared" si="63"/>
        <v>1.0763861003861002E-5</v>
      </c>
      <c r="M82" s="83">
        <f t="shared" si="64"/>
        <v>5.2473822393822384E-6</v>
      </c>
      <c r="N82" s="83">
        <f t="shared" si="65"/>
        <v>7.1759073359073361E-8</v>
      </c>
      <c r="O82" s="83">
        <f t="shared" si="66"/>
        <v>5.3127359999999993E-6</v>
      </c>
      <c r="P82" s="83">
        <f t="shared" si="67"/>
        <v>4.1469999999999997E-7</v>
      </c>
      <c r="Q82" s="83">
        <f t="shared" si="68"/>
        <v>4.9067544855780146E-2</v>
      </c>
      <c r="R82" s="83">
        <f t="shared" si="69"/>
        <v>0.31115685653531194</v>
      </c>
      <c r="S82" s="83">
        <f t="shared" si="70"/>
        <v>0</v>
      </c>
      <c r="T82" s="83">
        <f t="shared" si="71"/>
        <v>2.4114656381486677E-2</v>
      </c>
      <c r="U82" s="83">
        <f t="shared" si="72"/>
        <v>5.8765932318873481E-3</v>
      </c>
      <c r="V82" s="83">
        <f t="shared" si="73"/>
        <v>2.3150215761980467E-3</v>
      </c>
      <c r="W82" s="83">
        <f t="shared" si="74"/>
        <v>0.28255135135135134</v>
      </c>
      <c r="X82" s="83">
        <f t="shared" si="75"/>
        <v>0.56510270270270269</v>
      </c>
      <c r="Y82" s="83">
        <f t="shared" si="76"/>
        <v>8.9698841698841695E-8</v>
      </c>
      <c r="Z82" s="83">
        <f t="shared" si="77"/>
        <v>1.0193050193050191E-6</v>
      </c>
      <c r="AA82" s="83">
        <f t="shared" si="78"/>
        <v>1.0193050193050192E-15</v>
      </c>
      <c r="AB82" s="131">
        <f t="shared" si="79"/>
        <v>17.050127017519717</v>
      </c>
    </row>
    <row r="83" spans="1:28">
      <c r="A83" s="44" t="s">
        <v>720</v>
      </c>
      <c r="AB83" s="200"/>
    </row>
    <row r="84" spans="1:28">
      <c r="A84" s="5" t="s">
        <v>628</v>
      </c>
      <c r="B84">
        <v>4.5</v>
      </c>
      <c r="C84">
        <v>2</v>
      </c>
      <c r="D84">
        <v>0.38200000000000001</v>
      </c>
      <c r="F84">
        <v>0.11</v>
      </c>
      <c r="H84" s="83">
        <f>B84*charco2yoll</f>
        <v>2.9200153204633203E-6</v>
      </c>
      <c r="I84" s="83">
        <f>D84*NOx_YOLL_Oxidant_charfact/0.62</f>
        <v>2.1928801779508849E-6</v>
      </c>
      <c r="J84" s="83">
        <f>F84*PM2.5_YOLL_charfact</f>
        <v>3.2567254270146715E-4</v>
      </c>
      <c r="L84" s="83">
        <f>CO2_malnutrition_charfact*B84</f>
        <v>1.0763861003861002E-5</v>
      </c>
      <c r="M84" s="83">
        <f>CO2_workingcapacity_charfact*B84</f>
        <v>5.2473822393822384E-6</v>
      </c>
      <c r="N84" s="83">
        <f>CO2_diarrhea_charfact*B84</f>
        <v>7.1759073359073361E-8</v>
      </c>
      <c r="O84" s="83">
        <f>PM2.5_asthmacases_charfact*F84</f>
        <v>5.3127359999999993E-6</v>
      </c>
      <c r="P84" s="83">
        <f>PM2.5_COPD_charfact*F84</f>
        <v>4.1469999999999997E-7</v>
      </c>
      <c r="Q84" s="83">
        <f>CO2_crop_charfact*B84</f>
        <v>4.9067544855780146E-2</v>
      </c>
      <c r="R84" s="83">
        <f>charnoxcrop/0.62*D84</f>
        <v>0.45367144731484416</v>
      </c>
      <c r="S84" s="83">
        <f>charco2woodgw*B84</f>
        <v>0</v>
      </c>
      <c r="T84" s="83">
        <f>NOx_wood_oxidantcharfact/0.62*D84</f>
        <v>3.5159537166900422E-2</v>
      </c>
      <c r="U84" s="83">
        <f>CO2_fruitandveg_charfact*B84</f>
        <v>5.8765932318873481E-3</v>
      </c>
      <c r="V84" s="83">
        <f>CO2_meatandfish_charfact*B84</f>
        <v>2.3150215761980467E-3</v>
      </c>
      <c r="W84" s="83">
        <f>CO2_drinkingwater_charfact*B84</f>
        <v>0.28255135135135134</v>
      </c>
      <c r="X84" s="83">
        <f>CO2_irrigationwater_charfact*B84</f>
        <v>0.56510270270270269</v>
      </c>
      <c r="Y84" s="83">
        <f>CO2_housing_charfact*B84</f>
        <v>8.9698841698841695E-8</v>
      </c>
      <c r="Z84" s="83">
        <f>CO2_separations_charfact*B84</f>
        <v>1.0193050193050191E-6</v>
      </c>
      <c r="AA84" s="83">
        <f>CO2_NEX_charfact*B84</f>
        <v>1.0193050193050192E-15</v>
      </c>
      <c r="AB84" s="131">
        <f>(H84+I84+J84+K84)*YOLLvalue+L84*malnutrition+M84*working_capacity+N84*diarrhea+O84*asthmacasesvalue+P84*COPDvalue+(Q84+R84)*cropvalue+(S84+T84)*woodvalue+U84*Fruitandveg_value+V84*fishandmeatvalue+W84*drinkingwatervalue+X84*irrigationwatervalue+Y84*housingvalue+Z84*migrationvalue+AA84*speciesvalue</f>
        <v>17.116365166878921</v>
      </c>
    </row>
    <row r="85" spans="1:28">
      <c r="A85" s="5" t="s">
        <v>611</v>
      </c>
      <c r="B85">
        <v>4.5</v>
      </c>
      <c r="C85">
        <v>2</v>
      </c>
      <c r="D85">
        <v>0.45700000000000002</v>
      </c>
      <c r="F85">
        <v>0.11</v>
      </c>
      <c r="H85" s="83">
        <f>B85*charco2yoll</f>
        <v>2.9200153204633203E-6</v>
      </c>
      <c r="I85" s="83">
        <f>D85*NOx_YOLL_Oxidant_charfact/0.62</f>
        <v>2.6234194799045924E-6</v>
      </c>
      <c r="J85" s="83">
        <f>F85*PM2.5_YOLL_charfact</f>
        <v>3.2567254270146715E-4</v>
      </c>
      <c r="L85" s="83">
        <f>CO2_malnutrition_charfact*B85</f>
        <v>1.0763861003861002E-5</v>
      </c>
      <c r="M85" s="83">
        <f>CO2_workingcapacity_charfact*B85</f>
        <v>5.2473822393822384E-6</v>
      </c>
      <c r="N85" s="83">
        <f>CO2_diarrhea_charfact*B85</f>
        <v>7.1759073359073361E-8</v>
      </c>
      <c r="O85" s="83">
        <f>PM2.5_asthmacases_charfact*F85</f>
        <v>5.3127359999999993E-6</v>
      </c>
      <c r="P85" s="83">
        <f>PM2.5_COPD_charfact*F85</f>
        <v>4.1469999999999997E-7</v>
      </c>
      <c r="Q85" s="83">
        <f>CO2_crop_charfact*B85</f>
        <v>4.9067544855780146E-2</v>
      </c>
      <c r="R85" s="83">
        <f>charnoxcrop/0.62*D85</f>
        <v>0.54274306655205173</v>
      </c>
      <c r="S85" s="83">
        <f>charco2woodgw*B85</f>
        <v>0</v>
      </c>
      <c r="T85" s="83">
        <f>NOx_wood_oxidantcharfact/0.62*D85</f>
        <v>4.2062587657784013E-2</v>
      </c>
      <c r="U85" s="83">
        <f>CO2_fruitandveg_charfact*B85</f>
        <v>5.8765932318873481E-3</v>
      </c>
      <c r="V85" s="83">
        <f>CO2_meatandfish_charfact*B85</f>
        <v>2.3150215761980467E-3</v>
      </c>
      <c r="W85" s="83">
        <f>CO2_drinkingwater_charfact*B85</f>
        <v>0.28255135135135134</v>
      </c>
      <c r="X85" s="83">
        <f>CO2_irrigationwater_charfact*B85</f>
        <v>0.56510270270270269</v>
      </c>
      <c r="Y85" s="83">
        <f>CO2_housing_charfact*B85</f>
        <v>8.9698841698841695E-8</v>
      </c>
      <c r="Z85" s="83">
        <f>CO2_separations_charfact*B85</f>
        <v>1.0193050193050191E-6</v>
      </c>
      <c r="AA85" s="83">
        <f>CO2_NEX_charfact*B85</f>
        <v>1.0193050193050192E-15</v>
      </c>
      <c r="AB85" s="131">
        <f>(H85+I85+J85+K85)*YOLLvalue+L85*malnutrition+M85*working_capacity+N85*diarrhea+O85*asthmacasesvalue+P85*COPDvalue+(Q85+R85)*cropvalue+(S85+T85)*woodvalue+U85*Fruitandveg_value+V85*fishandmeatvalue+W85*drinkingwatervalue+X85*irrigationwatervalue+Y85*housingvalue+Z85*migrationvalue+AA85*speciesvalue</f>
        <v>17.15776401022843</v>
      </c>
    </row>
    <row r="86" spans="1:28">
      <c r="A86" s="44" t="s">
        <v>721</v>
      </c>
      <c r="AB86" s="200"/>
    </row>
    <row r="87" spans="1:28">
      <c r="A87" t="s">
        <v>235</v>
      </c>
      <c r="B87">
        <v>4.5</v>
      </c>
      <c r="C87">
        <v>2</v>
      </c>
      <c r="D87">
        <v>0.44</v>
      </c>
      <c r="E87">
        <v>2</v>
      </c>
      <c r="F87">
        <v>0.11</v>
      </c>
      <c r="H87" s="83">
        <f t="shared" ref="H87:H95" si="80">B87*charco2yoll</f>
        <v>2.9200153204633203E-6</v>
      </c>
      <c r="I87" s="83">
        <f t="shared" ref="I87:I95" si="81">D87*NOx_YOLL_Oxidant_charfact/0.62</f>
        <v>2.5258305714617525E-6</v>
      </c>
      <c r="J87" s="83">
        <f t="shared" ref="J87:J95" si="82">F87*PM2.5_YOLL_charfact</f>
        <v>3.2567254270146715E-4</v>
      </c>
      <c r="L87" s="83">
        <f t="shared" ref="L87:L95" si="83">CO2_malnutrition_charfact*B87</f>
        <v>1.0763861003861002E-5</v>
      </c>
      <c r="M87" s="83">
        <f t="shared" ref="M87:M95" si="84">CO2_workingcapacity_charfact*B87</f>
        <v>5.2473822393822384E-6</v>
      </c>
      <c r="N87" s="83">
        <f t="shared" ref="N87:N95" si="85">CO2_diarrhea_charfact*B87</f>
        <v>7.1759073359073361E-8</v>
      </c>
      <c r="O87" s="83">
        <f t="shared" ref="O87:O95" si="86">PM2.5_asthmacases_charfact*F87</f>
        <v>5.3127359999999993E-6</v>
      </c>
      <c r="P87" s="83">
        <f t="shared" ref="P87:P95" si="87">PM2.5_COPD_charfact*F87</f>
        <v>4.1469999999999997E-7</v>
      </c>
      <c r="Q87" s="83">
        <f t="shared" ref="Q87:Q95" si="88">CO2_crop_charfact*B87</f>
        <v>4.9067544855780146E-2</v>
      </c>
      <c r="R87" s="83">
        <f t="shared" ref="R87:R95" si="89">charnoxcrop/0.62*D87</f>
        <v>0.52255349952495134</v>
      </c>
      <c r="S87" s="83">
        <f t="shared" ref="S87:S95" si="90">charco2woodgw*B87</f>
        <v>0</v>
      </c>
      <c r="T87" s="83">
        <f t="shared" ref="T87:T95" si="91">NOx_wood_oxidantcharfact/0.62*D87</f>
        <v>4.0497896213183733E-2</v>
      </c>
      <c r="U87" s="83">
        <f t="shared" ref="U87:U95" si="92">CO2_fruitandveg_charfact*B87</f>
        <v>5.8765932318873481E-3</v>
      </c>
      <c r="V87" s="83">
        <f t="shared" ref="V87:V95" si="93">CO2_meatandfish_charfact*B87</f>
        <v>2.3150215761980467E-3</v>
      </c>
      <c r="W87" s="83">
        <f t="shared" ref="W87:W95" si="94">CO2_drinkingwater_charfact*B87</f>
        <v>0.28255135135135134</v>
      </c>
      <c r="X87" s="83">
        <f t="shared" ref="X87:X95" si="95">CO2_irrigationwater_charfact*B87</f>
        <v>0.56510270270270269</v>
      </c>
      <c r="Y87" s="83">
        <f t="shared" ref="Y87:Y95" si="96">CO2_housing_charfact*B87</f>
        <v>8.9698841698841695E-8</v>
      </c>
      <c r="Z87" s="83">
        <f t="shared" ref="Z87:Z95" si="97">CO2_separations_charfact*B87</f>
        <v>1.0193050193050191E-6</v>
      </c>
      <c r="AA87" s="83">
        <f t="shared" ref="AA87:AA95" si="98">CO2_NEX_charfact*B87</f>
        <v>1.0193050193050192E-15</v>
      </c>
      <c r="AB87" s="131">
        <f t="shared" ref="AB87:AB95" si="99">(H87+I87+J87+K87)*YOLLvalue+L87*malnutrition+M87*working_capacity+N87*diarrhea+O87*asthmacasesvalue+P87*COPDvalue+(Q87+R87)*cropvalue+(S87+T87)*woodvalue+U87*Fruitandveg_value+V87*fishandmeatvalue+W87*drinkingwatervalue+X87*irrigationwatervalue+Y87*housingvalue+Z87*migrationvalue+AA87*speciesvalue</f>
        <v>17.148380272402541</v>
      </c>
    </row>
    <row r="88" spans="1:28">
      <c r="A88" t="s">
        <v>236</v>
      </c>
      <c r="B88">
        <v>4.5</v>
      </c>
      <c r="C88">
        <v>2</v>
      </c>
      <c r="D88">
        <v>0.59</v>
      </c>
      <c r="E88">
        <v>1.3</v>
      </c>
      <c r="F88">
        <v>0.11</v>
      </c>
      <c r="H88" s="83">
        <f t="shared" si="80"/>
        <v>2.9200153204633203E-6</v>
      </c>
      <c r="I88" s="83">
        <f t="shared" si="81"/>
        <v>3.3869091753691675E-6</v>
      </c>
      <c r="J88" s="83">
        <f t="shared" si="82"/>
        <v>3.2567254270146715E-4</v>
      </c>
      <c r="L88" s="83">
        <f t="shared" si="83"/>
        <v>1.0763861003861002E-5</v>
      </c>
      <c r="M88" s="83">
        <f t="shared" si="84"/>
        <v>5.2473822393822384E-6</v>
      </c>
      <c r="N88" s="83">
        <f t="shared" si="85"/>
        <v>7.1759073359073361E-8</v>
      </c>
      <c r="O88" s="83">
        <f t="shared" si="86"/>
        <v>5.3127359999999993E-6</v>
      </c>
      <c r="P88" s="83">
        <f t="shared" si="87"/>
        <v>4.1469999999999997E-7</v>
      </c>
      <c r="Q88" s="83">
        <f t="shared" si="88"/>
        <v>4.9067544855780146E-2</v>
      </c>
      <c r="R88" s="83">
        <f t="shared" si="89"/>
        <v>0.70069673799936649</v>
      </c>
      <c r="S88" s="83">
        <f t="shared" si="90"/>
        <v>0</v>
      </c>
      <c r="T88" s="83">
        <f t="shared" si="91"/>
        <v>5.4303997194950909E-2</v>
      </c>
      <c r="U88" s="83">
        <f t="shared" si="92"/>
        <v>5.8765932318873481E-3</v>
      </c>
      <c r="V88" s="83">
        <f t="shared" si="93"/>
        <v>2.3150215761980467E-3</v>
      </c>
      <c r="W88" s="83">
        <f t="shared" si="94"/>
        <v>0.28255135135135134</v>
      </c>
      <c r="X88" s="83">
        <f t="shared" si="95"/>
        <v>0.56510270270270269</v>
      </c>
      <c r="Y88" s="83">
        <f t="shared" si="96"/>
        <v>8.9698841698841695E-8</v>
      </c>
      <c r="Z88" s="83">
        <f t="shared" si="97"/>
        <v>1.0193050193050191E-6</v>
      </c>
      <c r="AA88" s="83">
        <f t="shared" si="98"/>
        <v>1.0193050193050192E-15</v>
      </c>
      <c r="AB88" s="131">
        <f t="shared" si="99"/>
        <v>17.231177959101558</v>
      </c>
    </row>
    <row r="89" spans="1:28">
      <c r="A89" t="s">
        <v>237</v>
      </c>
      <c r="B89">
        <v>4.5</v>
      </c>
      <c r="C89">
        <v>2</v>
      </c>
      <c r="D89">
        <v>0.77</v>
      </c>
      <c r="F89">
        <v>0.11</v>
      </c>
      <c r="H89" s="83">
        <f t="shared" si="80"/>
        <v>2.9200153204633203E-6</v>
      </c>
      <c r="I89" s="83">
        <f t="shared" si="81"/>
        <v>4.4202035000580667E-6</v>
      </c>
      <c r="J89" s="83">
        <f t="shared" si="82"/>
        <v>3.2567254270146715E-4</v>
      </c>
      <c r="L89" s="83">
        <f t="shared" si="83"/>
        <v>1.0763861003861002E-5</v>
      </c>
      <c r="M89" s="83">
        <f t="shared" si="84"/>
        <v>5.2473822393822384E-6</v>
      </c>
      <c r="N89" s="83">
        <f t="shared" si="85"/>
        <v>7.1759073359073361E-8</v>
      </c>
      <c r="O89" s="83">
        <f t="shared" si="86"/>
        <v>5.3127359999999993E-6</v>
      </c>
      <c r="P89" s="83">
        <f t="shared" si="87"/>
        <v>4.1469999999999997E-7</v>
      </c>
      <c r="Q89" s="83">
        <f t="shared" si="88"/>
        <v>4.9067544855780146E-2</v>
      </c>
      <c r="R89" s="83">
        <f t="shared" si="89"/>
        <v>0.91446862416866492</v>
      </c>
      <c r="S89" s="83">
        <f t="shared" si="90"/>
        <v>0</v>
      </c>
      <c r="T89" s="83">
        <f t="shared" si="91"/>
        <v>7.0871318373071535E-2</v>
      </c>
      <c r="U89" s="83">
        <f t="shared" si="92"/>
        <v>5.8765932318873481E-3</v>
      </c>
      <c r="V89" s="83">
        <f t="shared" si="93"/>
        <v>2.3150215761980467E-3</v>
      </c>
      <c r="W89" s="83">
        <f t="shared" si="94"/>
        <v>0.28255135135135134</v>
      </c>
      <c r="X89" s="83">
        <f t="shared" si="95"/>
        <v>0.56510270270270269</v>
      </c>
      <c r="Y89" s="83">
        <f t="shared" si="96"/>
        <v>8.9698841698841695E-8</v>
      </c>
      <c r="Z89" s="83">
        <f t="shared" si="97"/>
        <v>1.0193050193050191E-6</v>
      </c>
      <c r="AA89" s="83">
        <f t="shared" si="98"/>
        <v>1.0193050193050192E-15</v>
      </c>
      <c r="AB89" s="131">
        <f t="shared" si="99"/>
        <v>17.330535183140373</v>
      </c>
    </row>
    <row r="90" spans="1:28">
      <c r="A90" t="s">
        <v>703</v>
      </c>
      <c r="B90">
        <v>4.5</v>
      </c>
      <c r="C90">
        <v>2</v>
      </c>
      <c r="D90">
        <v>0.54800000000000004</v>
      </c>
      <c r="F90">
        <v>0.11</v>
      </c>
      <c r="H90" s="83">
        <f t="shared" si="80"/>
        <v>2.9200153204633203E-6</v>
      </c>
      <c r="I90" s="83">
        <f t="shared" si="81"/>
        <v>3.1458071662750917E-6</v>
      </c>
      <c r="J90" s="83">
        <f t="shared" si="82"/>
        <v>3.2567254270146715E-4</v>
      </c>
      <c r="L90" s="83">
        <f t="shared" si="83"/>
        <v>1.0763861003861002E-5</v>
      </c>
      <c r="M90" s="83">
        <f t="shared" si="84"/>
        <v>5.2473822393822384E-6</v>
      </c>
      <c r="N90" s="83">
        <f t="shared" si="85"/>
        <v>7.1759073359073361E-8</v>
      </c>
      <c r="O90" s="83">
        <f t="shared" si="86"/>
        <v>5.3127359999999993E-6</v>
      </c>
      <c r="P90" s="83">
        <f t="shared" si="87"/>
        <v>4.1469999999999997E-7</v>
      </c>
      <c r="Q90" s="83">
        <f t="shared" si="88"/>
        <v>4.9067544855780146E-2</v>
      </c>
      <c r="R90" s="83">
        <f t="shared" si="89"/>
        <v>0.65081663122653033</v>
      </c>
      <c r="S90" s="83">
        <f t="shared" si="90"/>
        <v>0</v>
      </c>
      <c r="T90" s="83">
        <f t="shared" si="91"/>
        <v>5.0438288920056105E-2</v>
      </c>
      <c r="U90" s="83">
        <f t="shared" si="92"/>
        <v>5.8765932318873481E-3</v>
      </c>
      <c r="V90" s="83">
        <f t="shared" si="93"/>
        <v>2.3150215761980467E-3</v>
      </c>
      <c r="W90" s="83">
        <f t="shared" si="94"/>
        <v>0.28255135135135134</v>
      </c>
      <c r="X90" s="83">
        <f t="shared" si="95"/>
        <v>0.56510270270270269</v>
      </c>
      <c r="Y90" s="83">
        <f t="shared" si="96"/>
        <v>8.9698841698841695E-8</v>
      </c>
      <c r="Z90" s="83">
        <f t="shared" si="97"/>
        <v>1.0193050193050191E-6</v>
      </c>
      <c r="AA90" s="83">
        <f t="shared" si="98"/>
        <v>1.0193050193050192E-15</v>
      </c>
      <c r="AB90" s="131">
        <f t="shared" si="99"/>
        <v>17.207994606825835</v>
      </c>
    </row>
    <row r="91" spans="1:28">
      <c r="A91" t="s">
        <v>626</v>
      </c>
      <c r="B91">
        <v>4.5</v>
      </c>
      <c r="C91">
        <v>2</v>
      </c>
      <c r="D91">
        <v>0.41399999999999998</v>
      </c>
      <c r="F91">
        <v>0.11</v>
      </c>
      <c r="H91" s="83">
        <f t="shared" si="80"/>
        <v>2.9200153204633203E-6</v>
      </c>
      <c r="I91" s="83">
        <f t="shared" si="81"/>
        <v>2.3765769467844667E-6</v>
      </c>
      <c r="J91" s="83">
        <f t="shared" si="82"/>
        <v>3.2567254270146715E-4</v>
      </c>
      <c r="L91" s="83">
        <f t="shared" si="83"/>
        <v>1.0763861003861002E-5</v>
      </c>
      <c r="M91" s="83">
        <f t="shared" si="84"/>
        <v>5.2473822393822384E-6</v>
      </c>
      <c r="N91" s="83">
        <f t="shared" si="85"/>
        <v>7.1759073359073361E-8</v>
      </c>
      <c r="O91" s="83">
        <f t="shared" si="86"/>
        <v>5.3127359999999993E-6</v>
      </c>
      <c r="P91" s="83">
        <f t="shared" si="87"/>
        <v>4.1469999999999997E-7</v>
      </c>
      <c r="Q91" s="83">
        <f t="shared" si="88"/>
        <v>4.9067544855780146E-2</v>
      </c>
      <c r="R91" s="83">
        <f t="shared" si="89"/>
        <v>0.49167533818938602</v>
      </c>
      <c r="S91" s="83">
        <f t="shared" si="90"/>
        <v>0</v>
      </c>
      <c r="T91" s="83">
        <f t="shared" si="91"/>
        <v>3.8104838709677416E-2</v>
      </c>
      <c r="U91" s="83">
        <f t="shared" si="92"/>
        <v>5.8765932318873481E-3</v>
      </c>
      <c r="V91" s="83">
        <f t="shared" si="93"/>
        <v>2.3150215761980467E-3</v>
      </c>
      <c r="W91" s="83">
        <f t="shared" si="94"/>
        <v>0.28255135135135134</v>
      </c>
      <c r="X91" s="83">
        <f t="shared" si="95"/>
        <v>0.56510270270270269</v>
      </c>
      <c r="Y91" s="83">
        <f t="shared" si="96"/>
        <v>8.9698841698841695E-8</v>
      </c>
      <c r="Z91" s="83">
        <f t="shared" si="97"/>
        <v>1.0193050193050191E-6</v>
      </c>
      <c r="AA91" s="83">
        <f t="shared" si="98"/>
        <v>1.0193050193050192E-15</v>
      </c>
      <c r="AB91" s="131">
        <f t="shared" si="99"/>
        <v>17.134028673374715</v>
      </c>
    </row>
    <row r="92" spans="1:28">
      <c r="A92" t="s">
        <v>704</v>
      </c>
      <c r="B92">
        <v>4.5</v>
      </c>
      <c r="C92">
        <v>2</v>
      </c>
      <c r="D92">
        <v>0.36399999999999999</v>
      </c>
      <c r="F92">
        <v>0.11</v>
      </c>
      <c r="H92" s="83">
        <f t="shared" si="80"/>
        <v>2.9200153204633203E-6</v>
      </c>
      <c r="I92" s="83">
        <f t="shared" si="81"/>
        <v>2.089550745481995E-6</v>
      </c>
      <c r="J92" s="83">
        <f t="shared" si="82"/>
        <v>3.2567254270146715E-4</v>
      </c>
      <c r="L92" s="83">
        <f t="shared" si="83"/>
        <v>1.0763861003861002E-5</v>
      </c>
      <c r="M92" s="83">
        <f t="shared" si="84"/>
        <v>5.2473822393822384E-6</v>
      </c>
      <c r="N92" s="83">
        <f t="shared" si="85"/>
        <v>7.1759073359073361E-8</v>
      </c>
      <c r="O92" s="83">
        <f t="shared" si="86"/>
        <v>5.3127359999999993E-6</v>
      </c>
      <c r="P92" s="83">
        <f t="shared" si="87"/>
        <v>4.1469999999999997E-7</v>
      </c>
      <c r="Q92" s="83">
        <f t="shared" si="88"/>
        <v>4.9067544855780146E-2</v>
      </c>
      <c r="R92" s="83">
        <f t="shared" si="89"/>
        <v>0.43229425869791427</v>
      </c>
      <c r="S92" s="83">
        <f t="shared" si="90"/>
        <v>0</v>
      </c>
      <c r="T92" s="83">
        <f t="shared" si="91"/>
        <v>3.3502805049088362E-2</v>
      </c>
      <c r="U92" s="83">
        <f t="shared" si="92"/>
        <v>5.8765932318873481E-3</v>
      </c>
      <c r="V92" s="83">
        <f t="shared" si="93"/>
        <v>2.3150215761980467E-3</v>
      </c>
      <c r="W92" s="83">
        <f t="shared" si="94"/>
        <v>0.28255135135135134</v>
      </c>
      <c r="X92" s="83">
        <f t="shared" si="95"/>
        <v>0.56510270270270269</v>
      </c>
      <c r="Y92" s="83">
        <f t="shared" si="96"/>
        <v>8.9698841698841695E-8</v>
      </c>
      <c r="Z92" s="83">
        <f t="shared" si="97"/>
        <v>1.0193050193050191E-6</v>
      </c>
      <c r="AA92" s="83">
        <f t="shared" si="98"/>
        <v>1.0193050193050192E-15</v>
      </c>
      <c r="AB92" s="131">
        <f t="shared" si="99"/>
        <v>17.106429444475044</v>
      </c>
    </row>
    <row r="93" spans="1:28">
      <c r="A93" t="s">
        <v>630</v>
      </c>
      <c r="B93">
        <v>4.5</v>
      </c>
      <c r="C93">
        <v>2</v>
      </c>
      <c r="D93">
        <v>0.57199999999999995</v>
      </c>
      <c r="F93">
        <v>0.11</v>
      </c>
      <c r="H93" s="83">
        <f t="shared" si="80"/>
        <v>2.9200153204633203E-6</v>
      </c>
      <c r="I93" s="83">
        <f t="shared" si="81"/>
        <v>3.2835797429002772E-6</v>
      </c>
      <c r="J93" s="83">
        <f t="shared" si="82"/>
        <v>3.2567254270146715E-4</v>
      </c>
      <c r="L93" s="83">
        <f t="shared" si="83"/>
        <v>1.0763861003861002E-5</v>
      </c>
      <c r="M93" s="83">
        <f t="shared" si="84"/>
        <v>5.2473822393822384E-6</v>
      </c>
      <c r="N93" s="83">
        <f t="shared" si="85"/>
        <v>7.1759073359073361E-8</v>
      </c>
      <c r="O93" s="83">
        <f t="shared" si="86"/>
        <v>5.3127359999999993E-6</v>
      </c>
      <c r="P93" s="83">
        <f t="shared" si="87"/>
        <v>4.1469999999999997E-7</v>
      </c>
      <c r="Q93" s="83">
        <f t="shared" si="88"/>
        <v>4.9067544855780146E-2</v>
      </c>
      <c r="R93" s="83">
        <f t="shared" si="89"/>
        <v>0.67931954938243666</v>
      </c>
      <c r="S93" s="83">
        <f t="shared" si="90"/>
        <v>0</v>
      </c>
      <c r="T93" s="83">
        <f t="shared" si="91"/>
        <v>5.264726507713885E-2</v>
      </c>
      <c r="U93" s="83">
        <f t="shared" si="92"/>
        <v>5.8765932318873481E-3</v>
      </c>
      <c r="V93" s="83">
        <f t="shared" si="93"/>
        <v>2.3150215761980467E-3</v>
      </c>
      <c r="W93" s="83">
        <f t="shared" si="94"/>
        <v>0.28255135135135134</v>
      </c>
      <c r="X93" s="83">
        <f t="shared" si="95"/>
        <v>0.56510270270270269</v>
      </c>
      <c r="Y93" s="83">
        <f t="shared" si="96"/>
        <v>8.9698841698841695E-8</v>
      </c>
      <c r="Z93" s="83">
        <f t="shared" si="97"/>
        <v>1.0193050193050191E-6</v>
      </c>
      <c r="AA93" s="83">
        <f t="shared" si="98"/>
        <v>1.0193050193050192E-15</v>
      </c>
      <c r="AB93" s="131">
        <f t="shared" si="99"/>
        <v>17.221242236697677</v>
      </c>
    </row>
    <row r="94" spans="1:28">
      <c r="A94" t="s">
        <v>631</v>
      </c>
      <c r="B94">
        <v>4.5</v>
      </c>
      <c r="C94">
        <v>2</v>
      </c>
      <c r="D94">
        <v>0.59899999999999998</v>
      </c>
      <c r="F94">
        <v>0.11</v>
      </c>
      <c r="H94" s="83">
        <f t="shared" si="80"/>
        <v>2.9200153204633203E-6</v>
      </c>
      <c r="I94" s="83">
        <f t="shared" si="81"/>
        <v>3.438573891603612E-6</v>
      </c>
      <c r="J94" s="83">
        <f t="shared" si="82"/>
        <v>3.2567254270146715E-4</v>
      </c>
      <c r="L94" s="83">
        <f t="shared" si="83"/>
        <v>1.0763861003861002E-5</v>
      </c>
      <c r="M94" s="83">
        <f t="shared" si="84"/>
        <v>5.2473822393822384E-6</v>
      </c>
      <c r="N94" s="83">
        <f t="shared" si="85"/>
        <v>7.1759073359073361E-8</v>
      </c>
      <c r="O94" s="83">
        <f t="shared" si="86"/>
        <v>5.3127359999999993E-6</v>
      </c>
      <c r="P94" s="83">
        <f t="shared" si="87"/>
        <v>4.1469999999999997E-7</v>
      </c>
      <c r="Q94" s="83">
        <f t="shared" si="88"/>
        <v>4.9067544855780146E-2</v>
      </c>
      <c r="R94" s="83">
        <f t="shared" si="89"/>
        <v>0.71138533230783152</v>
      </c>
      <c r="S94" s="83">
        <f t="shared" si="90"/>
        <v>0</v>
      </c>
      <c r="T94" s="83">
        <f t="shared" si="91"/>
        <v>5.5132363253856939E-2</v>
      </c>
      <c r="U94" s="83">
        <f t="shared" si="92"/>
        <v>5.8765932318873481E-3</v>
      </c>
      <c r="V94" s="83">
        <f t="shared" si="93"/>
        <v>2.3150215761980467E-3</v>
      </c>
      <c r="W94" s="83">
        <f t="shared" si="94"/>
        <v>0.28255135135135134</v>
      </c>
      <c r="X94" s="83">
        <f t="shared" si="95"/>
        <v>0.56510270270270269</v>
      </c>
      <c r="Y94" s="83">
        <f t="shared" si="96"/>
        <v>8.9698841698841695E-8</v>
      </c>
      <c r="Z94" s="83">
        <f t="shared" si="97"/>
        <v>1.0193050193050191E-6</v>
      </c>
      <c r="AA94" s="83">
        <f t="shared" si="98"/>
        <v>1.0193050193050192E-15</v>
      </c>
      <c r="AB94" s="131">
        <f t="shared" si="99"/>
        <v>17.236145820303495</v>
      </c>
    </row>
    <row r="95" spans="1:28">
      <c r="A95" t="s">
        <v>705</v>
      </c>
      <c r="B95">
        <v>4.5</v>
      </c>
      <c r="C95">
        <v>2</v>
      </c>
      <c r="D95">
        <v>0.32300000000000001</v>
      </c>
      <c r="F95">
        <v>0.11</v>
      </c>
      <c r="H95" s="83">
        <f t="shared" si="80"/>
        <v>2.9200153204633203E-6</v>
      </c>
      <c r="I95" s="83">
        <f t="shared" si="81"/>
        <v>1.8541892604139681E-6</v>
      </c>
      <c r="J95" s="83">
        <f t="shared" si="82"/>
        <v>3.2567254270146715E-4</v>
      </c>
      <c r="L95" s="83">
        <f t="shared" si="83"/>
        <v>1.0763861003861002E-5</v>
      </c>
      <c r="M95" s="83">
        <f t="shared" si="84"/>
        <v>5.2473822393822384E-6</v>
      </c>
      <c r="N95" s="83">
        <f t="shared" si="85"/>
        <v>7.1759073359073361E-8</v>
      </c>
      <c r="O95" s="83">
        <f t="shared" si="86"/>
        <v>5.3127359999999993E-6</v>
      </c>
      <c r="P95" s="83">
        <f t="shared" si="87"/>
        <v>4.1469999999999997E-7</v>
      </c>
      <c r="Q95" s="83">
        <f t="shared" si="88"/>
        <v>4.9067544855780146E-2</v>
      </c>
      <c r="R95" s="83">
        <f t="shared" si="89"/>
        <v>0.38360177351490748</v>
      </c>
      <c r="S95" s="83">
        <f t="shared" si="90"/>
        <v>0</v>
      </c>
      <c r="T95" s="83">
        <f t="shared" si="91"/>
        <v>2.9729137447405331E-2</v>
      </c>
      <c r="U95" s="83">
        <f t="shared" si="92"/>
        <v>5.8765932318873481E-3</v>
      </c>
      <c r="V95" s="83">
        <f t="shared" si="93"/>
        <v>2.3150215761980467E-3</v>
      </c>
      <c r="W95" s="83">
        <f t="shared" si="94"/>
        <v>0.28255135135135134</v>
      </c>
      <c r="X95" s="83">
        <f t="shared" si="95"/>
        <v>0.56510270270270269</v>
      </c>
      <c r="Y95" s="83">
        <f t="shared" si="96"/>
        <v>8.9698841698841695E-8</v>
      </c>
      <c r="Z95" s="83">
        <f t="shared" si="97"/>
        <v>1.0193050193050191E-6</v>
      </c>
      <c r="AA95" s="83">
        <f t="shared" si="98"/>
        <v>1.0193050193050192E-15</v>
      </c>
      <c r="AB95" s="131">
        <f t="shared" si="99"/>
        <v>17.08379807677731</v>
      </c>
    </row>
    <row r="96" spans="1:28">
      <c r="A96" s="44" t="s">
        <v>722</v>
      </c>
      <c r="AB96" s="200"/>
    </row>
    <row r="97" spans="1:29">
      <c r="A97" s="5" t="s">
        <v>706</v>
      </c>
      <c r="B97">
        <v>4.5</v>
      </c>
      <c r="C97">
        <v>2</v>
      </c>
      <c r="D97">
        <v>0.36</v>
      </c>
      <c r="F97">
        <v>0.11</v>
      </c>
      <c r="H97" s="83">
        <f t="shared" ref="H97:H107" si="100">B97*charco2yoll</f>
        <v>2.9200153204633203E-6</v>
      </c>
      <c r="I97" s="83">
        <f t="shared" ref="I97:I107" si="101">D97*NOx_YOLL_Oxidant_charfact/0.62</f>
        <v>2.0665886493777971E-6</v>
      </c>
      <c r="J97" s="83">
        <f t="shared" ref="J97:J107" si="102">F97*PM2.5_YOLL_charfact</f>
        <v>3.2567254270146715E-4</v>
      </c>
      <c r="L97" s="83">
        <f t="shared" ref="L97:L107" si="103">CO2_malnutrition_charfact*B97</f>
        <v>1.0763861003861002E-5</v>
      </c>
      <c r="M97" s="83">
        <f t="shared" ref="M97:M107" si="104">CO2_workingcapacity_charfact*B97</f>
        <v>5.2473822393822384E-6</v>
      </c>
      <c r="N97" s="83">
        <f t="shared" ref="N97:N107" si="105">CO2_diarrhea_charfact*B97</f>
        <v>7.1759073359073361E-8</v>
      </c>
      <c r="O97" s="83">
        <f t="shared" ref="O97:O107" si="106">PM2.5_asthmacases_charfact*F97</f>
        <v>5.3127359999999993E-6</v>
      </c>
      <c r="P97" s="83">
        <f t="shared" ref="P97:P107" si="107">PM2.5_COPD_charfact*F97</f>
        <v>4.1469999999999997E-7</v>
      </c>
      <c r="Q97" s="83">
        <f t="shared" ref="Q97:Q107" si="108">CO2_crop_charfact*B97</f>
        <v>4.9067544855780146E-2</v>
      </c>
      <c r="R97" s="83">
        <f t="shared" ref="R97:R107" si="109">charnoxcrop/0.62*D97</f>
        <v>0.42754377233859653</v>
      </c>
      <c r="S97" s="83">
        <f t="shared" ref="S97:S107" si="110">charco2woodgw*B97</f>
        <v>0</v>
      </c>
      <c r="T97" s="83">
        <f t="shared" ref="T97:T107" si="111">NOx_wood_oxidantcharfact/0.62*D97</f>
        <v>3.3134642356241237E-2</v>
      </c>
      <c r="U97" s="83">
        <f t="shared" ref="U97:U107" si="112">CO2_fruitandveg_charfact*B97</f>
        <v>5.8765932318873481E-3</v>
      </c>
      <c r="V97" s="83">
        <f t="shared" ref="V97:V107" si="113">CO2_meatandfish_charfact*B97</f>
        <v>2.3150215761980467E-3</v>
      </c>
      <c r="W97" s="83">
        <f t="shared" ref="W97:W107" si="114">CO2_drinkingwater_charfact*B97</f>
        <v>0.28255135135135134</v>
      </c>
      <c r="X97" s="83">
        <f t="shared" ref="X97:X107" si="115">CO2_irrigationwater_charfact*B97</f>
        <v>0.56510270270270269</v>
      </c>
      <c r="Y97" s="83">
        <f t="shared" ref="Y97:Y107" si="116">CO2_housing_charfact*B97</f>
        <v>8.9698841698841695E-8</v>
      </c>
      <c r="Z97" s="83">
        <f t="shared" ref="Z97:Z107" si="117">CO2_separations_charfact*B97</f>
        <v>1.0193050193050191E-6</v>
      </c>
      <c r="AA97" s="83">
        <f t="shared" ref="AA97:AA107" si="118">CO2_NEX_charfact*B97</f>
        <v>1.0193050193050192E-15</v>
      </c>
      <c r="AB97" s="131">
        <f t="shared" ref="AB97:AB107" si="119">(H97+I97+J97+K97)*YOLLvalue+L97*malnutrition+M97*working_capacity+N97*diarrhea+O97*asthmacasesvalue+P97*COPDvalue+(Q97+R97)*cropvalue+(S97+T97)*woodvalue+U97*Fruitandveg_value+V97*fishandmeatvalue+W97*drinkingwatervalue+X97*irrigationwatervalue+Y97*housingvalue+Z97*migrationvalue+AA97*speciesvalue</f>
        <v>17.104221506163071</v>
      </c>
    </row>
    <row r="98" spans="1:29">
      <c r="A98" t="s">
        <v>238</v>
      </c>
      <c r="B98">
        <v>4.5</v>
      </c>
      <c r="C98">
        <v>2</v>
      </c>
      <c r="D98">
        <v>0.74</v>
      </c>
      <c r="F98">
        <v>0.11</v>
      </c>
      <c r="H98" s="83">
        <f t="shared" si="100"/>
        <v>2.9200153204633203E-6</v>
      </c>
      <c r="I98" s="83">
        <f t="shared" si="101"/>
        <v>4.247987779276583E-6</v>
      </c>
      <c r="J98" s="83">
        <f t="shared" si="102"/>
        <v>3.2567254270146715E-4</v>
      </c>
      <c r="L98" s="83">
        <f t="shared" si="103"/>
        <v>1.0763861003861002E-5</v>
      </c>
      <c r="M98" s="83">
        <f t="shared" si="104"/>
        <v>5.2473822393822384E-6</v>
      </c>
      <c r="N98" s="83">
        <f t="shared" si="105"/>
        <v>7.1759073359073361E-8</v>
      </c>
      <c r="O98" s="83">
        <f t="shared" si="106"/>
        <v>5.3127359999999993E-6</v>
      </c>
      <c r="P98" s="83">
        <f t="shared" si="107"/>
        <v>4.1469999999999997E-7</v>
      </c>
      <c r="Q98" s="83">
        <f t="shared" si="108"/>
        <v>4.9067544855780146E-2</v>
      </c>
      <c r="R98" s="83">
        <f t="shared" si="109"/>
        <v>0.87883997647378176</v>
      </c>
      <c r="S98" s="83">
        <f t="shared" si="110"/>
        <v>0</v>
      </c>
      <c r="T98" s="83">
        <f t="shared" si="111"/>
        <v>6.8110098176718092E-2</v>
      </c>
      <c r="U98" s="83">
        <f t="shared" si="112"/>
        <v>5.8765932318873481E-3</v>
      </c>
      <c r="V98" s="83">
        <f t="shared" si="113"/>
        <v>2.3150215761980467E-3</v>
      </c>
      <c r="W98" s="83">
        <f t="shared" si="114"/>
        <v>0.28255135135135134</v>
      </c>
      <c r="X98" s="83">
        <f t="shared" si="115"/>
        <v>0.56510270270270269</v>
      </c>
      <c r="Y98" s="83">
        <f t="shared" si="116"/>
        <v>8.9698841698841695E-8</v>
      </c>
      <c r="Z98" s="83">
        <f t="shared" si="117"/>
        <v>1.0193050193050191E-6</v>
      </c>
      <c r="AA98" s="83">
        <f t="shared" si="118"/>
        <v>1.0193050193050192E-15</v>
      </c>
      <c r="AB98" s="131">
        <f t="shared" si="119"/>
        <v>17.313975645800571</v>
      </c>
    </row>
    <row r="99" spans="1:29">
      <c r="A99" t="s">
        <v>239</v>
      </c>
      <c r="B99">
        <v>4.5</v>
      </c>
      <c r="C99">
        <v>2</v>
      </c>
      <c r="D99">
        <v>0.86</v>
      </c>
      <c r="F99">
        <v>0.11</v>
      </c>
      <c r="H99" s="83">
        <f t="shared" si="100"/>
        <v>2.9200153204633203E-6</v>
      </c>
      <c r="I99" s="83">
        <f t="shared" si="101"/>
        <v>4.9368506624025152E-6</v>
      </c>
      <c r="J99" s="83">
        <f t="shared" si="102"/>
        <v>3.2567254270146715E-4</v>
      </c>
      <c r="L99" s="83">
        <f t="shared" si="103"/>
        <v>1.0763861003861002E-5</v>
      </c>
      <c r="M99" s="83">
        <f t="shared" si="104"/>
        <v>5.2473822393822384E-6</v>
      </c>
      <c r="N99" s="83">
        <f t="shared" si="105"/>
        <v>7.1759073359073361E-8</v>
      </c>
      <c r="O99" s="83">
        <f t="shared" si="106"/>
        <v>5.3127359999999993E-6</v>
      </c>
      <c r="P99" s="83">
        <f t="shared" si="107"/>
        <v>4.1469999999999997E-7</v>
      </c>
      <c r="Q99" s="83">
        <f t="shared" si="108"/>
        <v>4.9067544855780146E-2</v>
      </c>
      <c r="R99" s="83">
        <f t="shared" si="109"/>
        <v>1.021354567253314</v>
      </c>
      <c r="S99" s="83">
        <f t="shared" si="110"/>
        <v>0</v>
      </c>
      <c r="T99" s="83">
        <f t="shared" si="111"/>
        <v>7.9154978962131833E-2</v>
      </c>
      <c r="U99" s="83">
        <f t="shared" si="112"/>
        <v>5.8765932318873481E-3</v>
      </c>
      <c r="V99" s="83">
        <f t="shared" si="113"/>
        <v>2.3150215761980467E-3</v>
      </c>
      <c r="W99" s="83">
        <f t="shared" si="114"/>
        <v>0.28255135135135134</v>
      </c>
      <c r="X99" s="83">
        <f t="shared" si="115"/>
        <v>0.56510270270270269</v>
      </c>
      <c r="Y99" s="83">
        <f t="shared" si="116"/>
        <v>8.9698841698841695E-8</v>
      </c>
      <c r="Z99" s="83">
        <f t="shared" si="117"/>
        <v>1.0193050193050191E-6</v>
      </c>
      <c r="AA99" s="83">
        <f t="shared" si="118"/>
        <v>1.0193050193050192E-15</v>
      </c>
      <c r="AB99" s="131">
        <f t="shared" si="119"/>
        <v>17.380213795159779</v>
      </c>
    </row>
    <row r="100" spans="1:29">
      <c r="A100" t="s">
        <v>240</v>
      </c>
      <c r="B100">
        <v>4.5</v>
      </c>
      <c r="C100">
        <v>2</v>
      </c>
      <c r="D100">
        <v>0.9</v>
      </c>
      <c r="F100">
        <v>0.11</v>
      </c>
      <c r="H100" s="83">
        <f t="shared" si="100"/>
        <v>2.9200153204633203E-6</v>
      </c>
      <c r="I100" s="83">
        <f t="shared" si="101"/>
        <v>5.1664716234444929E-6</v>
      </c>
      <c r="J100" s="83">
        <f t="shared" si="102"/>
        <v>3.2567254270146715E-4</v>
      </c>
      <c r="L100" s="83">
        <f t="shared" si="103"/>
        <v>1.0763861003861002E-5</v>
      </c>
      <c r="M100" s="83">
        <f t="shared" si="104"/>
        <v>5.2473822393822384E-6</v>
      </c>
      <c r="N100" s="83">
        <f t="shared" si="105"/>
        <v>7.1759073359073361E-8</v>
      </c>
      <c r="O100" s="83">
        <f t="shared" si="106"/>
        <v>5.3127359999999993E-6</v>
      </c>
      <c r="P100" s="83">
        <f t="shared" si="107"/>
        <v>4.1469999999999997E-7</v>
      </c>
      <c r="Q100" s="83">
        <f t="shared" si="108"/>
        <v>4.9067544855780146E-2</v>
      </c>
      <c r="R100" s="83">
        <f t="shared" si="109"/>
        <v>1.0688594308464914</v>
      </c>
      <c r="S100" s="83">
        <f t="shared" si="110"/>
        <v>0</v>
      </c>
      <c r="T100" s="83">
        <f t="shared" si="111"/>
        <v>8.2836605890603085E-2</v>
      </c>
      <c r="U100" s="83">
        <f t="shared" si="112"/>
        <v>5.8765932318873481E-3</v>
      </c>
      <c r="V100" s="83">
        <f t="shared" si="113"/>
        <v>2.3150215761980467E-3</v>
      </c>
      <c r="W100" s="83">
        <f t="shared" si="114"/>
        <v>0.28255135135135134</v>
      </c>
      <c r="X100" s="83">
        <f t="shared" si="115"/>
        <v>0.56510270270270269</v>
      </c>
      <c r="Y100" s="83">
        <f t="shared" si="116"/>
        <v>8.9698841698841695E-8</v>
      </c>
      <c r="Z100" s="83">
        <f t="shared" si="117"/>
        <v>1.0193050193050191E-6</v>
      </c>
      <c r="AA100" s="83">
        <f t="shared" si="118"/>
        <v>1.0193050193050192E-15</v>
      </c>
      <c r="AB100" s="131">
        <f t="shared" si="119"/>
        <v>17.402293178279514</v>
      </c>
    </row>
    <row r="101" spans="1:29">
      <c r="A101" t="s">
        <v>241</v>
      </c>
      <c r="B101">
        <v>4.5</v>
      </c>
      <c r="C101">
        <v>2</v>
      </c>
      <c r="D101">
        <v>0.59</v>
      </c>
      <c r="F101">
        <v>0.11</v>
      </c>
      <c r="H101" s="83">
        <f t="shared" si="100"/>
        <v>2.9200153204633203E-6</v>
      </c>
      <c r="I101" s="83">
        <f t="shared" si="101"/>
        <v>3.3869091753691675E-6</v>
      </c>
      <c r="J101" s="83">
        <f t="shared" si="102"/>
        <v>3.2567254270146715E-4</v>
      </c>
      <c r="L101" s="83">
        <f t="shared" si="103"/>
        <v>1.0763861003861002E-5</v>
      </c>
      <c r="M101" s="83">
        <f t="shared" si="104"/>
        <v>5.2473822393822384E-6</v>
      </c>
      <c r="N101" s="83">
        <f t="shared" si="105"/>
        <v>7.1759073359073361E-8</v>
      </c>
      <c r="O101" s="83">
        <f t="shared" si="106"/>
        <v>5.3127359999999993E-6</v>
      </c>
      <c r="P101" s="83">
        <f t="shared" si="107"/>
        <v>4.1469999999999997E-7</v>
      </c>
      <c r="Q101" s="83">
        <f t="shared" si="108"/>
        <v>4.9067544855780146E-2</v>
      </c>
      <c r="R101" s="83">
        <f t="shared" si="109"/>
        <v>0.70069673799936649</v>
      </c>
      <c r="S101" s="83">
        <f t="shared" si="110"/>
        <v>0</v>
      </c>
      <c r="T101" s="83">
        <f t="shared" si="111"/>
        <v>5.4303997194950909E-2</v>
      </c>
      <c r="U101" s="83">
        <f t="shared" si="112"/>
        <v>5.8765932318873481E-3</v>
      </c>
      <c r="V101" s="83">
        <f t="shared" si="113"/>
        <v>2.3150215761980467E-3</v>
      </c>
      <c r="W101" s="83">
        <f t="shared" si="114"/>
        <v>0.28255135135135134</v>
      </c>
      <c r="X101" s="83">
        <f t="shared" si="115"/>
        <v>0.56510270270270269</v>
      </c>
      <c r="Y101" s="83">
        <f t="shared" si="116"/>
        <v>8.9698841698841695E-8</v>
      </c>
      <c r="Z101" s="83">
        <f t="shared" si="117"/>
        <v>1.0193050193050191E-6</v>
      </c>
      <c r="AA101" s="83">
        <f t="shared" si="118"/>
        <v>1.0193050193050192E-15</v>
      </c>
      <c r="AB101" s="131">
        <f t="shared" si="119"/>
        <v>17.231177959101558</v>
      </c>
    </row>
    <row r="102" spans="1:29">
      <c r="A102" s="5" t="s">
        <v>242</v>
      </c>
      <c r="B102">
        <v>4.5</v>
      </c>
      <c r="C102">
        <v>2</v>
      </c>
      <c r="D102">
        <v>0.9</v>
      </c>
      <c r="F102">
        <v>0.11</v>
      </c>
      <c r="H102" s="83">
        <f t="shared" si="100"/>
        <v>2.9200153204633203E-6</v>
      </c>
      <c r="I102" s="83">
        <f t="shared" si="101"/>
        <v>5.1664716234444929E-6</v>
      </c>
      <c r="J102" s="83">
        <f t="shared" si="102"/>
        <v>3.2567254270146715E-4</v>
      </c>
      <c r="L102" s="83">
        <f t="shared" si="103"/>
        <v>1.0763861003861002E-5</v>
      </c>
      <c r="M102" s="83">
        <f t="shared" si="104"/>
        <v>5.2473822393822384E-6</v>
      </c>
      <c r="N102" s="83">
        <f t="shared" si="105"/>
        <v>7.1759073359073361E-8</v>
      </c>
      <c r="O102" s="83">
        <f t="shared" si="106"/>
        <v>5.3127359999999993E-6</v>
      </c>
      <c r="P102" s="83">
        <f t="shared" si="107"/>
        <v>4.1469999999999997E-7</v>
      </c>
      <c r="Q102" s="83">
        <f t="shared" si="108"/>
        <v>4.9067544855780146E-2</v>
      </c>
      <c r="R102" s="83">
        <f t="shared" si="109"/>
        <v>1.0688594308464914</v>
      </c>
      <c r="S102" s="83">
        <f t="shared" si="110"/>
        <v>0</v>
      </c>
      <c r="T102" s="83">
        <f t="shared" si="111"/>
        <v>8.2836605890603085E-2</v>
      </c>
      <c r="U102" s="83">
        <f t="shared" si="112"/>
        <v>5.8765932318873481E-3</v>
      </c>
      <c r="V102" s="83">
        <f t="shared" si="113"/>
        <v>2.3150215761980467E-3</v>
      </c>
      <c r="W102" s="83">
        <f t="shared" si="114"/>
        <v>0.28255135135135134</v>
      </c>
      <c r="X102" s="83">
        <f t="shared" si="115"/>
        <v>0.56510270270270269</v>
      </c>
      <c r="Y102" s="83">
        <f t="shared" si="116"/>
        <v>8.9698841698841695E-8</v>
      </c>
      <c r="Z102" s="83">
        <f t="shared" si="117"/>
        <v>1.0193050193050191E-6</v>
      </c>
      <c r="AA102" s="83">
        <f t="shared" si="118"/>
        <v>1.0193050193050192E-15</v>
      </c>
      <c r="AB102" s="131">
        <f t="shared" si="119"/>
        <v>17.402293178279514</v>
      </c>
      <c r="AC102" s="1"/>
    </row>
    <row r="103" spans="1:29">
      <c r="A103" t="s">
        <v>629</v>
      </c>
      <c r="B103">
        <v>4.5</v>
      </c>
      <c r="C103">
        <v>2</v>
      </c>
      <c r="D103">
        <v>0.19</v>
      </c>
      <c r="F103">
        <v>0.11</v>
      </c>
      <c r="H103" s="83">
        <f t="shared" si="100"/>
        <v>2.9200153204633203E-6</v>
      </c>
      <c r="I103" s="83">
        <f t="shared" si="101"/>
        <v>1.090699564949393E-6</v>
      </c>
      <c r="J103" s="83">
        <f t="shared" si="102"/>
        <v>3.2567254270146715E-4</v>
      </c>
      <c r="L103" s="83">
        <f t="shared" si="103"/>
        <v>1.0763861003861002E-5</v>
      </c>
      <c r="M103" s="83">
        <f t="shared" si="104"/>
        <v>5.2473822393822384E-6</v>
      </c>
      <c r="N103" s="83">
        <f t="shared" si="105"/>
        <v>7.1759073359073361E-8</v>
      </c>
      <c r="O103" s="83">
        <f t="shared" si="106"/>
        <v>5.3127359999999993E-6</v>
      </c>
      <c r="P103" s="83">
        <f t="shared" si="107"/>
        <v>4.1469999999999997E-7</v>
      </c>
      <c r="Q103" s="83">
        <f t="shared" si="108"/>
        <v>4.9067544855780146E-2</v>
      </c>
      <c r="R103" s="83">
        <f t="shared" si="109"/>
        <v>0.22564810206759264</v>
      </c>
      <c r="S103" s="83">
        <f t="shared" si="110"/>
        <v>0</v>
      </c>
      <c r="T103" s="83">
        <f t="shared" si="111"/>
        <v>1.7487727910238428E-2</v>
      </c>
      <c r="U103" s="83">
        <f t="shared" si="112"/>
        <v>5.8765932318873481E-3</v>
      </c>
      <c r="V103" s="83">
        <f t="shared" si="113"/>
        <v>2.3150215761980467E-3</v>
      </c>
      <c r="W103" s="83">
        <f t="shared" si="114"/>
        <v>0.28255135135135134</v>
      </c>
      <c r="X103" s="83">
        <f t="shared" si="115"/>
        <v>0.56510270270270269</v>
      </c>
      <c r="Y103" s="83">
        <f t="shared" si="116"/>
        <v>8.9698841698841695E-8</v>
      </c>
      <c r="Z103" s="83">
        <f t="shared" si="117"/>
        <v>1.0193050193050191E-6</v>
      </c>
      <c r="AA103" s="83">
        <f t="shared" si="118"/>
        <v>1.0193050193050192E-15</v>
      </c>
      <c r="AB103" s="131">
        <f t="shared" si="119"/>
        <v>17.010384127904189</v>
      </c>
      <c r="AC103" s="1"/>
    </row>
    <row r="104" spans="1:29">
      <c r="A104" t="s">
        <v>707</v>
      </c>
      <c r="B104">
        <v>4.5</v>
      </c>
      <c r="C104">
        <v>2</v>
      </c>
      <c r="D104">
        <v>0.71</v>
      </c>
      <c r="F104">
        <v>0.11</v>
      </c>
      <c r="H104" s="83">
        <f t="shared" si="100"/>
        <v>2.9200153204633203E-6</v>
      </c>
      <c r="I104" s="83">
        <f t="shared" si="101"/>
        <v>4.0757720584950993E-6</v>
      </c>
      <c r="J104" s="83">
        <f t="shared" si="102"/>
        <v>3.2567254270146715E-4</v>
      </c>
      <c r="L104" s="83">
        <f t="shared" si="103"/>
        <v>1.0763861003861002E-5</v>
      </c>
      <c r="M104" s="83">
        <f t="shared" si="104"/>
        <v>5.2473822393822384E-6</v>
      </c>
      <c r="N104" s="83">
        <f t="shared" si="105"/>
        <v>7.1759073359073361E-8</v>
      </c>
      <c r="O104" s="83">
        <f t="shared" si="106"/>
        <v>5.3127359999999993E-6</v>
      </c>
      <c r="P104" s="83">
        <f t="shared" si="107"/>
        <v>4.1469999999999997E-7</v>
      </c>
      <c r="Q104" s="83">
        <f t="shared" si="108"/>
        <v>4.9067544855780146E-2</v>
      </c>
      <c r="R104" s="83">
        <f t="shared" si="109"/>
        <v>0.84321132877889871</v>
      </c>
      <c r="S104" s="83">
        <f t="shared" si="110"/>
        <v>0</v>
      </c>
      <c r="T104" s="83">
        <f t="shared" si="111"/>
        <v>6.534887798036465E-2</v>
      </c>
      <c r="U104" s="83">
        <f t="shared" si="112"/>
        <v>5.8765932318873481E-3</v>
      </c>
      <c r="V104" s="83">
        <f t="shared" si="113"/>
        <v>2.3150215761980467E-3</v>
      </c>
      <c r="W104" s="83">
        <f t="shared" si="114"/>
        <v>0.28255135135135134</v>
      </c>
      <c r="X104" s="83">
        <f t="shared" si="115"/>
        <v>0.56510270270270269</v>
      </c>
      <c r="Y104" s="83">
        <f t="shared" si="116"/>
        <v>8.9698841698841695E-8</v>
      </c>
      <c r="Z104" s="83">
        <f t="shared" si="117"/>
        <v>1.0193050193050191E-6</v>
      </c>
      <c r="AA104" s="83">
        <f t="shared" si="118"/>
        <v>1.0193050193050192E-15</v>
      </c>
      <c r="AB104" s="131">
        <f t="shared" si="119"/>
        <v>17.297416108460766</v>
      </c>
      <c r="AC104" s="1"/>
    </row>
    <row r="105" spans="1:29">
      <c r="A105" t="s">
        <v>243</v>
      </c>
      <c r="B105">
        <v>4.5</v>
      </c>
      <c r="C105">
        <v>2</v>
      </c>
      <c r="D105">
        <v>0.99</v>
      </c>
      <c r="F105">
        <v>0.11</v>
      </c>
      <c r="H105" s="83">
        <f t="shared" si="100"/>
        <v>2.9200153204633203E-6</v>
      </c>
      <c r="I105" s="83">
        <f t="shared" si="101"/>
        <v>5.6831187857889423E-6</v>
      </c>
      <c r="J105" s="83">
        <f t="shared" si="102"/>
        <v>3.2567254270146715E-4</v>
      </c>
      <c r="L105" s="83">
        <f t="shared" si="103"/>
        <v>1.0763861003861002E-5</v>
      </c>
      <c r="M105" s="83">
        <f t="shared" si="104"/>
        <v>5.2473822393822384E-6</v>
      </c>
      <c r="N105" s="83">
        <f t="shared" si="105"/>
        <v>7.1759073359073361E-8</v>
      </c>
      <c r="O105" s="83">
        <f t="shared" si="106"/>
        <v>5.3127359999999993E-6</v>
      </c>
      <c r="P105" s="83">
        <f t="shared" si="107"/>
        <v>4.1469999999999997E-7</v>
      </c>
      <c r="Q105" s="83">
        <f t="shared" si="108"/>
        <v>4.9067544855780146E-2</v>
      </c>
      <c r="R105" s="83">
        <f t="shared" si="109"/>
        <v>1.1757453739311405</v>
      </c>
      <c r="S105" s="83">
        <f t="shared" si="110"/>
        <v>0</v>
      </c>
      <c r="T105" s="83">
        <f t="shared" si="111"/>
        <v>9.1120266479663398E-2</v>
      </c>
      <c r="U105" s="83">
        <f t="shared" si="112"/>
        <v>5.8765932318873481E-3</v>
      </c>
      <c r="V105" s="83">
        <f t="shared" si="113"/>
        <v>2.3150215761980467E-3</v>
      </c>
      <c r="W105" s="83">
        <f t="shared" si="114"/>
        <v>0.28255135135135134</v>
      </c>
      <c r="X105" s="83">
        <f t="shared" si="115"/>
        <v>0.56510270270270269</v>
      </c>
      <c r="Y105" s="83">
        <f t="shared" si="116"/>
        <v>8.9698841698841695E-8</v>
      </c>
      <c r="Z105" s="83">
        <f t="shared" si="117"/>
        <v>1.0193050193050191E-6</v>
      </c>
      <c r="AA105" s="83">
        <f t="shared" si="118"/>
        <v>1.0193050193050192E-15</v>
      </c>
      <c r="AB105" s="131">
        <f t="shared" si="119"/>
        <v>17.45197179029892</v>
      </c>
    </row>
    <row r="106" spans="1:29">
      <c r="A106" t="s">
        <v>633</v>
      </c>
      <c r="B106">
        <v>4.5</v>
      </c>
      <c r="C106">
        <v>2</v>
      </c>
      <c r="D106">
        <v>1.02</v>
      </c>
      <c r="F106">
        <v>0.11</v>
      </c>
      <c r="H106" s="83">
        <f t="shared" si="100"/>
        <v>2.9200153204633203E-6</v>
      </c>
      <c r="I106" s="83">
        <f t="shared" si="101"/>
        <v>5.855334506570426E-6</v>
      </c>
      <c r="J106" s="83">
        <f t="shared" si="102"/>
        <v>3.2567254270146715E-4</v>
      </c>
      <c r="L106" s="83">
        <f t="shared" si="103"/>
        <v>1.0763861003861002E-5</v>
      </c>
      <c r="M106" s="83">
        <f t="shared" si="104"/>
        <v>5.2473822393822384E-6</v>
      </c>
      <c r="N106" s="83">
        <f t="shared" si="105"/>
        <v>7.1759073359073361E-8</v>
      </c>
      <c r="O106" s="83">
        <f t="shared" si="106"/>
        <v>5.3127359999999993E-6</v>
      </c>
      <c r="P106" s="83">
        <f t="shared" si="107"/>
        <v>4.1469999999999997E-7</v>
      </c>
      <c r="Q106" s="83">
        <f t="shared" si="108"/>
        <v>4.9067544855780146E-2</v>
      </c>
      <c r="R106" s="83">
        <f t="shared" si="109"/>
        <v>1.2113740216260236</v>
      </c>
      <c r="S106" s="83">
        <f t="shared" si="110"/>
        <v>0</v>
      </c>
      <c r="T106" s="83">
        <f t="shared" si="111"/>
        <v>9.3881486676016826E-2</v>
      </c>
      <c r="U106" s="83">
        <f t="shared" si="112"/>
        <v>5.8765932318873481E-3</v>
      </c>
      <c r="V106" s="83">
        <f t="shared" si="113"/>
        <v>2.3150215761980467E-3</v>
      </c>
      <c r="W106" s="83">
        <f t="shared" si="114"/>
        <v>0.28255135135135134</v>
      </c>
      <c r="X106" s="83">
        <f t="shared" si="115"/>
        <v>0.56510270270270269</v>
      </c>
      <c r="Y106" s="83">
        <f t="shared" si="116"/>
        <v>8.9698841698841695E-8</v>
      </c>
      <c r="Z106" s="83">
        <f t="shared" si="117"/>
        <v>1.0193050193050191E-6</v>
      </c>
      <c r="AA106" s="83">
        <f t="shared" si="118"/>
        <v>1.0193050193050192E-15</v>
      </c>
      <c r="AB106" s="131">
        <f t="shared" si="119"/>
        <v>17.468531327638729</v>
      </c>
    </row>
    <row r="107" spans="1:29">
      <c r="A107" t="s">
        <v>624</v>
      </c>
      <c r="B107">
        <v>4.5</v>
      </c>
      <c r="C107">
        <v>2</v>
      </c>
      <c r="D107">
        <v>0</v>
      </c>
      <c r="F107">
        <v>0.11</v>
      </c>
      <c r="H107" s="83">
        <f t="shared" si="100"/>
        <v>2.9200153204633203E-6</v>
      </c>
      <c r="I107" s="83">
        <f t="shared" si="101"/>
        <v>0</v>
      </c>
      <c r="J107" s="83">
        <f t="shared" si="102"/>
        <v>3.2567254270146715E-4</v>
      </c>
      <c r="L107" s="83">
        <f t="shared" si="103"/>
        <v>1.0763861003861002E-5</v>
      </c>
      <c r="M107" s="83">
        <f t="shared" si="104"/>
        <v>5.2473822393822384E-6</v>
      </c>
      <c r="N107" s="83">
        <f t="shared" si="105"/>
        <v>7.1759073359073361E-8</v>
      </c>
      <c r="O107" s="83">
        <f t="shared" si="106"/>
        <v>5.3127359999999993E-6</v>
      </c>
      <c r="P107" s="83">
        <f t="shared" si="107"/>
        <v>4.1469999999999997E-7</v>
      </c>
      <c r="Q107" s="83">
        <f t="shared" si="108"/>
        <v>4.9067544855780146E-2</v>
      </c>
      <c r="R107" s="83">
        <f t="shared" si="109"/>
        <v>0</v>
      </c>
      <c r="S107" s="83">
        <f t="shared" si="110"/>
        <v>0</v>
      </c>
      <c r="T107" s="83">
        <f t="shared" si="111"/>
        <v>0</v>
      </c>
      <c r="U107" s="83">
        <f t="shared" si="112"/>
        <v>5.8765932318873481E-3</v>
      </c>
      <c r="V107" s="83">
        <f t="shared" si="113"/>
        <v>2.3150215761980467E-3</v>
      </c>
      <c r="W107" s="83">
        <f t="shared" si="114"/>
        <v>0.28255135135135134</v>
      </c>
      <c r="X107" s="83">
        <f t="shared" si="115"/>
        <v>0.56510270270270269</v>
      </c>
      <c r="Y107" s="83">
        <f t="shared" si="116"/>
        <v>8.9698841698841695E-8</v>
      </c>
      <c r="Z107" s="83">
        <f t="shared" si="117"/>
        <v>1.0193050193050191E-6</v>
      </c>
      <c r="AA107" s="83">
        <f t="shared" si="118"/>
        <v>1.0193050193050192E-15</v>
      </c>
      <c r="AB107" s="131">
        <f t="shared" si="119"/>
        <v>16.905507058085441</v>
      </c>
    </row>
    <row r="108" spans="1:29">
      <c r="A108" s="44" t="s">
        <v>723</v>
      </c>
      <c r="AB108" s="200"/>
    </row>
    <row r="109" spans="1:29">
      <c r="A109" s="5" t="s">
        <v>634</v>
      </c>
      <c r="B109">
        <v>4.5</v>
      </c>
      <c r="C109">
        <v>2</v>
      </c>
      <c r="D109" s="5">
        <v>3.3000000000000002E-2</v>
      </c>
      <c r="F109">
        <v>0.11</v>
      </c>
      <c r="H109" s="83">
        <f t="shared" ref="H109:H115" si="120">B109*charco2yoll</f>
        <v>2.9200153204633203E-6</v>
      </c>
      <c r="I109" s="83">
        <f t="shared" ref="I109:I115" si="121">D109*NOx_YOLL_Oxidant_charfact/0.62</f>
        <v>1.8943729285963143E-7</v>
      </c>
      <c r="J109" s="83">
        <f t="shared" ref="J109:J115" si="122">F109*PM2.5_YOLL_charfact</f>
        <v>3.2567254270146715E-4</v>
      </c>
      <c r="L109" s="83">
        <f t="shared" ref="L109:L115" si="123">CO2_malnutrition_charfact*B109</f>
        <v>1.0763861003861002E-5</v>
      </c>
      <c r="M109" s="83">
        <f t="shared" ref="M109:M115" si="124">CO2_workingcapacity_charfact*B109</f>
        <v>5.2473822393822384E-6</v>
      </c>
      <c r="N109" s="83">
        <f t="shared" ref="N109:N115" si="125">CO2_diarrhea_charfact*B109</f>
        <v>7.1759073359073361E-8</v>
      </c>
      <c r="O109" s="83">
        <f t="shared" ref="O109:O115" si="126">PM2.5_asthmacases_charfact*F109</f>
        <v>5.3127359999999993E-6</v>
      </c>
      <c r="P109" s="83">
        <f t="shared" ref="P109:P115" si="127">PM2.5_COPD_charfact*F109</f>
        <v>4.1469999999999997E-7</v>
      </c>
      <c r="Q109" s="83">
        <f t="shared" ref="Q109:Q115" si="128">CO2_crop_charfact*B109</f>
        <v>4.9067544855780146E-2</v>
      </c>
      <c r="R109" s="83">
        <f t="shared" ref="R109:R115" si="129">charnoxcrop/0.62*D109</f>
        <v>3.9191512464371352E-2</v>
      </c>
      <c r="S109" s="83">
        <f t="shared" ref="S109:S115" si="130">charco2woodgw*B109</f>
        <v>0</v>
      </c>
      <c r="T109" s="83">
        <f t="shared" ref="T109:T115" si="131">NOx_wood_oxidantcharfact/0.62*D109</f>
        <v>3.03734221598878E-3</v>
      </c>
      <c r="U109" s="83">
        <f t="shared" ref="U109:U115" si="132">CO2_fruitandveg_charfact*B109</f>
        <v>5.8765932318873481E-3</v>
      </c>
      <c r="V109" s="83">
        <f t="shared" ref="V109:V115" si="133">CO2_meatandfish_charfact*B109</f>
        <v>2.3150215761980467E-3</v>
      </c>
      <c r="W109" s="83">
        <f t="shared" ref="W109:W115" si="134">CO2_drinkingwater_charfact*B109</f>
        <v>0.28255135135135134</v>
      </c>
      <c r="X109" s="83">
        <f t="shared" ref="X109:X115" si="135">CO2_irrigationwater_charfact*B109</f>
        <v>0.56510270270270269</v>
      </c>
      <c r="Y109" s="83">
        <f t="shared" ref="Y109:Y115" si="136">CO2_housing_charfact*B109</f>
        <v>8.9698841698841695E-8</v>
      </c>
      <c r="Z109" s="83">
        <f t="shared" ref="Z109:Z115" si="137">CO2_separations_charfact*B109</f>
        <v>1.0193050193050191E-6</v>
      </c>
      <c r="AA109" s="83">
        <f t="shared" ref="AA109:AA115" si="138">CO2_NEX_charfact*B109</f>
        <v>1.0193050193050192E-15</v>
      </c>
      <c r="AB109" s="131">
        <f t="shared" ref="AB109:AB115" si="139">(H109+I109+J109+K109)*YOLLvalue+L109*malnutrition+M109*working_capacity+N109*diarrhea+O109*asthmacasesvalue+P109*COPDvalue+(Q109+R109)*cropvalue+(S109+T109)*woodvalue+U109*Fruitandveg_value+V109*fishandmeatvalue+W109*drinkingwatervalue+X109*irrigationwatervalue+Y109*housingvalue+Z109*migrationvalue+AA109*speciesvalue</f>
        <v>16.923722549159223</v>
      </c>
    </row>
    <row r="110" spans="1:29">
      <c r="A110" t="s">
        <v>708</v>
      </c>
      <c r="B110">
        <v>4.5</v>
      </c>
      <c r="C110">
        <v>2</v>
      </c>
      <c r="D110" s="5">
        <v>6.8000000000000005E-2</v>
      </c>
      <c r="E110">
        <v>1.3</v>
      </c>
      <c r="F110">
        <v>0.11</v>
      </c>
      <c r="H110" s="83">
        <f t="shared" si="120"/>
        <v>2.9200153204633203E-6</v>
      </c>
      <c r="I110" s="83">
        <f t="shared" si="121"/>
        <v>3.9035563377136177E-7</v>
      </c>
      <c r="J110" s="83">
        <f t="shared" si="122"/>
        <v>3.2567254270146715E-4</v>
      </c>
      <c r="L110" s="83">
        <f t="shared" si="123"/>
        <v>1.0763861003861002E-5</v>
      </c>
      <c r="M110" s="83">
        <f t="shared" si="124"/>
        <v>5.2473822393822384E-6</v>
      </c>
      <c r="N110" s="83">
        <f t="shared" si="125"/>
        <v>7.1759073359073361E-8</v>
      </c>
      <c r="O110" s="83">
        <f t="shared" si="126"/>
        <v>5.3127359999999993E-6</v>
      </c>
      <c r="P110" s="83">
        <f t="shared" si="127"/>
        <v>4.1469999999999997E-7</v>
      </c>
      <c r="Q110" s="83">
        <f t="shared" si="128"/>
        <v>4.9067544855780146E-2</v>
      </c>
      <c r="R110" s="83">
        <f t="shared" si="129"/>
        <v>8.0758268108401574E-2</v>
      </c>
      <c r="S110" s="83">
        <f t="shared" si="130"/>
        <v>0</v>
      </c>
      <c r="T110" s="83">
        <f t="shared" si="131"/>
        <v>6.2587657784011225E-3</v>
      </c>
      <c r="U110" s="83">
        <f t="shared" si="132"/>
        <v>5.8765932318873481E-3</v>
      </c>
      <c r="V110" s="83">
        <f t="shared" si="133"/>
        <v>2.3150215761980467E-3</v>
      </c>
      <c r="W110" s="83">
        <f t="shared" si="134"/>
        <v>0.28255135135135134</v>
      </c>
      <c r="X110" s="83">
        <f t="shared" si="135"/>
        <v>0.56510270270270269</v>
      </c>
      <c r="Y110" s="83">
        <f t="shared" si="136"/>
        <v>8.9698841698841695E-8</v>
      </c>
      <c r="Z110" s="83">
        <f t="shared" si="137"/>
        <v>1.0193050193050191E-6</v>
      </c>
      <c r="AA110" s="83">
        <f t="shared" si="138"/>
        <v>1.0193050193050192E-15</v>
      </c>
      <c r="AB110" s="131">
        <f t="shared" si="139"/>
        <v>16.943042009388993</v>
      </c>
    </row>
    <row r="111" spans="1:29">
      <c r="A111" t="s">
        <v>245</v>
      </c>
      <c r="B111">
        <v>4.5</v>
      </c>
      <c r="C111">
        <v>2</v>
      </c>
      <c r="D111">
        <v>0.24</v>
      </c>
      <c r="E111">
        <v>2</v>
      </c>
      <c r="F111">
        <v>0.11</v>
      </c>
      <c r="H111" s="83">
        <f t="shared" si="120"/>
        <v>2.9200153204633203E-6</v>
      </c>
      <c r="I111" s="83">
        <f t="shared" si="121"/>
        <v>1.3777257662518649E-6</v>
      </c>
      <c r="J111" s="83">
        <f t="shared" si="122"/>
        <v>3.2567254270146715E-4</v>
      </c>
      <c r="L111" s="83">
        <f t="shared" si="123"/>
        <v>1.0763861003861002E-5</v>
      </c>
      <c r="M111" s="83">
        <f t="shared" si="124"/>
        <v>5.2473822393822384E-6</v>
      </c>
      <c r="N111" s="83">
        <f t="shared" si="125"/>
        <v>7.1759073359073361E-8</v>
      </c>
      <c r="O111" s="83">
        <f t="shared" si="126"/>
        <v>5.3127359999999993E-6</v>
      </c>
      <c r="P111" s="83">
        <f t="shared" si="127"/>
        <v>4.1469999999999997E-7</v>
      </c>
      <c r="Q111" s="83">
        <f t="shared" si="128"/>
        <v>4.9067544855780146E-2</v>
      </c>
      <c r="R111" s="83">
        <f t="shared" si="129"/>
        <v>0.28502918155906437</v>
      </c>
      <c r="S111" s="83">
        <f t="shared" si="130"/>
        <v>0</v>
      </c>
      <c r="T111" s="83">
        <f t="shared" si="131"/>
        <v>2.2089761570827489E-2</v>
      </c>
      <c r="U111" s="83">
        <f t="shared" si="132"/>
        <v>5.8765932318873481E-3</v>
      </c>
      <c r="V111" s="83">
        <f t="shared" si="133"/>
        <v>2.3150215761980467E-3</v>
      </c>
      <c r="W111" s="83">
        <f t="shared" si="134"/>
        <v>0.28255135135135134</v>
      </c>
      <c r="X111" s="83">
        <f t="shared" si="135"/>
        <v>0.56510270270270269</v>
      </c>
      <c r="Y111" s="83">
        <f t="shared" si="136"/>
        <v>8.9698841698841695E-8</v>
      </c>
      <c r="Z111" s="83">
        <f t="shared" si="137"/>
        <v>1.0193050193050191E-6</v>
      </c>
      <c r="AA111" s="83">
        <f t="shared" si="138"/>
        <v>1.0193050193050192E-15</v>
      </c>
      <c r="AB111" s="131">
        <f t="shared" si="139"/>
        <v>17.037983356803856</v>
      </c>
    </row>
    <row r="112" spans="1:29">
      <c r="A112" t="s">
        <v>731</v>
      </c>
      <c r="B112">
        <v>4.5</v>
      </c>
      <c r="C112">
        <v>2</v>
      </c>
      <c r="D112">
        <v>0.28999999999999998</v>
      </c>
      <c r="F112">
        <v>0.11</v>
      </c>
      <c r="H112" s="83">
        <f t="shared" si="120"/>
        <v>2.9200153204633203E-6</v>
      </c>
      <c r="I112" s="83">
        <f t="shared" si="121"/>
        <v>1.6647519675543365E-6</v>
      </c>
      <c r="J112" s="83">
        <f t="shared" si="122"/>
        <v>3.2567254270146715E-4</v>
      </c>
      <c r="L112" s="83">
        <f t="shared" si="123"/>
        <v>1.0763861003861002E-5</v>
      </c>
      <c r="M112" s="83">
        <f t="shared" si="124"/>
        <v>5.2473822393822384E-6</v>
      </c>
      <c r="N112" s="83">
        <f t="shared" si="125"/>
        <v>7.1759073359073361E-8</v>
      </c>
      <c r="O112" s="83">
        <f t="shared" si="126"/>
        <v>5.3127359999999993E-6</v>
      </c>
      <c r="P112" s="83">
        <f t="shared" si="127"/>
        <v>4.1469999999999997E-7</v>
      </c>
      <c r="Q112" s="83">
        <f t="shared" si="128"/>
        <v>4.9067544855780146E-2</v>
      </c>
      <c r="R112" s="83">
        <f t="shared" si="129"/>
        <v>0.34441026105053607</v>
      </c>
      <c r="S112" s="83">
        <f t="shared" si="130"/>
        <v>0</v>
      </c>
      <c r="T112" s="83">
        <f t="shared" si="131"/>
        <v>2.669179523141655E-2</v>
      </c>
      <c r="U112" s="83">
        <f t="shared" si="132"/>
        <v>5.8765932318873481E-3</v>
      </c>
      <c r="V112" s="83">
        <f t="shared" si="133"/>
        <v>2.3150215761980467E-3</v>
      </c>
      <c r="W112" s="83">
        <f t="shared" si="134"/>
        <v>0.28255135135135134</v>
      </c>
      <c r="X112" s="83">
        <f t="shared" si="135"/>
        <v>0.56510270270270269</v>
      </c>
      <c r="Y112" s="83">
        <f t="shared" si="136"/>
        <v>8.9698841698841695E-8</v>
      </c>
      <c r="Z112" s="83">
        <f t="shared" si="137"/>
        <v>1.0193050193050191E-6</v>
      </c>
      <c r="AA112" s="83">
        <f t="shared" si="138"/>
        <v>1.0193050193050192E-15</v>
      </c>
      <c r="AB112" s="131">
        <f t="shared" si="139"/>
        <v>17.065582585703531</v>
      </c>
    </row>
    <row r="113" spans="1:30">
      <c r="A113" s="5" t="s">
        <v>732</v>
      </c>
      <c r="B113">
        <v>4.5</v>
      </c>
      <c r="C113">
        <v>2</v>
      </c>
      <c r="D113">
        <v>0.21</v>
      </c>
      <c r="F113">
        <v>0.11</v>
      </c>
      <c r="H113" s="83">
        <f t="shared" si="120"/>
        <v>2.9200153204633203E-6</v>
      </c>
      <c r="I113" s="83">
        <f t="shared" si="121"/>
        <v>1.2055100454703818E-6</v>
      </c>
      <c r="J113" s="83">
        <f t="shared" si="122"/>
        <v>3.2567254270146715E-4</v>
      </c>
      <c r="L113" s="83">
        <f t="shared" si="123"/>
        <v>1.0763861003861002E-5</v>
      </c>
      <c r="M113" s="83">
        <f t="shared" si="124"/>
        <v>5.2473822393822384E-6</v>
      </c>
      <c r="N113" s="83">
        <f t="shared" si="125"/>
        <v>7.1759073359073361E-8</v>
      </c>
      <c r="O113" s="83">
        <f t="shared" si="126"/>
        <v>5.3127359999999993E-6</v>
      </c>
      <c r="P113" s="83">
        <f t="shared" si="127"/>
        <v>4.1469999999999997E-7</v>
      </c>
      <c r="Q113" s="83">
        <f t="shared" si="128"/>
        <v>4.9067544855780146E-2</v>
      </c>
      <c r="R113" s="83">
        <f t="shared" si="129"/>
        <v>0.24940053386418132</v>
      </c>
      <c r="S113" s="83">
        <f t="shared" si="130"/>
        <v>0</v>
      </c>
      <c r="T113" s="83">
        <f t="shared" si="131"/>
        <v>1.9328541374474054E-2</v>
      </c>
      <c r="U113" s="83">
        <f t="shared" si="132"/>
        <v>5.8765932318873481E-3</v>
      </c>
      <c r="V113" s="83">
        <f t="shared" si="133"/>
        <v>2.3150215761980467E-3</v>
      </c>
      <c r="W113" s="83">
        <f t="shared" si="134"/>
        <v>0.28255135135135134</v>
      </c>
      <c r="X113" s="83">
        <f t="shared" si="135"/>
        <v>0.56510270270270269</v>
      </c>
      <c r="Y113" s="83">
        <f t="shared" si="136"/>
        <v>8.9698841698841695E-8</v>
      </c>
      <c r="Z113" s="83">
        <f t="shared" si="137"/>
        <v>1.0193050193050191E-6</v>
      </c>
      <c r="AA113" s="83">
        <f t="shared" si="138"/>
        <v>1.0193050193050192E-15</v>
      </c>
      <c r="AB113" s="131">
        <f t="shared" si="139"/>
        <v>17.021423819464058</v>
      </c>
    </row>
    <row r="114" spans="1:30">
      <c r="A114" t="s">
        <v>246</v>
      </c>
      <c r="B114">
        <v>4.5</v>
      </c>
      <c r="C114">
        <v>2</v>
      </c>
      <c r="D114">
        <v>0.44</v>
      </c>
      <c r="F114">
        <v>0.11</v>
      </c>
      <c r="H114" s="83">
        <f t="shared" si="120"/>
        <v>2.9200153204633203E-6</v>
      </c>
      <c r="I114" s="83">
        <f t="shared" si="121"/>
        <v>2.5258305714617525E-6</v>
      </c>
      <c r="J114" s="83">
        <f t="shared" si="122"/>
        <v>3.2567254270146715E-4</v>
      </c>
      <c r="L114" s="83">
        <f t="shared" si="123"/>
        <v>1.0763861003861002E-5</v>
      </c>
      <c r="M114" s="83">
        <f t="shared" si="124"/>
        <v>5.2473822393822384E-6</v>
      </c>
      <c r="N114" s="83">
        <f t="shared" si="125"/>
        <v>7.1759073359073361E-8</v>
      </c>
      <c r="O114" s="83">
        <f t="shared" si="126"/>
        <v>5.3127359999999993E-6</v>
      </c>
      <c r="P114" s="83">
        <f t="shared" si="127"/>
        <v>4.1469999999999997E-7</v>
      </c>
      <c r="Q114" s="83">
        <f t="shared" si="128"/>
        <v>4.9067544855780146E-2</v>
      </c>
      <c r="R114" s="83">
        <f t="shared" si="129"/>
        <v>0.52255349952495134</v>
      </c>
      <c r="S114" s="83">
        <f t="shared" si="130"/>
        <v>0</v>
      </c>
      <c r="T114" s="83">
        <f t="shared" si="131"/>
        <v>4.0497896213183733E-2</v>
      </c>
      <c r="U114" s="83">
        <f t="shared" si="132"/>
        <v>5.8765932318873481E-3</v>
      </c>
      <c r="V114" s="83">
        <f t="shared" si="133"/>
        <v>2.3150215761980467E-3</v>
      </c>
      <c r="W114" s="83">
        <f t="shared" si="134"/>
        <v>0.28255135135135134</v>
      </c>
      <c r="X114" s="83">
        <f t="shared" si="135"/>
        <v>0.56510270270270269</v>
      </c>
      <c r="Y114" s="83">
        <f t="shared" si="136"/>
        <v>8.9698841698841695E-8</v>
      </c>
      <c r="Z114" s="83">
        <f t="shared" si="137"/>
        <v>1.0193050193050191E-6</v>
      </c>
      <c r="AA114" s="83">
        <f t="shared" si="138"/>
        <v>1.0193050193050192E-15</v>
      </c>
      <c r="AB114" s="131">
        <f t="shared" si="139"/>
        <v>17.148380272402541</v>
      </c>
    </row>
    <row r="115" spans="1:30">
      <c r="A115" t="s">
        <v>636</v>
      </c>
      <c r="B115">
        <v>4.5</v>
      </c>
      <c r="C115">
        <v>2</v>
      </c>
      <c r="D115">
        <v>0.3</v>
      </c>
      <c r="F115">
        <v>0.11</v>
      </c>
      <c r="H115" s="83">
        <f t="shared" si="120"/>
        <v>2.9200153204633203E-6</v>
      </c>
      <c r="I115" s="83">
        <f t="shared" si="121"/>
        <v>1.722157207814831E-6</v>
      </c>
      <c r="J115" s="83">
        <f t="shared" si="122"/>
        <v>3.2567254270146715E-4</v>
      </c>
      <c r="L115" s="83">
        <f t="shared" si="123"/>
        <v>1.0763861003861002E-5</v>
      </c>
      <c r="M115" s="83">
        <f t="shared" si="124"/>
        <v>5.2473822393822384E-6</v>
      </c>
      <c r="N115" s="83">
        <f t="shared" si="125"/>
        <v>7.1759073359073361E-8</v>
      </c>
      <c r="O115" s="83">
        <f t="shared" si="126"/>
        <v>5.3127359999999993E-6</v>
      </c>
      <c r="P115" s="83">
        <f t="shared" si="127"/>
        <v>4.1469999999999997E-7</v>
      </c>
      <c r="Q115" s="83">
        <f t="shared" si="128"/>
        <v>4.9067544855780146E-2</v>
      </c>
      <c r="R115" s="83">
        <f t="shared" si="129"/>
        <v>0.35628647694883048</v>
      </c>
      <c r="S115" s="83">
        <f t="shared" si="130"/>
        <v>0</v>
      </c>
      <c r="T115" s="83">
        <f t="shared" si="131"/>
        <v>2.7612201963534363E-2</v>
      </c>
      <c r="U115" s="83">
        <f t="shared" si="132"/>
        <v>5.8765932318873481E-3</v>
      </c>
      <c r="V115" s="83">
        <f t="shared" si="133"/>
        <v>2.3150215761980467E-3</v>
      </c>
      <c r="W115" s="83">
        <f t="shared" si="134"/>
        <v>0.28255135135135134</v>
      </c>
      <c r="X115" s="83">
        <f t="shared" si="135"/>
        <v>0.56510270270270269</v>
      </c>
      <c r="Y115" s="83">
        <f t="shared" si="136"/>
        <v>8.9698841698841695E-8</v>
      </c>
      <c r="Z115" s="83">
        <f t="shared" si="137"/>
        <v>1.0193050193050191E-6</v>
      </c>
      <c r="AA115" s="83">
        <f t="shared" si="138"/>
        <v>1.0193050193050192E-15</v>
      </c>
      <c r="AB115" s="131">
        <f t="shared" si="139"/>
        <v>17.071102431483464</v>
      </c>
    </row>
    <row r="116" spans="1:30">
      <c r="A116" s="44" t="s">
        <v>724</v>
      </c>
      <c r="AB116" s="200"/>
    </row>
    <row r="117" spans="1:30">
      <c r="A117" t="s">
        <v>244</v>
      </c>
      <c r="B117">
        <v>4.5</v>
      </c>
      <c r="C117">
        <v>2</v>
      </c>
      <c r="D117">
        <v>0.33</v>
      </c>
      <c r="F117">
        <v>0.11</v>
      </c>
      <c r="H117" s="83">
        <f>B117*charco2yoll</f>
        <v>2.9200153204633203E-6</v>
      </c>
      <c r="I117" s="83">
        <f>D117*NOx_YOLL_Oxidant_charfact/0.62</f>
        <v>1.894372928596314E-6</v>
      </c>
      <c r="J117" s="83">
        <f>F117*PM2.5_YOLL_charfact</f>
        <v>3.2567254270146715E-4</v>
      </c>
      <c r="L117" s="83">
        <f>CO2_malnutrition_charfact*B117</f>
        <v>1.0763861003861002E-5</v>
      </c>
      <c r="M117" s="83">
        <f>CO2_workingcapacity_charfact*B117</f>
        <v>5.2473822393822384E-6</v>
      </c>
      <c r="N117" s="83">
        <f>CO2_diarrhea_charfact*B117</f>
        <v>7.1759073359073361E-8</v>
      </c>
      <c r="O117" s="83">
        <f>PM2.5_asthmacases_charfact*F117</f>
        <v>5.3127359999999993E-6</v>
      </c>
      <c r="P117" s="83">
        <f>PM2.5_COPD_charfact*F117</f>
        <v>4.1469999999999997E-7</v>
      </c>
      <c r="Q117" s="83">
        <f>CO2_crop_charfact*B117</f>
        <v>4.9067544855780146E-2</v>
      </c>
      <c r="R117" s="83">
        <f>charnoxcrop/0.62*D117</f>
        <v>0.39191512464371353</v>
      </c>
      <c r="S117" s="83">
        <f>charco2woodgw*B117</f>
        <v>0</v>
      </c>
      <c r="T117" s="83">
        <f>NOx_wood_oxidantcharfact/0.62*D117</f>
        <v>3.0373422159887798E-2</v>
      </c>
      <c r="U117" s="83">
        <f>CO2_fruitandveg_charfact*B117</f>
        <v>5.8765932318873481E-3</v>
      </c>
      <c r="V117" s="83">
        <f>CO2_meatandfish_charfact*B117</f>
        <v>2.3150215761980467E-3</v>
      </c>
      <c r="W117" s="83">
        <f>CO2_drinkingwater_charfact*B117</f>
        <v>0.28255135135135134</v>
      </c>
      <c r="X117" s="83">
        <f>CO2_irrigationwater_charfact*B117</f>
        <v>0.56510270270270269</v>
      </c>
      <c r="Y117" s="83">
        <f>CO2_housing_charfact*B117</f>
        <v>8.9698841698841695E-8</v>
      </c>
      <c r="Z117" s="83">
        <f>CO2_separations_charfact*B117</f>
        <v>1.0193050193050191E-6</v>
      </c>
      <c r="AA117" s="83">
        <f>CO2_NEX_charfact*B117</f>
        <v>1.0193050193050192E-15</v>
      </c>
      <c r="AB117" s="131">
        <f>(H117+I117+J117+K117)*YOLLvalue+L117*malnutrition+M117*working_capacity+N117*diarrhea+O117*asthmacasesvalue+P117*COPDvalue+(Q117+R117)*cropvalue+(S117+T117)*woodvalue+U117*Fruitandveg_value+V117*fishandmeatvalue+W117*drinkingwatervalue+X117*irrigationwatervalue+Y117*housingvalue+Z117*migrationvalue+AA117*speciesvalue</f>
        <v>17.087661968823266</v>
      </c>
    </row>
    <row r="118" spans="1:30">
      <c r="A118" t="s">
        <v>709</v>
      </c>
      <c r="B118">
        <v>4.5</v>
      </c>
      <c r="C118">
        <v>2</v>
      </c>
      <c r="D118">
        <v>0.52</v>
      </c>
      <c r="F118">
        <v>0.11</v>
      </c>
      <c r="H118" s="83">
        <f>B118*charco2yoll</f>
        <v>2.9200153204633203E-6</v>
      </c>
      <c r="I118" s="83">
        <f>D118*NOx_YOLL_Oxidant_charfact/0.62</f>
        <v>2.9850724935457074E-6</v>
      </c>
      <c r="J118" s="83">
        <f>F118*PM2.5_YOLL_charfact</f>
        <v>3.2567254270146715E-4</v>
      </c>
      <c r="L118" s="83">
        <f>CO2_malnutrition_charfact*B118</f>
        <v>1.0763861003861002E-5</v>
      </c>
      <c r="M118" s="83">
        <f>CO2_workingcapacity_charfact*B118</f>
        <v>5.2473822393822384E-6</v>
      </c>
      <c r="N118" s="83">
        <f>CO2_diarrhea_charfact*B118</f>
        <v>7.1759073359073361E-8</v>
      </c>
      <c r="O118" s="83">
        <f>PM2.5_asthmacases_charfact*F118</f>
        <v>5.3127359999999993E-6</v>
      </c>
      <c r="P118" s="83">
        <f>PM2.5_COPD_charfact*F118</f>
        <v>4.1469999999999997E-7</v>
      </c>
      <c r="Q118" s="83">
        <f>CO2_crop_charfact*B118</f>
        <v>4.9067544855780146E-2</v>
      </c>
      <c r="R118" s="83">
        <f>charnoxcrop/0.62*D118</f>
        <v>0.61756322671130615</v>
      </c>
      <c r="S118" s="83">
        <f>charco2woodgw*B118</f>
        <v>0</v>
      </c>
      <c r="T118" s="83">
        <f>NOx_wood_oxidantcharfact/0.62*D118</f>
        <v>4.7861150070126229E-2</v>
      </c>
      <c r="U118" s="83">
        <f>CO2_fruitandveg_charfact*B118</f>
        <v>5.8765932318873481E-3</v>
      </c>
      <c r="V118" s="83">
        <f>CO2_meatandfish_charfact*B118</f>
        <v>2.3150215761980467E-3</v>
      </c>
      <c r="W118" s="83">
        <f>CO2_drinkingwater_charfact*B118</f>
        <v>0.28255135135135134</v>
      </c>
      <c r="X118" s="83">
        <f>CO2_irrigationwater_charfact*B118</f>
        <v>0.56510270270270269</v>
      </c>
      <c r="Y118" s="83">
        <f>CO2_housing_charfact*B118</f>
        <v>8.9698841698841695E-8</v>
      </c>
      <c r="Z118" s="83">
        <f>CO2_separations_charfact*B118</f>
        <v>1.0193050193050191E-6</v>
      </c>
      <c r="AA118" s="83">
        <f>CO2_NEX_charfact*B118</f>
        <v>1.0193050193050192E-15</v>
      </c>
      <c r="AB118" s="131">
        <f>(H118+I118+J118+K118)*YOLLvalue+L118*malnutrition+M118*working_capacity+N118*diarrhea+O118*asthmacasesvalue+P118*COPDvalue+(Q118+R118)*cropvalue+(S118+T118)*woodvalue+U118*Fruitandveg_value+V118*fishandmeatvalue+W118*drinkingwatervalue+X118*irrigationwatervalue+Y118*housingvalue+Z118*migrationvalue+AA118*speciesvalue</f>
        <v>17.192539038642014</v>
      </c>
    </row>
    <row r="119" spans="1:30">
      <c r="A119" t="s">
        <v>710</v>
      </c>
      <c r="B119">
        <v>4.5</v>
      </c>
      <c r="C119">
        <v>2</v>
      </c>
      <c r="D119">
        <v>0.49</v>
      </c>
      <c r="F119">
        <v>0.11</v>
      </c>
      <c r="H119" s="83">
        <f>B119*charco2yoll</f>
        <v>2.9200153204633203E-6</v>
      </c>
      <c r="I119" s="83">
        <f>D119*NOx_YOLL_Oxidant_charfact/0.62</f>
        <v>2.8128567727642237E-6</v>
      </c>
      <c r="J119" s="83">
        <f>F119*PM2.5_YOLL_charfact</f>
        <v>3.2567254270146715E-4</v>
      </c>
      <c r="L119" s="83">
        <f>CO2_malnutrition_charfact*B119</f>
        <v>1.0763861003861002E-5</v>
      </c>
      <c r="M119" s="83">
        <f>CO2_workingcapacity_charfact*B119</f>
        <v>5.2473822393822384E-6</v>
      </c>
      <c r="N119" s="83">
        <f>CO2_diarrhea_charfact*B119</f>
        <v>7.1759073359073361E-8</v>
      </c>
      <c r="O119" s="83">
        <f>PM2.5_asthmacases_charfact*F119</f>
        <v>5.3127359999999993E-6</v>
      </c>
      <c r="P119" s="83">
        <f>PM2.5_COPD_charfact*F119</f>
        <v>4.1469999999999997E-7</v>
      </c>
      <c r="Q119" s="83">
        <f>CO2_crop_charfact*B119</f>
        <v>4.9067544855780146E-2</v>
      </c>
      <c r="R119" s="83">
        <f>charnoxcrop/0.62*D119</f>
        <v>0.58193457901642309</v>
      </c>
      <c r="S119" s="83">
        <f>charco2woodgw*B119</f>
        <v>0</v>
      </c>
      <c r="T119" s="83">
        <f>NOx_wood_oxidantcharfact/0.62*D119</f>
        <v>4.5099929873772794E-2</v>
      </c>
      <c r="U119" s="83">
        <f>CO2_fruitandveg_charfact*B119</f>
        <v>5.8765932318873481E-3</v>
      </c>
      <c r="V119" s="83">
        <f>CO2_meatandfish_charfact*B119</f>
        <v>2.3150215761980467E-3</v>
      </c>
      <c r="W119" s="83">
        <f>CO2_drinkingwater_charfact*B119</f>
        <v>0.28255135135135134</v>
      </c>
      <c r="X119" s="83">
        <f>CO2_irrigationwater_charfact*B119</f>
        <v>0.56510270270270269</v>
      </c>
      <c r="Y119" s="83">
        <f>CO2_housing_charfact*B119</f>
        <v>8.9698841698841695E-8</v>
      </c>
      <c r="Z119" s="83">
        <f>CO2_separations_charfact*B119</f>
        <v>1.0193050193050191E-6</v>
      </c>
      <c r="AA119" s="83">
        <f>CO2_NEX_charfact*B119</f>
        <v>1.0193050193050192E-15</v>
      </c>
      <c r="AB119" s="131">
        <f>(H119+I119+J119+K119)*YOLLvalue+L119*malnutrition+M119*working_capacity+N119*diarrhea+O119*asthmacasesvalue+P119*COPDvalue+(Q119+R119)*cropvalue+(S119+T119)*woodvalue+U119*Fruitandveg_value+V119*fishandmeatvalue+W119*drinkingwatervalue+X119*irrigationwatervalue+Y119*housingvalue+Z119*migrationvalue+AA119*speciesvalue</f>
        <v>17.175979501302216</v>
      </c>
    </row>
    <row r="120" spans="1:30">
      <c r="A120" t="s">
        <v>627</v>
      </c>
      <c r="B120">
        <v>4.5</v>
      </c>
      <c r="C120">
        <v>2</v>
      </c>
      <c r="D120">
        <v>0.47599999999999998</v>
      </c>
      <c r="F120">
        <v>0.11</v>
      </c>
      <c r="H120" s="83">
        <f>B120*charco2yoll</f>
        <v>2.9200153204633203E-6</v>
      </c>
      <c r="I120" s="83">
        <f>D120*NOx_YOLL_Oxidant_charfact/0.62</f>
        <v>2.7324894363995318E-6</v>
      </c>
      <c r="J120" s="83">
        <f>F120*PM2.5_YOLL_charfact</f>
        <v>3.2567254270146715E-4</v>
      </c>
      <c r="L120" s="83">
        <f>CO2_malnutrition_charfact*B120</f>
        <v>1.0763861003861002E-5</v>
      </c>
      <c r="M120" s="83">
        <f>CO2_workingcapacity_charfact*B120</f>
        <v>5.2473822393822384E-6</v>
      </c>
      <c r="N120" s="83">
        <f>CO2_diarrhea_charfact*B120</f>
        <v>7.1759073359073361E-8</v>
      </c>
      <c r="O120" s="83">
        <f>PM2.5_asthmacases_charfact*F120</f>
        <v>5.3127359999999993E-6</v>
      </c>
      <c r="P120" s="83">
        <f>PM2.5_COPD_charfact*F120</f>
        <v>4.1469999999999997E-7</v>
      </c>
      <c r="Q120" s="83">
        <f>CO2_crop_charfact*B120</f>
        <v>4.9067544855780146E-2</v>
      </c>
      <c r="R120" s="83">
        <f>charnoxcrop/0.62*D120</f>
        <v>0.565307876758811</v>
      </c>
      <c r="S120" s="83">
        <f>charco2woodgw*B120</f>
        <v>0</v>
      </c>
      <c r="T120" s="83">
        <f>NOx_wood_oxidantcharfact/0.62*D120</f>
        <v>4.3811360448807853E-2</v>
      </c>
      <c r="U120" s="83">
        <f>CO2_fruitandveg_charfact*B120</f>
        <v>5.8765932318873481E-3</v>
      </c>
      <c r="V120" s="83">
        <f>CO2_meatandfish_charfact*B120</f>
        <v>2.3150215761980467E-3</v>
      </c>
      <c r="W120" s="83">
        <f>CO2_drinkingwater_charfact*B120</f>
        <v>0.28255135135135134</v>
      </c>
      <c r="X120" s="83">
        <f>CO2_irrigationwater_charfact*B120</f>
        <v>0.56510270270270269</v>
      </c>
      <c r="Y120" s="83">
        <f>CO2_housing_charfact*B120</f>
        <v>8.9698841698841695E-8</v>
      </c>
      <c r="Z120" s="83">
        <f>CO2_separations_charfact*B120</f>
        <v>1.0193050193050191E-6</v>
      </c>
      <c r="AA120" s="83">
        <f>CO2_NEX_charfact*B120</f>
        <v>1.0193050193050192E-15</v>
      </c>
      <c r="AB120" s="131">
        <f>(H120+I120+J120+K120)*YOLLvalue+L120*malnutrition+M120*working_capacity+N120*diarrhea+O120*asthmacasesvalue+P120*COPDvalue+(Q120+R120)*cropvalue+(S120+T120)*woodvalue+U120*Fruitandveg_value+V120*fishandmeatvalue+W120*drinkingwatervalue+X120*irrigationwatervalue+Y120*housingvalue+Z120*migrationvalue+AA120*speciesvalue</f>
        <v>17.16825171721031</v>
      </c>
    </row>
    <row r="121" spans="1:30">
      <c r="A121" t="s">
        <v>712</v>
      </c>
      <c r="B121">
        <v>4.5</v>
      </c>
      <c r="C121">
        <v>2</v>
      </c>
      <c r="D121">
        <v>0.214</v>
      </c>
      <c r="F121">
        <v>0.11</v>
      </c>
      <c r="H121" s="83">
        <f>B121*charco2yoll</f>
        <v>2.9200153204633203E-6</v>
      </c>
      <c r="I121" s="83">
        <f>D121*NOx_YOLL_Oxidant_charfact/0.62</f>
        <v>1.2284721415745795E-6</v>
      </c>
      <c r="J121" s="83">
        <f>F121*PM2.5_YOLL_charfact</f>
        <v>3.2567254270146715E-4</v>
      </c>
      <c r="L121" s="83">
        <f>CO2_malnutrition_charfact*B121</f>
        <v>1.0763861003861002E-5</v>
      </c>
      <c r="M121" s="83">
        <f>CO2_workingcapacity_charfact*B121</f>
        <v>5.2473822393822384E-6</v>
      </c>
      <c r="N121" s="83">
        <f>CO2_diarrhea_charfact*B121</f>
        <v>7.1759073359073361E-8</v>
      </c>
      <c r="O121" s="83">
        <f>PM2.5_asthmacases_charfact*F121</f>
        <v>5.3127359999999993E-6</v>
      </c>
      <c r="P121" s="83">
        <f>PM2.5_COPD_charfact*F121</f>
        <v>4.1469999999999997E-7</v>
      </c>
      <c r="Q121" s="83">
        <f>CO2_crop_charfact*B121</f>
        <v>4.9067544855780146E-2</v>
      </c>
      <c r="R121" s="83">
        <f>charnoxcrop/0.62*D121</f>
        <v>0.25415102022349906</v>
      </c>
      <c r="S121" s="83">
        <f>charco2woodgw*B121</f>
        <v>0</v>
      </c>
      <c r="T121" s="83">
        <f>NOx_wood_oxidantcharfact/0.62*D121</f>
        <v>1.9696704067321179E-2</v>
      </c>
      <c r="U121" s="83">
        <f>CO2_fruitandveg_charfact*B121</f>
        <v>5.8765932318873481E-3</v>
      </c>
      <c r="V121" s="83">
        <f>CO2_meatandfish_charfact*B121</f>
        <v>2.3150215761980467E-3</v>
      </c>
      <c r="W121" s="83">
        <f>CO2_drinkingwater_charfact*B121</f>
        <v>0.28255135135135134</v>
      </c>
      <c r="X121" s="83">
        <f>CO2_irrigationwater_charfact*B121</f>
        <v>0.56510270270270269</v>
      </c>
      <c r="Y121" s="83">
        <f>CO2_housing_charfact*B121</f>
        <v>8.9698841698841695E-8</v>
      </c>
      <c r="Z121" s="83">
        <f>CO2_separations_charfact*B121</f>
        <v>1.0193050193050191E-6</v>
      </c>
      <c r="AA121" s="83">
        <f>CO2_NEX_charfact*B121</f>
        <v>1.0193050193050192E-15</v>
      </c>
      <c r="AB121" s="131">
        <f>(H121+I121+J121+K121)*YOLLvalue+L121*malnutrition+M121*working_capacity+N121*diarrhea+O121*asthmacasesvalue+P121*COPDvalue+(Q121+R121)*cropvalue+(S121+T121)*woodvalue+U121*Fruitandveg_value+V121*fishandmeatvalue+W121*drinkingwatervalue+X121*irrigationwatervalue+Y121*housingvalue+Z121*migrationvalue+AA121*speciesvalue</f>
        <v>17.02363175777603</v>
      </c>
    </row>
    <row r="122" spans="1:30">
      <c r="A122" s="44" t="s">
        <v>725</v>
      </c>
      <c r="AB122" s="200"/>
    </row>
    <row r="123" spans="1:30">
      <c r="A123" s="5" t="s">
        <v>726</v>
      </c>
      <c r="B123">
        <v>4.5</v>
      </c>
      <c r="C123">
        <v>2</v>
      </c>
      <c r="D123">
        <v>0.3</v>
      </c>
      <c r="F123">
        <v>0.11</v>
      </c>
      <c r="H123" s="83">
        <f>B123*charco2yoll</f>
        <v>2.9200153204633203E-6</v>
      </c>
      <c r="I123" s="83">
        <f>D123*NOx_YOLL_Oxidant_charfact/0.62</f>
        <v>1.722157207814831E-6</v>
      </c>
      <c r="J123" s="83">
        <f>F123*PM2.5_YOLL_charfact</f>
        <v>3.2567254270146715E-4</v>
      </c>
      <c r="L123" s="83">
        <f>CO2_malnutrition_charfact*B123</f>
        <v>1.0763861003861002E-5</v>
      </c>
      <c r="M123" s="83">
        <f>CO2_workingcapacity_charfact*B123</f>
        <v>5.2473822393822384E-6</v>
      </c>
      <c r="N123" s="83">
        <f>CO2_diarrhea_charfact*B123</f>
        <v>7.1759073359073361E-8</v>
      </c>
      <c r="O123" s="83">
        <f>PM2.5_asthmacases_charfact*F123</f>
        <v>5.3127359999999993E-6</v>
      </c>
      <c r="P123" s="83">
        <f>PM2.5_COPD_charfact*F123</f>
        <v>4.1469999999999997E-7</v>
      </c>
      <c r="Q123" s="83">
        <f>CO2_crop_charfact*B123</f>
        <v>4.9067544855780146E-2</v>
      </c>
      <c r="R123" s="83">
        <f>charnoxcrop/0.62*D123</f>
        <v>0.35628647694883048</v>
      </c>
      <c r="S123" s="83">
        <f>charco2woodgw*B123</f>
        <v>0</v>
      </c>
      <c r="T123" s="83">
        <f>NOx_wood_oxidantcharfact/0.62*D123</f>
        <v>2.7612201963534363E-2</v>
      </c>
      <c r="U123" s="83">
        <f>CO2_fruitandveg_charfact*B123</f>
        <v>5.8765932318873481E-3</v>
      </c>
      <c r="V123" s="83">
        <f>CO2_meatandfish_charfact*B123</f>
        <v>2.3150215761980467E-3</v>
      </c>
      <c r="W123" s="83">
        <f>CO2_drinkingwater_charfact*B123</f>
        <v>0.28255135135135134</v>
      </c>
      <c r="X123" s="83">
        <f>CO2_irrigationwater_charfact*B123</f>
        <v>0.56510270270270269</v>
      </c>
      <c r="Y123" s="83">
        <f>CO2_housing_charfact*B123</f>
        <v>8.9698841698841695E-8</v>
      </c>
      <c r="Z123" s="83">
        <f>CO2_separations_charfact*B123</f>
        <v>1.0193050193050191E-6</v>
      </c>
      <c r="AA123" s="83">
        <f>CO2_NEX_charfact*B123</f>
        <v>1.0193050193050192E-15</v>
      </c>
      <c r="AB123" s="131">
        <f>(H123+I123+J123+K123)*YOLLvalue+L123*malnutrition+M123*working_capacity+N123*diarrhea+O123*asthmacasesvalue+P123*COPDvalue+(Q123+R123)*cropvalue+(S123+T123)*woodvalue+U123*Fruitandveg_value+V123*fishandmeatvalue+W123*drinkingwatervalue+X123*irrigationwatervalue+Y123*housingvalue+Z123*migrationvalue+AA123*speciesvalue</f>
        <v>17.071102431483464</v>
      </c>
    </row>
    <row r="124" spans="1:30">
      <c r="A124" s="5" t="s">
        <v>727</v>
      </c>
      <c r="B124">
        <v>4.5</v>
      </c>
      <c r="C124">
        <v>2</v>
      </c>
      <c r="D124">
        <v>0.38700000000000001</v>
      </c>
      <c r="F124">
        <v>0.11</v>
      </c>
      <c r="H124" s="83">
        <f>B124*charco2yoll</f>
        <v>2.9200153204633203E-6</v>
      </c>
      <c r="I124" s="83">
        <f>D124*NOx_YOLL_Oxidant_charfact/0.62</f>
        <v>2.2215827980811323E-6</v>
      </c>
      <c r="J124" s="83">
        <f>F124*PM2.5_YOLL_charfact</f>
        <v>3.2567254270146715E-4</v>
      </c>
      <c r="L124" s="83">
        <f>CO2_malnutrition_charfact*B124</f>
        <v>1.0763861003861002E-5</v>
      </c>
      <c r="M124" s="83">
        <f>CO2_workingcapacity_charfact*B124</f>
        <v>5.2473822393822384E-6</v>
      </c>
      <c r="N124" s="83">
        <f>CO2_diarrhea_charfact*B124</f>
        <v>7.1759073359073361E-8</v>
      </c>
      <c r="O124" s="83">
        <f>PM2.5_asthmacases_charfact*F124</f>
        <v>5.3127359999999993E-6</v>
      </c>
      <c r="P124" s="83">
        <f>PM2.5_COPD_charfact*F124</f>
        <v>4.1469999999999997E-7</v>
      </c>
      <c r="Q124" s="83">
        <f>CO2_crop_charfact*B124</f>
        <v>4.9067544855780146E-2</v>
      </c>
      <c r="R124" s="83">
        <f>charnoxcrop/0.62*D124</f>
        <v>0.45960955526399133</v>
      </c>
      <c r="S124" s="83">
        <f>charco2woodgw*B124</f>
        <v>0</v>
      </c>
      <c r="T124" s="83">
        <f>NOx_wood_oxidantcharfact/0.62*D124</f>
        <v>3.5619740532959326E-2</v>
      </c>
      <c r="U124" s="83">
        <f>CO2_fruitandveg_charfact*B124</f>
        <v>5.8765932318873481E-3</v>
      </c>
      <c r="V124" s="83">
        <f>CO2_meatandfish_charfact*B124</f>
        <v>2.3150215761980467E-3</v>
      </c>
      <c r="W124" s="83">
        <f>CO2_drinkingwater_charfact*B124</f>
        <v>0.28255135135135134</v>
      </c>
      <c r="X124" s="83">
        <f>CO2_irrigationwater_charfact*B124</f>
        <v>0.56510270270270269</v>
      </c>
      <c r="Y124" s="83">
        <f>CO2_housing_charfact*B124</f>
        <v>8.9698841698841695E-8</v>
      </c>
      <c r="Z124" s="83">
        <f>CO2_separations_charfact*B124</f>
        <v>1.0193050193050191E-6</v>
      </c>
      <c r="AA124" s="83">
        <f>CO2_NEX_charfact*B124</f>
        <v>1.0193050193050192E-15</v>
      </c>
      <c r="AB124" s="131">
        <f>(H124+I124+J124+K124)*YOLLvalue+L124*malnutrition+M124*working_capacity+N124*diarrhea+O124*asthmacasesvalue+P124*COPDvalue+(Q124+R124)*cropvalue+(S124+T124)*woodvalue+U124*Fruitandveg_value+V124*fishandmeatvalue+W124*drinkingwatervalue+X124*irrigationwatervalue+Y124*housingvalue+Z124*migrationvalue+AA124*speciesvalue</f>
        <v>17.11912508976889</v>
      </c>
    </row>
    <row r="125" spans="1:30">
      <c r="A125" s="45" t="s">
        <v>1528</v>
      </c>
      <c r="B125">
        <v>4.5</v>
      </c>
      <c r="C125">
        <v>2</v>
      </c>
      <c r="D125">
        <v>0.436</v>
      </c>
      <c r="F125">
        <v>0.11</v>
      </c>
      <c r="H125" s="83">
        <f>B125*charco2yoll</f>
        <v>2.9200153204633203E-6</v>
      </c>
      <c r="I125" s="83">
        <f>D125*NOx_YOLL_Oxidant_charfact/0.62</f>
        <v>2.5028684753575545E-6</v>
      </c>
      <c r="J125" s="83">
        <f>F125*PM2.5_YOLL_charfact</f>
        <v>3.2567254270146715E-4</v>
      </c>
      <c r="L125" s="83">
        <f>CO2_malnutrition_charfact*B125</f>
        <v>1.0763861003861002E-5</v>
      </c>
      <c r="M125" s="83">
        <f>CO2_workingcapacity_charfact*B125</f>
        <v>5.2473822393822384E-6</v>
      </c>
      <c r="N125" s="83">
        <f>CO2_diarrhea_charfact*B125</f>
        <v>7.1759073359073361E-8</v>
      </c>
      <c r="O125" s="83">
        <f>PM2.5_asthmacases_charfact*F125</f>
        <v>5.3127359999999993E-6</v>
      </c>
      <c r="P125" s="83">
        <f>PM2.5_COPD_charfact*F125</f>
        <v>4.1469999999999997E-7</v>
      </c>
      <c r="Q125" s="83">
        <f>CO2_crop_charfact*B125</f>
        <v>4.9067544855780146E-2</v>
      </c>
      <c r="R125" s="83">
        <f>charnoxcrop/0.62*D125</f>
        <v>0.5178030131656336</v>
      </c>
      <c r="S125" s="83">
        <f>charco2woodgw*B125</f>
        <v>0</v>
      </c>
      <c r="T125" s="83">
        <f>NOx_wood_oxidantcharfact/0.62*D125</f>
        <v>4.0129733520336608E-2</v>
      </c>
      <c r="U125" s="83">
        <f>CO2_fruitandveg_charfact*B125</f>
        <v>5.8765932318873481E-3</v>
      </c>
      <c r="V125" s="83">
        <f>CO2_meatandfish_charfact*B125</f>
        <v>2.3150215761980467E-3</v>
      </c>
      <c r="W125" s="83">
        <f>CO2_drinkingwater_charfact*B125</f>
        <v>0.28255135135135134</v>
      </c>
      <c r="X125" s="83">
        <f>CO2_irrigationwater_charfact*B125</f>
        <v>0.56510270270270269</v>
      </c>
      <c r="Y125" s="83">
        <f>CO2_housing_charfact*B125</f>
        <v>8.9698841698841695E-8</v>
      </c>
      <c r="Z125" s="83">
        <f>CO2_separations_charfact*B125</f>
        <v>1.0193050193050191E-6</v>
      </c>
      <c r="AA125" s="83">
        <f>CO2_NEX_charfact*B125</f>
        <v>1.0193050193050192E-15</v>
      </c>
      <c r="AB125" s="131">
        <f>(H125+I125+J125+K125)*YOLLvalue+L125*malnutrition+M125*working_capacity+N125*diarrhea+O125*asthmacasesvalue+P125*COPDvalue+(Q125+R125)*cropvalue+(S125+T125)*woodvalue+U125*Fruitandveg_value+V125*fishandmeatvalue+W125*drinkingwatervalue+X125*irrigationwatervalue+Y125*housingvalue+Z125*migrationvalue+AA125*speciesvalue</f>
        <v>17.146172334090569</v>
      </c>
    </row>
    <row r="126" spans="1:30">
      <c r="A126" s="5" t="s">
        <v>728</v>
      </c>
      <c r="B126">
        <v>4.5</v>
      </c>
      <c r="C126">
        <v>2</v>
      </c>
      <c r="D126">
        <v>0.438</v>
      </c>
      <c r="F126">
        <v>0.11</v>
      </c>
      <c r="H126" s="83">
        <f>B126*charco2yoll</f>
        <v>2.9200153204633203E-6</v>
      </c>
      <c r="I126" s="83">
        <f>D126*NOx_YOLL_Oxidant_charfact/0.62</f>
        <v>2.5143495234096531E-6</v>
      </c>
      <c r="J126" s="83">
        <f>F126*PM2.5_YOLL_charfact</f>
        <v>3.2567254270146715E-4</v>
      </c>
      <c r="L126" s="83">
        <f>CO2_malnutrition_charfact*B126</f>
        <v>1.0763861003861002E-5</v>
      </c>
      <c r="M126" s="83">
        <f>CO2_workingcapacity_charfact*B126</f>
        <v>5.2473822393822384E-6</v>
      </c>
      <c r="N126" s="83">
        <f>CO2_diarrhea_charfact*B126</f>
        <v>7.1759073359073361E-8</v>
      </c>
      <c r="O126" s="83">
        <f>PM2.5_asthmacases_charfact*F126</f>
        <v>5.3127359999999993E-6</v>
      </c>
      <c r="P126" s="83">
        <f>PM2.5_COPD_charfact*F126</f>
        <v>4.1469999999999997E-7</v>
      </c>
      <c r="Q126" s="83">
        <f>CO2_crop_charfact*B126</f>
        <v>4.9067544855780146E-2</v>
      </c>
      <c r="R126" s="83">
        <f>charnoxcrop/0.62*D126</f>
        <v>0.52017825634529247</v>
      </c>
      <c r="S126" s="83">
        <f>charco2woodgw*B126</f>
        <v>0</v>
      </c>
      <c r="T126" s="83">
        <f>NOx_wood_oxidantcharfact/0.62*D126</f>
        <v>4.0313814866760167E-2</v>
      </c>
      <c r="U126" s="83">
        <f>CO2_fruitandveg_charfact*B126</f>
        <v>5.8765932318873481E-3</v>
      </c>
      <c r="V126" s="83">
        <f>CO2_meatandfish_charfact*B126</f>
        <v>2.3150215761980467E-3</v>
      </c>
      <c r="W126" s="83">
        <f>CO2_drinkingwater_charfact*B126</f>
        <v>0.28255135135135134</v>
      </c>
      <c r="X126" s="83">
        <f>CO2_irrigationwater_charfact*B126</f>
        <v>0.56510270270270269</v>
      </c>
      <c r="Y126" s="83">
        <f>CO2_housing_charfact*B126</f>
        <v>8.9698841698841695E-8</v>
      </c>
      <c r="Z126" s="83">
        <f>CO2_separations_charfact*B126</f>
        <v>1.0193050193050191E-6</v>
      </c>
      <c r="AA126" s="83">
        <f>CO2_NEX_charfact*B126</f>
        <v>1.0193050193050192E-15</v>
      </c>
      <c r="AB126" s="131">
        <f>(H126+I126+J126+K126)*YOLLvalue+L126*malnutrition+M126*working_capacity+N126*diarrhea+O126*asthmacasesvalue+P126*COPDvalue+(Q126+R126)*cropvalue+(S126+T126)*woodvalue+U126*Fruitandveg_value+V126*fishandmeatvalue+W126*drinkingwatervalue+X126*irrigationwatervalue+Y126*housingvalue+Z126*migrationvalue+AA126*speciesvalue</f>
        <v>17.147276303246556</v>
      </c>
      <c r="AD126" s="69"/>
    </row>
    <row r="127" spans="1:30">
      <c r="A127" s="5" t="s">
        <v>613</v>
      </c>
      <c r="B127">
        <v>4.5</v>
      </c>
      <c r="C127">
        <v>2</v>
      </c>
      <c r="D127">
        <v>0.36799999999999999</v>
      </c>
      <c r="F127">
        <v>0.11</v>
      </c>
      <c r="H127" s="83">
        <f>B127*charco2yoll</f>
        <v>2.9200153204633203E-6</v>
      </c>
      <c r="I127" s="83">
        <f>D127*NOx_YOLL_Oxidant_charfact/0.62</f>
        <v>2.1125128415861925E-6</v>
      </c>
      <c r="J127" s="83">
        <f>F127*PM2.5_YOLL_charfact</f>
        <v>3.2567254270146715E-4</v>
      </c>
      <c r="L127" s="83">
        <f>CO2_malnutrition_charfact*B127</f>
        <v>1.0763861003861002E-5</v>
      </c>
      <c r="M127" s="83">
        <f>CO2_workingcapacity_charfact*B127</f>
        <v>5.2473822393822384E-6</v>
      </c>
      <c r="N127" s="83">
        <f>CO2_diarrhea_charfact*B127</f>
        <v>7.1759073359073361E-8</v>
      </c>
      <c r="O127" s="83">
        <f>PM2.5_asthmacases_charfact*F127</f>
        <v>5.3127359999999993E-6</v>
      </c>
      <c r="P127" s="83">
        <f>PM2.5_COPD_charfact*F127</f>
        <v>4.1469999999999997E-7</v>
      </c>
      <c r="Q127" s="83">
        <f>CO2_crop_charfact*B127</f>
        <v>4.9067544855780146E-2</v>
      </c>
      <c r="R127" s="83">
        <f>charnoxcrop/0.62*D127</f>
        <v>0.43704474505723201</v>
      </c>
      <c r="S127" s="83">
        <f>charco2woodgw*B127</f>
        <v>0</v>
      </c>
      <c r="T127" s="83">
        <f>NOx_wood_oxidantcharfact/0.62*D127</f>
        <v>3.3870967741935487E-2</v>
      </c>
      <c r="U127" s="83">
        <f>CO2_fruitandveg_charfact*B127</f>
        <v>5.8765932318873481E-3</v>
      </c>
      <c r="V127" s="83">
        <f>CO2_meatandfish_charfact*B127</f>
        <v>2.3150215761980467E-3</v>
      </c>
      <c r="W127" s="83">
        <f>CO2_drinkingwater_charfact*B127</f>
        <v>0.28255135135135134</v>
      </c>
      <c r="X127" s="83">
        <f>CO2_irrigationwater_charfact*B127</f>
        <v>0.56510270270270269</v>
      </c>
      <c r="Y127" s="83">
        <f>CO2_housing_charfact*B127</f>
        <v>8.9698841698841695E-8</v>
      </c>
      <c r="Z127" s="83">
        <f>CO2_separations_charfact*B127</f>
        <v>1.0193050193050191E-6</v>
      </c>
      <c r="AA127" s="83">
        <f>CO2_NEX_charfact*B127</f>
        <v>1.0193050193050192E-15</v>
      </c>
      <c r="AB127" s="131">
        <f>(H127+I127+J127+K127)*YOLLvalue+L127*malnutrition+M127*working_capacity+N127*diarrhea+O127*asthmacasesvalue+P127*COPDvalue+(Q127+R127)*cropvalue+(S127+T127)*woodvalue+U127*Fruitandveg_value+V127*fishandmeatvalue+W127*drinkingwatervalue+X127*irrigationwatervalue+Y127*housingvalue+Z127*migrationvalue+AA127*speciesvalue</f>
        <v>17.108637382787016</v>
      </c>
    </row>
    <row r="128" spans="1:30">
      <c r="A128" s="44" t="s">
        <v>729</v>
      </c>
      <c r="AB128" s="200"/>
    </row>
    <row r="129" spans="1:28">
      <c r="A129" t="s">
        <v>644</v>
      </c>
      <c r="B129">
        <v>4.5</v>
      </c>
      <c r="C129">
        <v>2</v>
      </c>
      <c r="D129">
        <v>3.2000000000000001E-2</v>
      </c>
      <c r="F129">
        <v>0.11</v>
      </c>
      <c r="H129" s="83">
        <f>B129*charco2yoll</f>
        <v>2.9200153204633203E-6</v>
      </c>
      <c r="I129" s="83">
        <f>D129*NOx_YOLL_Oxidant_charfact/0.62</f>
        <v>1.8369676883358197E-7</v>
      </c>
      <c r="J129" s="83">
        <f>F129*PM2.5_YOLL_charfact</f>
        <v>3.2567254270146715E-4</v>
      </c>
      <c r="L129" s="83">
        <f>CO2_malnutrition_charfact*B129</f>
        <v>1.0763861003861002E-5</v>
      </c>
      <c r="M129" s="83">
        <f>CO2_workingcapacity_charfact*B129</f>
        <v>5.2473822393822384E-6</v>
      </c>
      <c r="N129" s="83">
        <f>CO2_diarrhea_charfact*B129</f>
        <v>7.1759073359073361E-8</v>
      </c>
      <c r="O129" s="83">
        <f>PM2.5_asthmacases_charfact*F129</f>
        <v>5.3127359999999993E-6</v>
      </c>
      <c r="P129" s="83">
        <f>PM2.5_COPD_charfact*F129</f>
        <v>4.1469999999999997E-7</v>
      </c>
      <c r="Q129" s="83">
        <f>CO2_crop_charfact*B129</f>
        <v>4.9067544855780146E-2</v>
      </c>
      <c r="R129" s="83">
        <f>charnoxcrop/0.62*D129</f>
        <v>3.8003890874541917E-2</v>
      </c>
      <c r="S129" s="83">
        <f>charco2woodgw*B129</f>
        <v>0</v>
      </c>
      <c r="T129" s="83">
        <f>NOx_wood_oxidantcharfact/0.62*D129</f>
        <v>2.9453015427769987E-3</v>
      </c>
      <c r="U129" s="83">
        <f>CO2_fruitandveg_charfact*B129</f>
        <v>5.8765932318873481E-3</v>
      </c>
      <c r="V129" s="83">
        <f>CO2_meatandfish_charfact*B129</f>
        <v>2.3150215761980467E-3</v>
      </c>
      <c r="W129" s="83">
        <f>CO2_drinkingwater_charfact*B129</f>
        <v>0.28255135135135134</v>
      </c>
      <c r="X129" s="83">
        <f>CO2_irrigationwater_charfact*B129</f>
        <v>0.56510270270270269</v>
      </c>
      <c r="Y129" s="83">
        <f>CO2_housing_charfact*B129</f>
        <v>8.9698841698841695E-8</v>
      </c>
      <c r="Z129" s="83">
        <f>CO2_separations_charfact*B129</f>
        <v>1.0193050193050191E-6</v>
      </c>
      <c r="AA129" s="83">
        <f>CO2_NEX_charfact*B129</f>
        <v>1.0193050193050192E-15</v>
      </c>
      <c r="AB129" s="131">
        <f>(H129+I129+J129+K129)*YOLLvalue+L129*malnutrition+M129*working_capacity+N129*diarrhea+O129*asthmacasesvalue+P129*COPDvalue+(Q129+R129)*cropvalue+(S129+T129)*woodvalue+U129*Fruitandveg_value+V129*fishandmeatvalue+W129*drinkingwatervalue+X129*irrigationwatervalue+Y129*housingvalue+Z129*migrationvalue+AA129*speciesvalue</f>
        <v>16.923170564581223</v>
      </c>
    </row>
    <row r="130" spans="1:28">
      <c r="A130" t="s">
        <v>711</v>
      </c>
      <c r="B130">
        <v>4.5</v>
      </c>
      <c r="C130">
        <v>2</v>
      </c>
      <c r="D130">
        <v>0.15</v>
      </c>
      <c r="E130">
        <v>1.3</v>
      </c>
      <c r="F130">
        <v>0.11</v>
      </c>
      <c r="H130" s="83">
        <f>B130*charco2yoll</f>
        <v>2.9200153204633203E-6</v>
      </c>
      <c r="I130" s="83">
        <f>D130*NOx_YOLL_Oxidant_charfact/0.62</f>
        <v>8.6107860390741548E-7</v>
      </c>
      <c r="J130" s="83">
        <f>F130*PM2.5_YOLL_charfact</f>
        <v>3.2567254270146715E-4</v>
      </c>
      <c r="L130" s="83">
        <f>CO2_malnutrition_charfact*B130</f>
        <v>1.0763861003861002E-5</v>
      </c>
      <c r="M130" s="83">
        <f>CO2_workingcapacity_charfact*B130</f>
        <v>5.2473822393822384E-6</v>
      </c>
      <c r="N130" s="83">
        <f>CO2_diarrhea_charfact*B130</f>
        <v>7.1759073359073361E-8</v>
      </c>
      <c r="O130" s="83">
        <f>PM2.5_asthmacases_charfact*F130</f>
        <v>5.3127359999999993E-6</v>
      </c>
      <c r="P130" s="83">
        <f>PM2.5_COPD_charfact*F130</f>
        <v>4.1469999999999997E-7</v>
      </c>
      <c r="Q130" s="83">
        <f>CO2_crop_charfact*B130</f>
        <v>4.9067544855780146E-2</v>
      </c>
      <c r="R130" s="83">
        <f>charnoxcrop/0.62*D130</f>
        <v>0.17814323847441524</v>
      </c>
      <c r="S130" s="83">
        <f>charco2woodgw*B130</f>
        <v>0</v>
      </c>
      <c r="T130" s="83">
        <f>NOx_wood_oxidantcharfact/0.62*D130</f>
        <v>1.3806100981767181E-2</v>
      </c>
      <c r="U130" s="83">
        <f>CO2_fruitandveg_charfact*B130</f>
        <v>5.8765932318873481E-3</v>
      </c>
      <c r="V130" s="83">
        <f>CO2_meatandfish_charfact*B130</f>
        <v>2.3150215761980467E-3</v>
      </c>
      <c r="W130" s="83">
        <f>CO2_drinkingwater_charfact*B130</f>
        <v>0.28255135135135134</v>
      </c>
      <c r="X130" s="83">
        <f>CO2_irrigationwater_charfact*B130</f>
        <v>0.56510270270270269</v>
      </c>
      <c r="Y130" s="83">
        <f>CO2_housing_charfact*B130</f>
        <v>8.9698841698841695E-8</v>
      </c>
      <c r="Z130" s="83">
        <f>CO2_separations_charfact*B130</f>
        <v>1.0193050193050191E-6</v>
      </c>
      <c r="AA130" s="83">
        <f>CO2_NEX_charfact*B130</f>
        <v>1.0193050193050192E-15</v>
      </c>
      <c r="AB130" s="131">
        <f>(H130+I130+J130+K130)*YOLLvalue+L130*malnutrition+M130*working_capacity+N130*diarrhea+O130*asthmacasesvalue+P130*COPDvalue+(Q130+R130)*cropvalue+(S130+T130)*woodvalue+U130*Fruitandveg_value+V130*fishandmeatvalue+W130*drinkingwatervalue+X130*irrigationwatervalue+Y130*housingvalue+Z130*migrationvalue+AA130*speciesvalue</f>
        <v>16.98830474478445</v>
      </c>
    </row>
    <row r="131" spans="1:28">
      <c r="A131" t="s">
        <v>730</v>
      </c>
      <c r="B131">
        <v>4.5</v>
      </c>
      <c r="C131">
        <v>2</v>
      </c>
      <c r="D131">
        <v>0.15</v>
      </c>
      <c r="F131">
        <v>0.11</v>
      </c>
      <c r="H131" s="83">
        <f>B131*charco2yoll</f>
        <v>2.9200153204633203E-6</v>
      </c>
      <c r="I131" s="83">
        <f>D131*NOx_YOLL_Oxidant_charfact/0.62</f>
        <v>8.6107860390741548E-7</v>
      </c>
      <c r="J131" s="83">
        <f>F131*PM2.5_YOLL_charfact</f>
        <v>3.2567254270146715E-4</v>
      </c>
      <c r="L131" s="83">
        <f>CO2_malnutrition_charfact*B131</f>
        <v>1.0763861003861002E-5</v>
      </c>
      <c r="M131" s="83">
        <f>CO2_workingcapacity_charfact*B131</f>
        <v>5.2473822393822384E-6</v>
      </c>
      <c r="N131" s="83">
        <f>CO2_diarrhea_charfact*B131</f>
        <v>7.1759073359073361E-8</v>
      </c>
      <c r="O131" s="83">
        <f>PM2.5_asthmacases_charfact*F131</f>
        <v>5.3127359999999993E-6</v>
      </c>
      <c r="P131" s="83">
        <f>PM2.5_COPD_charfact*F131</f>
        <v>4.1469999999999997E-7</v>
      </c>
      <c r="Q131" s="83">
        <f>CO2_crop_charfact*B131</f>
        <v>4.9067544855780146E-2</v>
      </c>
      <c r="R131" s="83">
        <f>charnoxcrop/0.62*D131</f>
        <v>0.17814323847441524</v>
      </c>
      <c r="S131" s="83">
        <f>charco2woodgw*B131</f>
        <v>0</v>
      </c>
      <c r="T131" s="83">
        <f>NOx_wood_oxidantcharfact/0.62*D131</f>
        <v>1.3806100981767181E-2</v>
      </c>
      <c r="U131" s="83">
        <f>CO2_fruitandveg_charfact*B131</f>
        <v>5.8765932318873481E-3</v>
      </c>
      <c r="V131" s="83">
        <f>CO2_meatandfish_charfact*B131</f>
        <v>2.3150215761980467E-3</v>
      </c>
      <c r="W131" s="83">
        <f>CO2_drinkingwater_charfact*B131</f>
        <v>0.28255135135135134</v>
      </c>
      <c r="X131" s="83">
        <f>CO2_irrigationwater_charfact*B131</f>
        <v>0.56510270270270269</v>
      </c>
      <c r="Y131" s="83">
        <f>CO2_housing_charfact*B131</f>
        <v>8.9698841698841695E-8</v>
      </c>
      <c r="Z131" s="83">
        <f>CO2_separations_charfact*B131</f>
        <v>1.0193050193050191E-6</v>
      </c>
      <c r="AA131" s="83">
        <f>CO2_NEX_charfact*B131</f>
        <v>1.0193050193050192E-15</v>
      </c>
      <c r="AB131" s="131">
        <f>(H131+I131+J131+K131)*YOLLvalue+L131*malnutrition+M131*working_capacity+N131*diarrhea+O131*asthmacasesvalue+P131*COPDvalue+(Q131+R131)*cropvalue+(S131+T131)*woodvalue+U131*Fruitandveg_value+V131*fishandmeatvalue+W131*drinkingwatervalue+X131*irrigationwatervalue+Y131*housingvalue+Z131*migrationvalue+AA131*speciesvalue</f>
        <v>16.98830474478445</v>
      </c>
    </row>
    <row r="132" spans="1:28">
      <c r="A132" s="44" t="s">
        <v>733</v>
      </c>
      <c r="AB132" s="200"/>
    </row>
    <row r="133" spans="1:28">
      <c r="A133" s="133" t="s">
        <v>734</v>
      </c>
      <c r="B133">
        <v>12</v>
      </c>
      <c r="C133">
        <v>2</v>
      </c>
      <c r="D133">
        <v>5.0000000000000001E-3</v>
      </c>
      <c r="F133">
        <v>0.11</v>
      </c>
      <c r="H133" s="83">
        <f t="shared" ref="H133:H141" si="140">B133*charco2yoll</f>
        <v>7.7867075212355209E-6</v>
      </c>
      <c r="I133" s="83">
        <f t="shared" ref="I133:I141" si="141">D133*NOx_YOLL_Oxidant_charfact/0.62</f>
        <v>2.8702620130247185E-8</v>
      </c>
      <c r="J133" s="83">
        <f t="shared" ref="J133:J141" si="142">F133*PM2.5_YOLL_charfact</f>
        <v>3.2567254270146715E-4</v>
      </c>
      <c r="L133" s="83">
        <f t="shared" ref="L133:L141" si="143">CO2_malnutrition_charfact*B133</f>
        <v>2.8703629343629341E-5</v>
      </c>
      <c r="M133" s="83">
        <f t="shared" ref="M133:M141" si="144">CO2_workingcapacity_charfact*B133</f>
        <v>1.3993019305019304E-5</v>
      </c>
      <c r="N133" s="83">
        <f t="shared" ref="N133:N141" si="145">CO2_diarrhea_charfact*B133</f>
        <v>1.9135752895752894E-7</v>
      </c>
      <c r="O133" s="83">
        <f t="shared" ref="O133:O141" si="146">PM2.5_asthmacases_charfact*F133</f>
        <v>5.3127359999999993E-6</v>
      </c>
      <c r="P133" s="83">
        <f t="shared" ref="P133:P141" si="147">PM2.5_COPD_charfact*F133</f>
        <v>4.1469999999999997E-7</v>
      </c>
      <c r="Q133" s="83">
        <f t="shared" ref="Q133:Q141" si="148">CO2_crop_charfact*B133</f>
        <v>0.13084678628208038</v>
      </c>
      <c r="R133" s="83">
        <f t="shared" ref="R133:R141" si="149">charnoxcrop/0.62*D133</f>
        <v>5.9381079491471747E-3</v>
      </c>
      <c r="S133" s="83">
        <f t="shared" ref="S133:S141" si="150">charco2woodgw*B133</f>
        <v>0</v>
      </c>
      <c r="T133" s="83">
        <f t="shared" ref="T133:T141" si="151">NOx_wood_oxidantcharfact/0.62*D133</f>
        <v>4.6020336605890602E-4</v>
      </c>
      <c r="U133" s="83">
        <f t="shared" ref="U133:U141" si="152">CO2_fruitandveg_charfact*B133</f>
        <v>1.5670915285032928E-2</v>
      </c>
      <c r="V133" s="83">
        <f t="shared" ref="V133:V141" si="153">CO2_meatandfish_charfact*B133</f>
        <v>6.173390869861458E-3</v>
      </c>
      <c r="W133" s="83">
        <f t="shared" ref="W133:W141" si="154">CO2_drinkingwater_charfact*B133</f>
        <v>0.75347027027027025</v>
      </c>
      <c r="X133" s="83">
        <f t="shared" ref="X133:X141" si="155">CO2_irrigationwater_charfact*B133</f>
        <v>1.5069405405405405</v>
      </c>
      <c r="Y133" s="83">
        <f t="shared" ref="Y133:Y141" si="156">CO2_housing_charfact*B133</f>
        <v>2.3919691119691117E-7</v>
      </c>
      <c r="Z133" s="83">
        <f t="shared" ref="Z133:Z141" si="157">CO2_separations_charfact*B133</f>
        <v>2.7181467181467177E-6</v>
      </c>
      <c r="AA133" s="83">
        <f t="shared" ref="AA133:AA141" si="158">CO2_NEX_charfact*B133</f>
        <v>2.718146718146718E-15</v>
      </c>
      <c r="AB133" s="131">
        <f t="shared" ref="AB133:AB141" si="159">(H133+I133+J133+K133)*YOLLvalue+L133*malnutrition+M133*working_capacity+N133*diarrhea+O133*asthmacasesvalue+P133*COPDvalue+(Q133+R133)*cropvalue+(S133+T133)*woodvalue+U133*Fruitandveg_value+V133*fishandmeatvalue+W133*drinkingwatervalue+X133*irrigationwatervalue+Y133*housingvalue+Z133*migrationvalue+AA133*speciesvalue</f>
        <v>17.91246037366221</v>
      </c>
    </row>
    <row r="134" spans="1:28">
      <c r="A134" s="133" t="s">
        <v>735</v>
      </c>
      <c r="B134">
        <v>9</v>
      </c>
      <c r="C134">
        <v>2</v>
      </c>
      <c r="D134">
        <v>6.8000000000000005E-2</v>
      </c>
      <c r="F134">
        <v>0.11</v>
      </c>
      <c r="H134" s="83">
        <f t="shared" si="140"/>
        <v>5.8400306409266407E-6</v>
      </c>
      <c r="I134" s="83">
        <f t="shared" si="141"/>
        <v>3.9035563377136177E-7</v>
      </c>
      <c r="J134" s="83">
        <f t="shared" si="142"/>
        <v>3.2567254270146715E-4</v>
      </c>
      <c r="L134" s="83">
        <f t="shared" si="143"/>
        <v>2.1527722007722004E-5</v>
      </c>
      <c r="M134" s="83">
        <f t="shared" si="144"/>
        <v>1.0494764478764477E-5</v>
      </c>
      <c r="N134" s="83">
        <f t="shared" si="145"/>
        <v>1.4351814671814672E-7</v>
      </c>
      <c r="O134" s="83">
        <f t="shared" si="146"/>
        <v>5.3127359999999993E-6</v>
      </c>
      <c r="P134" s="83">
        <f t="shared" si="147"/>
        <v>4.1469999999999997E-7</v>
      </c>
      <c r="Q134" s="83">
        <f t="shared" si="148"/>
        <v>9.8135089711560292E-2</v>
      </c>
      <c r="R134" s="83">
        <f t="shared" si="149"/>
        <v>8.0758268108401574E-2</v>
      </c>
      <c r="S134" s="83">
        <f t="shared" si="150"/>
        <v>0</v>
      </c>
      <c r="T134" s="83">
        <f t="shared" si="151"/>
        <v>6.2587657784011225E-3</v>
      </c>
      <c r="U134" s="83">
        <f t="shared" si="152"/>
        <v>1.1753186463774696E-2</v>
      </c>
      <c r="V134" s="83">
        <f t="shared" si="153"/>
        <v>4.6300431523960935E-3</v>
      </c>
      <c r="W134" s="83">
        <f t="shared" si="154"/>
        <v>0.56510270270270269</v>
      </c>
      <c r="X134" s="83">
        <f t="shared" si="155"/>
        <v>1.1302054054054054</v>
      </c>
      <c r="Y134" s="83">
        <f t="shared" si="156"/>
        <v>1.7939768339768339E-7</v>
      </c>
      <c r="Z134" s="83">
        <f t="shared" si="157"/>
        <v>2.0386100386100383E-6</v>
      </c>
      <c r="AA134" s="83">
        <f t="shared" si="158"/>
        <v>2.0386100386100383E-15</v>
      </c>
      <c r="AB134" s="131">
        <f t="shared" si="159"/>
        <v>17.54555804500108</v>
      </c>
    </row>
    <row r="135" spans="1:28">
      <c r="A135" s="45" t="s">
        <v>736</v>
      </c>
      <c r="B135">
        <v>16</v>
      </c>
      <c r="C135">
        <v>2</v>
      </c>
      <c r="D135">
        <v>2.3E-2</v>
      </c>
      <c r="F135">
        <v>0.11</v>
      </c>
      <c r="H135" s="83">
        <f t="shared" si="140"/>
        <v>1.0382276694980694E-5</v>
      </c>
      <c r="I135" s="83">
        <f t="shared" si="141"/>
        <v>1.3203205259913703E-7</v>
      </c>
      <c r="J135" s="83">
        <f t="shared" si="142"/>
        <v>3.2567254270146715E-4</v>
      </c>
      <c r="L135" s="83">
        <f t="shared" si="143"/>
        <v>3.8271505791505785E-5</v>
      </c>
      <c r="M135" s="83">
        <f t="shared" si="144"/>
        <v>1.865735907335907E-5</v>
      </c>
      <c r="N135" s="83">
        <f t="shared" si="145"/>
        <v>2.5514337194337193E-7</v>
      </c>
      <c r="O135" s="83">
        <f t="shared" si="146"/>
        <v>5.3127359999999993E-6</v>
      </c>
      <c r="P135" s="83">
        <f t="shared" si="147"/>
        <v>4.1469999999999997E-7</v>
      </c>
      <c r="Q135" s="83">
        <f t="shared" si="148"/>
        <v>0.17446238170944051</v>
      </c>
      <c r="R135" s="83">
        <f t="shared" si="149"/>
        <v>2.7315296566077001E-2</v>
      </c>
      <c r="S135" s="83">
        <f t="shared" si="150"/>
        <v>0</v>
      </c>
      <c r="T135" s="83">
        <f t="shared" si="151"/>
        <v>2.1169354838709679E-3</v>
      </c>
      <c r="U135" s="83">
        <f t="shared" si="152"/>
        <v>2.0894553713377239E-2</v>
      </c>
      <c r="V135" s="83">
        <f t="shared" si="153"/>
        <v>8.2311878264819446E-3</v>
      </c>
      <c r="W135" s="83">
        <f t="shared" si="154"/>
        <v>1.004627027027027</v>
      </c>
      <c r="X135" s="83">
        <f t="shared" si="155"/>
        <v>2.009254054054054</v>
      </c>
      <c r="Y135" s="83">
        <f t="shared" si="156"/>
        <v>3.1892921492921491E-7</v>
      </c>
      <c r="Z135" s="83">
        <f t="shared" si="157"/>
        <v>3.6241956241956237E-6</v>
      </c>
      <c r="AA135" s="83">
        <f t="shared" si="158"/>
        <v>3.6241956241956238E-15</v>
      </c>
      <c r="AB135" s="131">
        <f t="shared" si="159"/>
        <v>18.457965905499059</v>
      </c>
    </row>
    <row r="136" spans="1:28">
      <c r="A136" s="45" t="s">
        <v>743</v>
      </c>
      <c r="B136">
        <v>1</v>
      </c>
      <c r="C136">
        <v>2</v>
      </c>
      <c r="D136">
        <v>7.9000000000000001E-2</v>
      </c>
      <c r="F136">
        <v>0.11</v>
      </c>
      <c r="H136" s="83">
        <f t="shared" si="140"/>
        <v>6.4889229343629337E-7</v>
      </c>
      <c r="I136" s="83">
        <f t="shared" si="141"/>
        <v>4.5350139805790552E-7</v>
      </c>
      <c r="J136" s="83">
        <f t="shared" si="142"/>
        <v>3.2567254270146715E-4</v>
      </c>
      <c r="L136" s="83">
        <f t="shared" si="143"/>
        <v>2.3919691119691116E-6</v>
      </c>
      <c r="M136" s="83">
        <f t="shared" si="144"/>
        <v>1.1660849420849419E-6</v>
      </c>
      <c r="N136" s="83">
        <f t="shared" si="145"/>
        <v>1.5946460746460745E-8</v>
      </c>
      <c r="O136" s="83">
        <f t="shared" si="146"/>
        <v>5.3127359999999993E-6</v>
      </c>
      <c r="P136" s="83">
        <f t="shared" si="147"/>
        <v>4.1469999999999997E-7</v>
      </c>
      <c r="Q136" s="83">
        <f t="shared" si="148"/>
        <v>1.0903898856840032E-2</v>
      </c>
      <c r="R136" s="83">
        <f t="shared" si="149"/>
        <v>9.382210559652536E-2</v>
      </c>
      <c r="S136" s="83">
        <f t="shared" si="150"/>
        <v>0</v>
      </c>
      <c r="T136" s="83">
        <f t="shared" si="151"/>
        <v>7.271213183730715E-3</v>
      </c>
      <c r="U136" s="83">
        <f t="shared" si="152"/>
        <v>1.3059096070860774E-3</v>
      </c>
      <c r="V136" s="83">
        <f t="shared" si="153"/>
        <v>5.1444923915512154E-4</v>
      </c>
      <c r="W136" s="83">
        <f t="shared" si="154"/>
        <v>6.2789189189189187E-2</v>
      </c>
      <c r="X136" s="83">
        <f t="shared" si="155"/>
        <v>0.12557837837837837</v>
      </c>
      <c r="Y136" s="83">
        <f t="shared" si="156"/>
        <v>1.9933075933075932E-8</v>
      </c>
      <c r="Z136" s="83">
        <f t="shared" si="157"/>
        <v>2.2651222651222648E-7</v>
      </c>
      <c r="AA136" s="83">
        <f t="shared" si="158"/>
        <v>2.2651222651222649E-16</v>
      </c>
      <c r="AB136" s="131">
        <f t="shared" si="159"/>
        <v>16.48049025649307</v>
      </c>
    </row>
    <row r="137" spans="1:28" s="45" customFormat="1">
      <c r="A137" s="45" t="s">
        <v>744</v>
      </c>
      <c r="B137" s="45">
        <v>1</v>
      </c>
      <c r="C137" s="45">
        <v>2</v>
      </c>
      <c r="D137" s="45">
        <v>2.5000000000000001E-2</v>
      </c>
      <c r="E137" s="45">
        <v>1.3</v>
      </c>
      <c r="F137" s="45">
        <v>0.11</v>
      </c>
      <c r="H137" s="131">
        <f t="shared" si="140"/>
        <v>6.4889229343629337E-7</v>
      </c>
      <c r="I137" s="131">
        <f t="shared" si="141"/>
        <v>1.4351310065123592E-7</v>
      </c>
      <c r="J137" s="131">
        <f t="shared" si="142"/>
        <v>3.2567254270146715E-4</v>
      </c>
      <c r="K137" s="79"/>
      <c r="L137" s="131">
        <f t="shared" si="143"/>
        <v>2.3919691119691116E-6</v>
      </c>
      <c r="M137" s="131">
        <f t="shared" si="144"/>
        <v>1.1660849420849419E-6</v>
      </c>
      <c r="N137" s="131">
        <f t="shared" si="145"/>
        <v>1.5946460746460745E-8</v>
      </c>
      <c r="O137" s="131">
        <f t="shared" si="146"/>
        <v>5.3127359999999993E-6</v>
      </c>
      <c r="P137" s="131">
        <f t="shared" si="147"/>
        <v>4.1469999999999997E-7</v>
      </c>
      <c r="Q137" s="131">
        <f t="shared" si="148"/>
        <v>1.0903898856840032E-2</v>
      </c>
      <c r="R137" s="131">
        <f t="shared" si="149"/>
        <v>2.9690539745735874E-2</v>
      </c>
      <c r="S137" s="131">
        <f t="shared" si="150"/>
        <v>0</v>
      </c>
      <c r="T137" s="131">
        <f t="shared" si="151"/>
        <v>2.3010168302945301E-3</v>
      </c>
      <c r="U137" s="131">
        <f t="shared" si="152"/>
        <v>1.3059096070860774E-3</v>
      </c>
      <c r="V137" s="131">
        <f t="shared" si="153"/>
        <v>5.1444923915512154E-4</v>
      </c>
      <c r="W137" s="131">
        <f t="shared" si="154"/>
        <v>6.2789189189189187E-2</v>
      </c>
      <c r="X137" s="131">
        <f t="shared" si="155"/>
        <v>0.12557837837837837</v>
      </c>
      <c r="Y137" s="131">
        <f t="shared" si="156"/>
        <v>1.9933075933075932E-8</v>
      </c>
      <c r="Z137" s="131">
        <f t="shared" si="157"/>
        <v>2.2651222651222648E-7</v>
      </c>
      <c r="AA137" s="131">
        <f t="shared" si="158"/>
        <v>2.2651222651222649E-16</v>
      </c>
      <c r="AB137" s="131">
        <f t="shared" si="159"/>
        <v>16.45068308928143</v>
      </c>
    </row>
    <row r="138" spans="1:28" s="45" customFormat="1">
      <c r="A138" s="45" t="s">
        <v>639</v>
      </c>
      <c r="B138" s="45">
        <v>1</v>
      </c>
      <c r="C138" s="45">
        <v>2</v>
      </c>
      <c r="D138" s="45">
        <v>0.42</v>
      </c>
      <c r="F138" s="45">
        <v>0.11</v>
      </c>
      <c r="H138" s="131">
        <f t="shared" si="140"/>
        <v>6.4889229343629337E-7</v>
      </c>
      <c r="I138" s="131">
        <f t="shared" si="141"/>
        <v>2.4110200909407636E-6</v>
      </c>
      <c r="J138" s="131">
        <f t="shared" si="142"/>
        <v>3.2567254270146715E-4</v>
      </c>
      <c r="K138" s="79"/>
      <c r="L138" s="131">
        <f t="shared" si="143"/>
        <v>2.3919691119691116E-6</v>
      </c>
      <c r="M138" s="131">
        <f t="shared" si="144"/>
        <v>1.1660849420849419E-6</v>
      </c>
      <c r="N138" s="131">
        <f t="shared" si="145"/>
        <v>1.5946460746460745E-8</v>
      </c>
      <c r="O138" s="131">
        <f t="shared" si="146"/>
        <v>5.3127359999999993E-6</v>
      </c>
      <c r="P138" s="131">
        <f t="shared" si="147"/>
        <v>4.1469999999999997E-7</v>
      </c>
      <c r="Q138" s="131">
        <f t="shared" si="148"/>
        <v>1.0903898856840032E-2</v>
      </c>
      <c r="R138" s="131">
        <f t="shared" si="149"/>
        <v>0.49880106772836263</v>
      </c>
      <c r="S138" s="131">
        <f t="shared" si="150"/>
        <v>0</v>
      </c>
      <c r="T138" s="131">
        <f t="shared" si="151"/>
        <v>3.8657082748948107E-2</v>
      </c>
      <c r="U138" s="131">
        <f t="shared" si="152"/>
        <v>1.3059096070860774E-3</v>
      </c>
      <c r="V138" s="131">
        <f t="shared" si="153"/>
        <v>5.1444923915512154E-4</v>
      </c>
      <c r="W138" s="131">
        <f t="shared" si="154"/>
        <v>6.2789189189189187E-2</v>
      </c>
      <c r="X138" s="131">
        <f t="shared" si="155"/>
        <v>0.12557837837837837</v>
      </c>
      <c r="Y138" s="131">
        <f t="shared" si="156"/>
        <v>1.9933075933075932E-8</v>
      </c>
      <c r="Z138" s="131">
        <f t="shared" si="157"/>
        <v>2.2651222651222648E-7</v>
      </c>
      <c r="AA138" s="131">
        <f t="shared" si="158"/>
        <v>2.2651222651222649E-16</v>
      </c>
      <c r="AB138" s="131">
        <f t="shared" si="159"/>
        <v>16.668716997588827</v>
      </c>
    </row>
    <row r="139" spans="1:28">
      <c r="A139" s="133" t="s">
        <v>737</v>
      </c>
      <c r="B139">
        <v>4.5</v>
      </c>
      <c r="C139">
        <v>2</v>
      </c>
      <c r="D139">
        <v>1.4E-2</v>
      </c>
      <c r="E139">
        <v>2</v>
      </c>
      <c r="F139">
        <v>0.11</v>
      </c>
      <c r="H139" s="83">
        <f t="shared" si="140"/>
        <v>2.9200153204633203E-6</v>
      </c>
      <c r="I139" s="83">
        <f t="shared" si="141"/>
        <v>8.0367336364692122E-8</v>
      </c>
      <c r="J139" s="83">
        <f t="shared" si="142"/>
        <v>3.2567254270146715E-4</v>
      </c>
      <c r="L139" s="83">
        <f t="shared" si="143"/>
        <v>1.0763861003861002E-5</v>
      </c>
      <c r="M139" s="83">
        <f t="shared" si="144"/>
        <v>5.2473822393822384E-6</v>
      </c>
      <c r="N139" s="83">
        <f t="shared" si="145"/>
        <v>7.1759073359073361E-8</v>
      </c>
      <c r="O139" s="83">
        <f t="shared" si="146"/>
        <v>5.3127359999999993E-6</v>
      </c>
      <c r="P139" s="83">
        <f t="shared" si="147"/>
        <v>4.1469999999999997E-7</v>
      </c>
      <c r="Q139" s="83">
        <f t="shared" si="148"/>
        <v>4.9067544855780146E-2</v>
      </c>
      <c r="R139" s="83">
        <f t="shared" si="149"/>
        <v>1.6626702257612088E-2</v>
      </c>
      <c r="S139" s="83">
        <f t="shared" si="150"/>
        <v>0</v>
      </c>
      <c r="T139" s="83">
        <f t="shared" si="151"/>
        <v>1.288569424964937E-3</v>
      </c>
      <c r="U139" s="83">
        <f t="shared" si="152"/>
        <v>5.8765932318873481E-3</v>
      </c>
      <c r="V139" s="83">
        <f t="shared" si="153"/>
        <v>2.3150215761980467E-3</v>
      </c>
      <c r="W139" s="83">
        <f t="shared" si="154"/>
        <v>0.28255135135135134</v>
      </c>
      <c r="X139" s="83">
        <f t="shared" si="155"/>
        <v>0.56510270270270269</v>
      </c>
      <c r="Y139" s="83">
        <f t="shared" si="156"/>
        <v>8.9698841698841695E-8</v>
      </c>
      <c r="Z139" s="83">
        <f t="shared" si="157"/>
        <v>1.0193050193050191E-6</v>
      </c>
      <c r="AA139" s="83">
        <f t="shared" si="158"/>
        <v>1.0193050193050192E-15</v>
      </c>
      <c r="AB139" s="131">
        <f t="shared" si="159"/>
        <v>16.913234842177346</v>
      </c>
    </row>
    <row r="140" spans="1:28" s="45" customFormat="1">
      <c r="A140" s="45" t="s">
        <v>738</v>
      </c>
      <c r="B140" s="45">
        <v>4.5</v>
      </c>
      <c r="C140" s="45">
        <v>2</v>
      </c>
      <c r="D140" s="45">
        <v>0.09</v>
      </c>
      <c r="E140" s="45">
        <v>2</v>
      </c>
      <c r="F140" s="45">
        <v>0.11</v>
      </c>
      <c r="H140" s="131">
        <f t="shared" si="140"/>
        <v>2.9200153204633203E-6</v>
      </c>
      <c r="I140" s="131">
        <f t="shared" si="141"/>
        <v>5.1664716234444927E-7</v>
      </c>
      <c r="J140" s="131">
        <f t="shared" si="142"/>
        <v>3.2567254270146715E-4</v>
      </c>
      <c r="K140" s="79"/>
      <c r="L140" s="131">
        <f t="shared" si="143"/>
        <v>1.0763861003861002E-5</v>
      </c>
      <c r="M140" s="131">
        <f t="shared" si="144"/>
        <v>5.2473822393822384E-6</v>
      </c>
      <c r="N140" s="131">
        <f t="shared" si="145"/>
        <v>7.1759073359073361E-8</v>
      </c>
      <c r="O140" s="131">
        <f t="shared" si="146"/>
        <v>5.3127359999999993E-6</v>
      </c>
      <c r="P140" s="131">
        <f t="shared" si="147"/>
        <v>4.1469999999999997E-7</v>
      </c>
      <c r="Q140" s="131">
        <f t="shared" si="148"/>
        <v>4.9067544855780146E-2</v>
      </c>
      <c r="R140" s="131">
        <f t="shared" si="149"/>
        <v>0.10688594308464913</v>
      </c>
      <c r="S140" s="131">
        <f t="shared" si="150"/>
        <v>0</v>
      </c>
      <c r="T140" s="131">
        <f t="shared" si="151"/>
        <v>8.2836605890603092E-3</v>
      </c>
      <c r="U140" s="131">
        <f t="shared" si="152"/>
        <v>5.8765932318873481E-3</v>
      </c>
      <c r="V140" s="131">
        <f t="shared" si="153"/>
        <v>2.3150215761980467E-3</v>
      </c>
      <c r="W140" s="131">
        <f t="shared" si="154"/>
        <v>0.28255135135135134</v>
      </c>
      <c r="X140" s="131">
        <f t="shared" si="155"/>
        <v>0.56510270270270269</v>
      </c>
      <c r="Y140" s="131">
        <f t="shared" si="156"/>
        <v>8.9698841698841695E-8</v>
      </c>
      <c r="Z140" s="131">
        <f t="shared" si="157"/>
        <v>1.0193050193050191E-6</v>
      </c>
      <c r="AA140" s="131">
        <f t="shared" si="158"/>
        <v>1.0193050193050192E-15</v>
      </c>
      <c r="AB140" s="131">
        <f t="shared" si="159"/>
        <v>16.955185670104843</v>
      </c>
    </row>
    <row r="141" spans="1:28">
      <c r="A141" s="45" t="s">
        <v>739</v>
      </c>
      <c r="B141">
        <v>160</v>
      </c>
      <c r="C141">
        <v>2</v>
      </c>
      <c r="D141" s="5">
        <v>3.0000000000000001E-3</v>
      </c>
      <c r="E141">
        <v>2</v>
      </c>
      <c r="F141">
        <v>0.11</v>
      </c>
      <c r="H141" s="83">
        <f t="shared" si="140"/>
        <v>1.0382276694980694E-4</v>
      </c>
      <c r="I141" s="83">
        <f t="shared" si="141"/>
        <v>1.7221572078148311E-8</v>
      </c>
      <c r="J141" s="83">
        <f t="shared" si="142"/>
        <v>3.2567254270146715E-4</v>
      </c>
      <c r="L141" s="83">
        <f t="shared" si="143"/>
        <v>3.8271505791505784E-4</v>
      </c>
      <c r="M141" s="83">
        <f t="shared" si="144"/>
        <v>1.865735907335907E-4</v>
      </c>
      <c r="N141" s="83">
        <f t="shared" si="145"/>
        <v>2.5514337194337193E-6</v>
      </c>
      <c r="O141" s="83">
        <f t="shared" si="146"/>
        <v>5.3127359999999993E-6</v>
      </c>
      <c r="P141" s="83">
        <f t="shared" si="147"/>
        <v>4.1469999999999997E-7</v>
      </c>
      <c r="Q141" s="83">
        <f t="shared" si="148"/>
        <v>1.7446238170944051</v>
      </c>
      <c r="R141" s="83">
        <f t="shared" si="149"/>
        <v>3.5628647694883049E-3</v>
      </c>
      <c r="S141" s="83">
        <f t="shared" si="150"/>
        <v>0</v>
      </c>
      <c r="T141" s="83">
        <f t="shared" si="151"/>
        <v>2.761220196353436E-4</v>
      </c>
      <c r="U141" s="83">
        <f t="shared" si="152"/>
        <v>0.2089455371337724</v>
      </c>
      <c r="V141" s="83">
        <f t="shared" si="153"/>
        <v>8.2311878264819449E-2</v>
      </c>
      <c r="W141" s="83">
        <f t="shared" si="154"/>
        <v>10.04627027027027</v>
      </c>
      <c r="X141" s="83">
        <f t="shared" si="155"/>
        <v>20.09254054054054</v>
      </c>
      <c r="Y141" s="83">
        <f t="shared" si="156"/>
        <v>3.1892921492921492E-6</v>
      </c>
      <c r="Z141" s="83">
        <f t="shared" si="157"/>
        <v>3.6241956241956238E-5</v>
      </c>
      <c r="AA141" s="83">
        <f t="shared" si="158"/>
        <v>3.6241956241956236E-14</v>
      </c>
      <c r="AB141" s="131">
        <f t="shared" si="159"/>
        <v>37.727439353525824</v>
      </c>
    </row>
    <row r="142" spans="1:28">
      <c r="A142" s="44" t="s">
        <v>275</v>
      </c>
      <c r="AB142" s="200"/>
    </row>
    <row r="143" spans="1:28">
      <c r="A143" t="s">
        <v>740</v>
      </c>
      <c r="B143">
        <v>4.5</v>
      </c>
      <c r="C143">
        <v>2</v>
      </c>
      <c r="D143">
        <v>0.62</v>
      </c>
      <c r="E143">
        <v>1.1000000000000001</v>
      </c>
      <c r="F143">
        <v>0.11</v>
      </c>
      <c r="H143" s="83">
        <f>B143*charco2yoll</f>
        <v>2.9200153204633203E-6</v>
      </c>
      <c r="I143" s="83">
        <f>D143*NOx_YOLL_Oxidant_charfact/0.62</f>
        <v>3.5591248961506504E-6</v>
      </c>
      <c r="J143" s="83">
        <f>F143*PM2.5_YOLL_charfact</f>
        <v>3.2567254270146715E-4</v>
      </c>
      <c r="L143" s="83">
        <f>CO2_malnutrition_charfact*B143</f>
        <v>1.0763861003861002E-5</v>
      </c>
      <c r="M143" s="83">
        <f>CO2_workingcapacity_charfact*B143</f>
        <v>5.2473822393822384E-6</v>
      </c>
      <c r="N143" s="83">
        <f>CO2_diarrhea_charfact*B143</f>
        <v>7.1759073359073361E-8</v>
      </c>
      <c r="O143" s="83">
        <f>PM2.5_asthmacases_charfact*F143</f>
        <v>5.3127359999999993E-6</v>
      </c>
      <c r="P143" s="83">
        <f>PM2.5_COPD_charfact*F143</f>
        <v>4.1469999999999997E-7</v>
      </c>
      <c r="Q143" s="83">
        <f>CO2_crop_charfact*B143</f>
        <v>4.9067544855780146E-2</v>
      </c>
      <c r="R143" s="83">
        <f>charnoxcrop/0.62*D143</f>
        <v>0.73632538569424966</v>
      </c>
      <c r="S143" s="83">
        <f>charco2woodgw*B143</f>
        <v>0</v>
      </c>
      <c r="T143" s="83">
        <f>NOx_wood_oxidantcharfact/0.62*D143</f>
        <v>5.7065217391304351E-2</v>
      </c>
      <c r="U143" s="83">
        <f>CO2_fruitandveg_charfact*B143</f>
        <v>5.8765932318873481E-3</v>
      </c>
      <c r="V143" s="83">
        <f>CO2_meatandfish_charfact*B143</f>
        <v>2.3150215761980467E-3</v>
      </c>
      <c r="W143" s="83">
        <f>CO2_drinkingwater_charfact*B143</f>
        <v>0.28255135135135134</v>
      </c>
      <c r="X143" s="83">
        <f>CO2_irrigationwater_charfact*B143</f>
        <v>0.56510270270270269</v>
      </c>
      <c r="Y143" s="83">
        <f>CO2_housing_charfact*B143</f>
        <v>8.9698841698841695E-8</v>
      </c>
      <c r="Z143" s="83">
        <f>CO2_separations_charfact*B143</f>
        <v>1.0193050193050191E-6</v>
      </c>
      <c r="AA143" s="83">
        <f>CO2_NEX_charfact*B143</f>
        <v>1.0193050193050192E-15</v>
      </c>
      <c r="AB143" s="131">
        <f>(H143+I143+J143+K143)*YOLLvalue+L143*malnutrition+M143*working_capacity+N143*diarrhea+O143*asthmacasesvalue+P143*COPDvalue+(Q143+R143)*cropvalue+(S143+T143)*woodvalue+U143*Fruitandveg_value+V143*fishandmeatvalue+W143*drinkingwatervalue+X143*irrigationwatervalue+Y143*housingvalue+Z143*migrationvalue+AA143*speciesvalue</f>
        <v>17.247737496441356</v>
      </c>
    </row>
    <row r="144" spans="1:28">
      <c r="A144" t="s">
        <v>741</v>
      </c>
      <c r="B144">
        <v>4.5</v>
      </c>
      <c r="C144">
        <v>2</v>
      </c>
      <c r="D144">
        <v>0.62</v>
      </c>
      <c r="E144">
        <v>1.2</v>
      </c>
      <c r="F144">
        <v>0.11</v>
      </c>
      <c r="H144" s="83">
        <f>B144*charco2yoll</f>
        <v>2.9200153204633203E-6</v>
      </c>
      <c r="I144" s="83">
        <f>D144*NOx_YOLL_Oxidant_charfact/0.62</f>
        <v>3.5591248961506504E-6</v>
      </c>
      <c r="J144" s="83">
        <f>F144*PM2.5_YOLL_charfact</f>
        <v>3.2567254270146715E-4</v>
      </c>
      <c r="L144" s="83">
        <f>CO2_malnutrition_charfact*B144</f>
        <v>1.0763861003861002E-5</v>
      </c>
      <c r="M144" s="83">
        <f>CO2_workingcapacity_charfact*B144</f>
        <v>5.2473822393822384E-6</v>
      </c>
      <c r="N144" s="83">
        <f>CO2_diarrhea_charfact*B144</f>
        <v>7.1759073359073361E-8</v>
      </c>
      <c r="O144" s="83">
        <f>PM2.5_asthmacases_charfact*F144</f>
        <v>5.3127359999999993E-6</v>
      </c>
      <c r="P144" s="83">
        <f>PM2.5_COPD_charfact*F144</f>
        <v>4.1469999999999997E-7</v>
      </c>
      <c r="Q144" s="83">
        <f>CO2_crop_charfact*B144</f>
        <v>4.9067544855780146E-2</v>
      </c>
      <c r="R144" s="83">
        <f>charnoxcrop/0.62*D144</f>
        <v>0.73632538569424966</v>
      </c>
      <c r="S144" s="83">
        <f>charco2woodgw*B144</f>
        <v>0</v>
      </c>
      <c r="T144" s="83">
        <f>NOx_wood_oxidantcharfact/0.62*D144</f>
        <v>5.7065217391304351E-2</v>
      </c>
      <c r="U144" s="83">
        <f>CO2_fruitandveg_charfact*B144</f>
        <v>5.8765932318873481E-3</v>
      </c>
      <c r="V144" s="83">
        <f>CO2_meatandfish_charfact*B144</f>
        <v>2.3150215761980467E-3</v>
      </c>
      <c r="W144" s="83">
        <f>CO2_drinkingwater_charfact*B144</f>
        <v>0.28255135135135134</v>
      </c>
      <c r="X144" s="83">
        <f>CO2_irrigationwater_charfact*B144</f>
        <v>0.56510270270270269</v>
      </c>
      <c r="Y144" s="83">
        <f>CO2_housing_charfact*B144</f>
        <v>8.9698841698841695E-8</v>
      </c>
      <c r="Z144" s="83">
        <f>CO2_separations_charfact*B144</f>
        <v>1.0193050193050191E-6</v>
      </c>
      <c r="AA144" s="83">
        <f>CO2_NEX_charfact*B144</f>
        <v>1.0193050193050192E-15</v>
      </c>
      <c r="AB144" s="131">
        <f>(H144+I144+J144+K144)*YOLLvalue+L144*malnutrition+M144*working_capacity+N144*diarrhea+O144*asthmacasesvalue+P144*COPDvalue+(Q144+R144)*cropvalue+(S144+T144)*woodvalue+U144*Fruitandveg_value+V144*fishandmeatvalue+W144*drinkingwatervalue+X144*irrigationwatervalue+Y144*housingvalue+Z144*migrationvalue+AA144*speciesvalue</f>
        <v>17.247737496441356</v>
      </c>
    </row>
    <row r="145" spans="1:28">
      <c r="A145" t="s">
        <v>742</v>
      </c>
      <c r="B145">
        <v>4.5</v>
      </c>
      <c r="C145">
        <v>2</v>
      </c>
      <c r="D145">
        <v>0.36</v>
      </c>
      <c r="E145">
        <v>1.1000000000000001</v>
      </c>
      <c r="F145">
        <v>0.11</v>
      </c>
      <c r="H145" s="83">
        <f>B145*charco2yoll</f>
        <v>2.9200153204633203E-6</v>
      </c>
      <c r="I145" s="83">
        <f>D145*NOx_YOLL_Oxidant_charfact/0.62</f>
        <v>2.0665886493777971E-6</v>
      </c>
      <c r="J145" s="83">
        <f>F145*PM2.5_YOLL_charfact</f>
        <v>3.2567254270146715E-4</v>
      </c>
      <c r="L145" s="83">
        <f>CO2_malnutrition_charfact*B145</f>
        <v>1.0763861003861002E-5</v>
      </c>
      <c r="M145" s="83">
        <f>CO2_workingcapacity_charfact*B145</f>
        <v>5.2473822393822384E-6</v>
      </c>
      <c r="N145" s="83">
        <f>CO2_diarrhea_charfact*B145</f>
        <v>7.1759073359073361E-8</v>
      </c>
      <c r="O145" s="83">
        <f>PM2.5_asthmacases_charfact*F145</f>
        <v>5.3127359999999993E-6</v>
      </c>
      <c r="P145" s="83">
        <f>PM2.5_COPD_charfact*F145</f>
        <v>4.1469999999999997E-7</v>
      </c>
      <c r="Q145" s="83">
        <f>CO2_crop_charfact*B145</f>
        <v>4.9067544855780146E-2</v>
      </c>
      <c r="R145" s="83">
        <f>charnoxcrop/0.62*D145</f>
        <v>0.42754377233859653</v>
      </c>
      <c r="S145" s="83">
        <f>charco2woodgw*B145</f>
        <v>0</v>
      </c>
      <c r="T145" s="83">
        <f>NOx_wood_oxidantcharfact/0.62*D145</f>
        <v>3.3134642356241237E-2</v>
      </c>
      <c r="U145" s="83">
        <f>CO2_fruitandveg_charfact*B145</f>
        <v>5.8765932318873481E-3</v>
      </c>
      <c r="V145" s="83">
        <f>CO2_meatandfish_charfact*B145</f>
        <v>2.3150215761980467E-3</v>
      </c>
      <c r="W145" s="83">
        <f>CO2_drinkingwater_charfact*B145</f>
        <v>0.28255135135135134</v>
      </c>
      <c r="X145" s="83">
        <f>CO2_irrigationwater_charfact*B145</f>
        <v>0.56510270270270269</v>
      </c>
      <c r="Y145" s="83">
        <f>CO2_housing_charfact*B145</f>
        <v>8.9698841698841695E-8</v>
      </c>
      <c r="Z145" s="83">
        <f>CO2_separations_charfact*B145</f>
        <v>1.0193050193050191E-6</v>
      </c>
      <c r="AA145" s="83">
        <f>CO2_NEX_charfact*B145</f>
        <v>1.0193050193050192E-15</v>
      </c>
      <c r="AB145" s="131">
        <f>(H145+I145+J145+K145)*YOLLvalue+L145*malnutrition+M145*working_capacity+N145*diarrhea+O145*asthmacasesvalue+P145*COPDvalue+(Q145+R145)*cropvalue+(S145+T145)*woodvalue+U145*Fruitandveg_value+V145*fishandmeatvalue+W145*drinkingwatervalue+X145*irrigationwatervalue+Y145*housingvalue+Z145*migrationvalue+AA145*speciesvalue</f>
        <v>17.104221506163071</v>
      </c>
    </row>
    <row r="146" spans="1:28">
      <c r="AB146" s="200"/>
    </row>
    <row r="147" spans="1:28">
      <c r="A147" s="45" t="s">
        <v>1475</v>
      </c>
      <c r="AA147" s="79" t="s">
        <v>486</v>
      </c>
      <c r="AB147" s="131">
        <f>AVERAGE(AB4:AB26,AB28:AB31,AB33:AB45,AB47:AB48,AB50,AB52:AB67,AB69:AB82,AB84:AB85,AB87:AB95,AB97:AB107,AB109:AB115,AB117:AB121,AB123:AB127,AB129:AB131,AB133:AB141,AB143:AB145)</f>
        <v>17.408381273323123</v>
      </c>
    </row>
  </sheetData>
  <autoFilter ref="A1:AN145" xr:uid="{00000000-0009-0000-0000-00000A000000}"/>
  <phoneticPr fontId="0" type="noConversion"/>
  <pageMargins left="0.75" right="0.75" top="1" bottom="1" header="0.5" footer="0.5"/>
  <pageSetup paperSize="9" orientation="portrait"/>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04"/>
  <sheetViews>
    <sheetView workbookViewId="0">
      <pane xSplit="1" ySplit="1" topLeftCell="B2" activePane="bottomRight" state="frozenSplit"/>
      <selection activeCell="L190" sqref="L190"/>
      <selection pane="topRight" activeCell="L190" sqref="L190"/>
      <selection pane="bottomLeft" activeCell="L190" sqref="L190"/>
      <selection pane="bottomRight" activeCell="A10" sqref="A10"/>
    </sheetView>
  </sheetViews>
  <sheetFormatPr baseColWidth="10" defaultColWidth="8.83203125" defaultRowHeight="13"/>
  <cols>
    <col min="1" max="1" width="29" bestFit="1" customWidth="1"/>
    <col min="2" max="2" width="13.5" bestFit="1" customWidth="1"/>
    <col min="3" max="3" width="6" bestFit="1" customWidth="1"/>
    <col min="4" max="4" width="16.1640625" customWidth="1"/>
    <col min="5" max="5" width="13.1640625" bestFit="1" customWidth="1"/>
    <col min="6" max="6" width="8.6640625" bestFit="1" customWidth="1"/>
    <col min="7" max="7" width="10.5" customWidth="1"/>
    <col min="8" max="8" width="9.33203125" customWidth="1"/>
    <col min="9" max="9" width="9.6640625" customWidth="1"/>
    <col min="10" max="12" width="9" customWidth="1"/>
    <col min="13" max="13" width="11" bestFit="1" customWidth="1"/>
    <col min="14" max="14" width="15.5" style="139" customWidth="1"/>
    <col min="15" max="15" width="11.1640625" style="137" bestFit="1" customWidth="1"/>
  </cols>
  <sheetData>
    <row r="1" spans="1:20" ht="28">
      <c r="A1" t="s">
        <v>247</v>
      </c>
      <c r="B1" t="s">
        <v>248</v>
      </c>
      <c r="C1" s="45" t="s">
        <v>1079</v>
      </c>
      <c r="D1" s="45" t="s">
        <v>1142</v>
      </c>
      <c r="E1" t="s">
        <v>249</v>
      </c>
      <c r="F1" s="46" t="s">
        <v>1373</v>
      </c>
      <c r="G1" s="46" t="s">
        <v>1374</v>
      </c>
      <c r="H1" s="46" t="s">
        <v>1377</v>
      </c>
      <c r="I1" s="46" t="s">
        <v>1376</v>
      </c>
      <c r="J1" s="46" t="s">
        <v>1378</v>
      </c>
      <c r="K1" s="46" t="s">
        <v>1380</v>
      </c>
      <c r="L1" s="46" t="s">
        <v>1379</v>
      </c>
      <c r="M1" s="46" t="s">
        <v>1375</v>
      </c>
      <c r="N1" s="201" t="s">
        <v>1864</v>
      </c>
      <c r="O1" s="135"/>
    </row>
    <row r="2" spans="1:20">
      <c r="A2" t="s">
        <v>1343</v>
      </c>
      <c r="B2" t="s">
        <v>1566</v>
      </c>
      <c r="C2">
        <v>1500</v>
      </c>
      <c r="E2" s="69">
        <f>1/C2*1000</f>
        <v>0.66666666666666663</v>
      </c>
      <c r="F2" s="70">
        <f t="shared" ref="F2:F65" si="0">18000/2360000000*35*E2/averagepesticidepotency</f>
        <v>2.0518375812487544E-6</v>
      </c>
      <c r="G2" s="70">
        <f t="shared" ref="G2:G65" si="1">3000000*0.02/2360000000*E2/averagepesticidepotency</f>
        <v>1.9541310297607186E-7</v>
      </c>
      <c r="H2" s="1"/>
      <c r="I2" s="1"/>
      <c r="J2" s="1"/>
      <c r="K2" s="1"/>
      <c r="L2" s="1"/>
      <c r="M2" s="70">
        <f t="shared" ref="M2:M65" si="2">0.008382/2360000000*E2/averagepesticidepotency</f>
        <v>2.7299210485757237E-14</v>
      </c>
      <c r="N2" s="206">
        <f t="shared" ref="N2:N65" si="3">F2*YOLLvalue+G2*poisoningvalue+H2*As_orevalue+I2*Cu_orevalue+J2*Hg_orevalue+K2*Pb_orevalue+L2*Zn_orevalue+M2*speciesvalue</f>
        <v>0.10998302793892228</v>
      </c>
      <c r="O2" s="136"/>
      <c r="P2" s="80"/>
      <c r="Q2" s="77"/>
      <c r="R2" s="77"/>
      <c r="S2" s="80"/>
      <c r="T2" s="80"/>
    </row>
    <row r="3" spans="1:20">
      <c r="A3" t="s">
        <v>1197</v>
      </c>
      <c r="B3" t="s">
        <v>1567</v>
      </c>
      <c r="C3">
        <v>375</v>
      </c>
      <c r="D3" t="s">
        <v>1198</v>
      </c>
      <c r="E3" s="69">
        <f t="shared" ref="E3:E66" si="4">1/C3*1000</f>
        <v>2.6666666666666665</v>
      </c>
      <c r="F3" s="70">
        <f t="shared" si="0"/>
        <v>8.2073503249950174E-6</v>
      </c>
      <c r="G3" s="70">
        <f t="shared" si="1"/>
        <v>7.8165241190428742E-7</v>
      </c>
      <c r="H3" s="1"/>
      <c r="I3" s="1"/>
      <c r="J3" s="1"/>
      <c r="K3" s="1"/>
      <c r="L3" s="1"/>
      <c r="M3" s="70">
        <f t="shared" si="2"/>
        <v>1.0919684194302895E-13</v>
      </c>
      <c r="N3" s="206">
        <f t="shared" si="3"/>
        <v>0.43993211175568914</v>
      </c>
      <c r="O3" s="136"/>
      <c r="P3" s="80"/>
      <c r="Q3" s="77"/>
      <c r="R3" s="77"/>
      <c r="S3" s="80"/>
      <c r="T3" s="80"/>
    </row>
    <row r="4" spans="1:20">
      <c r="A4" t="s">
        <v>1200</v>
      </c>
      <c r="B4" t="s">
        <v>1568</v>
      </c>
      <c r="C4">
        <v>700</v>
      </c>
      <c r="E4" s="69">
        <f t="shared" si="4"/>
        <v>1.4285714285714286</v>
      </c>
      <c r="F4" s="70">
        <f t="shared" si="0"/>
        <v>4.3967948169616168E-6</v>
      </c>
      <c r="G4" s="70">
        <f t="shared" si="1"/>
        <v>4.1874236352015398E-7</v>
      </c>
      <c r="H4" s="1"/>
      <c r="I4" s="1"/>
      <c r="J4" s="1"/>
      <c r="K4" s="1"/>
      <c r="L4" s="1"/>
      <c r="M4" s="70">
        <f t="shared" si="2"/>
        <v>5.8498308183765519E-14</v>
      </c>
      <c r="N4" s="206">
        <f t="shared" si="3"/>
        <v>0.23567791701197632</v>
      </c>
      <c r="O4" s="136"/>
      <c r="P4" s="80"/>
      <c r="Q4" s="77"/>
      <c r="R4" s="77"/>
      <c r="S4" s="80"/>
      <c r="T4" s="80"/>
    </row>
    <row r="5" spans="1:20">
      <c r="A5" t="s">
        <v>1300</v>
      </c>
      <c r="B5" t="s">
        <v>1569</v>
      </c>
      <c r="C5">
        <v>600</v>
      </c>
      <c r="E5" s="69">
        <f t="shared" si="4"/>
        <v>1.6666666666666667</v>
      </c>
      <c r="F5" s="70">
        <f t="shared" si="0"/>
        <v>5.1295939531218867E-6</v>
      </c>
      <c r="G5" s="70">
        <f t="shared" si="1"/>
        <v>4.8853275744017972E-7</v>
      </c>
      <c r="H5" s="1"/>
      <c r="I5" s="1"/>
      <c r="J5" s="1"/>
      <c r="K5" s="1"/>
      <c r="L5" s="1"/>
      <c r="M5" s="70">
        <f t="shared" si="2"/>
        <v>6.8248026214393097E-14</v>
      </c>
      <c r="N5" s="206">
        <f t="shared" si="3"/>
        <v>0.27495756984730574</v>
      </c>
      <c r="O5" s="136"/>
      <c r="P5" s="80"/>
      <c r="Q5" s="77"/>
      <c r="R5" s="77"/>
      <c r="S5" s="80"/>
      <c r="T5" s="80"/>
    </row>
    <row r="6" spans="1:20">
      <c r="A6" t="s">
        <v>1093</v>
      </c>
      <c r="B6" t="s">
        <v>1570</v>
      </c>
      <c r="C6">
        <v>112</v>
      </c>
      <c r="E6" s="69">
        <f t="shared" si="4"/>
        <v>8.9285714285714288</v>
      </c>
      <c r="F6" s="70">
        <f t="shared" si="0"/>
        <v>2.7479967606010106E-5</v>
      </c>
      <c r="G6" s="70">
        <f t="shared" si="1"/>
        <v>2.6171397720009624E-6</v>
      </c>
      <c r="H6" s="1"/>
      <c r="I6" s="1"/>
      <c r="J6" s="1"/>
      <c r="K6" s="1"/>
      <c r="L6" s="1"/>
      <c r="M6" s="70">
        <f t="shared" si="2"/>
        <v>3.656144261485345E-13</v>
      </c>
      <c r="N6" s="206">
        <f t="shared" si="3"/>
        <v>1.4729869813248522</v>
      </c>
      <c r="O6" s="136"/>
      <c r="P6" s="80"/>
      <c r="Q6" s="77"/>
      <c r="R6" s="77"/>
      <c r="S6" s="80"/>
      <c r="T6" s="80"/>
    </row>
    <row r="7" spans="1:20">
      <c r="A7" t="s">
        <v>1186</v>
      </c>
      <c r="B7" t="s">
        <v>1571</v>
      </c>
      <c r="C7">
        <v>850</v>
      </c>
      <c r="E7" s="69">
        <f t="shared" si="4"/>
        <v>1.1764705882352939</v>
      </c>
      <c r="F7" s="70">
        <f t="shared" si="0"/>
        <v>3.6208898492625076E-6</v>
      </c>
      <c r="G7" s="70">
        <f t="shared" si="1"/>
        <v>3.4484665231071498E-7</v>
      </c>
      <c r="H7" s="1"/>
      <c r="I7" s="1"/>
      <c r="J7" s="1"/>
      <c r="K7" s="1"/>
      <c r="L7" s="1"/>
      <c r="M7" s="70">
        <f t="shared" si="2"/>
        <v>4.8175077327806889E-14</v>
      </c>
      <c r="N7" s="206">
        <f t="shared" si="3"/>
        <v>0.19408769636280401</v>
      </c>
      <c r="O7" s="136"/>
      <c r="P7" s="80"/>
      <c r="Q7" s="77"/>
      <c r="R7" s="77"/>
      <c r="S7" s="80"/>
      <c r="T7" s="80"/>
    </row>
    <row r="8" spans="1:20">
      <c r="A8" t="s">
        <v>1143</v>
      </c>
      <c r="B8" t="s">
        <v>1572</v>
      </c>
      <c r="C8">
        <v>945</v>
      </c>
      <c r="E8" s="69">
        <f t="shared" si="4"/>
        <v>1.0582010582010584</v>
      </c>
      <c r="F8" s="70">
        <f t="shared" si="0"/>
        <v>3.2568850496011981E-6</v>
      </c>
      <c r="G8" s="70">
        <f t="shared" si="1"/>
        <v>3.1017952853344745E-7</v>
      </c>
      <c r="H8" s="1"/>
      <c r="I8" s="1"/>
      <c r="J8" s="1"/>
      <c r="K8" s="1"/>
      <c r="L8" s="1"/>
      <c r="M8" s="70">
        <f t="shared" si="2"/>
        <v>4.3332080136122608E-14</v>
      </c>
      <c r="N8" s="206">
        <f t="shared" si="3"/>
        <v>0.1745762348236862</v>
      </c>
      <c r="O8" s="136"/>
      <c r="P8" s="80"/>
      <c r="Q8" s="77"/>
      <c r="R8" s="77"/>
      <c r="S8" s="80"/>
      <c r="T8" s="80"/>
    </row>
    <row r="9" spans="1:20">
      <c r="A9" t="s">
        <v>1144</v>
      </c>
      <c r="B9" t="s">
        <v>1573</v>
      </c>
      <c r="C9">
        <v>1370</v>
      </c>
      <c r="E9" s="69">
        <f t="shared" si="4"/>
        <v>0.72992700729927007</v>
      </c>
      <c r="F9" s="70">
        <f t="shared" si="0"/>
        <v>2.2465374977176143E-6</v>
      </c>
      <c r="G9" s="70">
        <f t="shared" si="1"/>
        <v>2.1395595216358231E-7</v>
      </c>
      <c r="H9" s="1"/>
      <c r="I9" s="1"/>
      <c r="J9" s="1"/>
      <c r="K9" s="1"/>
      <c r="L9" s="1"/>
      <c r="M9" s="70">
        <f t="shared" si="2"/>
        <v>2.9889646517252448E-14</v>
      </c>
      <c r="N9" s="206">
        <f t="shared" si="3"/>
        <v>0.12041937365575432</v>
      </c>
      <c r="O9" s="136"/>
      <c r="P9" s="80"/>
      <c r="Q9" s="77"/>
      <c r="R9" s="77"/>
      <c r="S9" s="80"/>
      <c r="T9" s="80"/>
    </row>
    <row r="10" spans="1:20">
      <c r="A10" t="s">
        <v>1080</v>
      </c>
      <c r="B10" t="s">
        <v>1574</v>
      </c>
      <c r="C10">
        <v>29</v>
      </c>
      <c r="D10" t="s">
        <v>1081</v>
      </c>
      <c r="E10" s="69">
        <f t="shared" si="4"/>
        <v>34.482758620689651</v>
      </c>
      <c r="F10" s="70">
        <f t="shared" si="0"/>
        <v>1.0612953006459074E-4</v>
      </c>
      <c r="G10" s="70">
        <f t="shared" si="1"/>
        <v>1.0107574291865785E-5</v>
      </c>
      <c r="H10" s="1"/>
      <c r="I10" s="1"/>
      <c r="J10" s="1"/>
      <c r="K10" s="1"/>
      <c r="L10" s="1"/>
      <c r="M10" s="70">
        <f t="shared" si="2"/>
        <v>1.4120281285736502E-12</v>
      </c>
      <c r="N10" s="206">
        <f t="shared" si="3"/>
        <v>5.6887773071856351</v>
      </c>
      <c r="O10" s="136"/>
      <c r="P10" s="80"/>
      <c r="Q10" s="77"/>
      <c r="R10" s="77"/>
      <c r="S10" s="80"/>
      <c r="T10" s="80"/>
    </row>
    <row r="11" spans="1:20">
      <c r="A11" t="s">
        <v>1145</v>
      </c>
      <c r="B11" t="s">
        <v>1575</v>
      </c>
      <c r="C11">
        <v>930</v>
      </c>
      <c r="D11" t="s">
        <v>1146</v>
      </c>
      <c r="E11" s="69">
        <f t="shared" si="4"/>
        <v>1.075268817204301</v>
      </c>
      <c r="F11" s="70">
        <f t="shared" si="0"/>
        <v>3.3094154536270234E-6</v>
      </c>
      <c r="G11" s="70">
        <f t="shared" si="1"/>
        <v>3.1518242415495457E-7</v>
      </c>
      <c r="H11" s="1"/>
      <c r="I11" s="1"/>
      <c r="J11" s="1"/>
      <c r="K11" s="1"/>
      <c r="L11" s="1"/>
      <c r="M11" s="70">
        <f t="shared" si="2"/>
        <v>4.4030984654447157E-14</v>
      </c>
      <c r="N11" s="206">
        <f t="shared" si="3"/>
        <v>0.17739198054664884</v>
      </c>
      <c r="O11" s="136"/>
      <c r="P11" s="80"/>
      <c r="Q11" s="77"/>
      <c r="R11" s="77"/>
      <c r="S11" s="80"/>
      <c r="T11" s="80"/>
    </row>
    <row r="12" spans="1:20">
      <c r="A12" t="s">
        <v>1147</v>
      </c>
      <c r="B12" t="s">
        <v>1576</v>
      </c>
      <c r="C12">
        <v>330</v>
      </c>
      <c r="E12" s="69">
        <f t="shared" si="4"/>
        <v>3.0303030303030303</v>
      </c>
      <c r="F12" s="70">
        <f t="shared" si="0"/>
        <v>9.3265344602216105E-6</v>
      </c>
      <c r="G12" s="70">
        <f t="shared" si="1"/>
        <v>8.8824137716396301E-7</v>
      </c>
      <c r="H12" s="1"/>
      <c r="I12" s="1"/>
      <c r="J12" s="1"/>
      <c r="K12" s="1"/>
      <c r="L12" s="1"/>
      <c r="M12" s="70">
        <f t="shared" si="2"/>
        <v>1.2408732038980564E-13</v>
      </c>
      <c r="N12" s="206">
        <f t="shared" si="3"/>
        <v>0.49992285426782856</v>
      </c>
      <c r="O12" s="136"/>
      <c r="P12" s="80"/>
      <c r="Q12" s="77"/>
      <c r="R12" s="77"/>
      <c r="S12" s="80"/>
      <c r="T12" s="80"/>
    </row>
    <row r="13" spans="1:20">
      <c r="A13" t="s">
        <v>1049</v>
      </c>
      <c r="B13" t="s">
        <v>1577</v>
      </c>
      <c r="C13">
        <v>0.93</v>
      </c>
      <c r="D13" t="s">
        <v>1050</v>
      </c>
      <c r="E13" s="69">
        <f t="shared" si="4"/>
        <v>1075.2688172043011</v>
      </c>
      <c r="F13" s="70">
        <f t="shared" si="0"/>
        <v>3.3094154536270231E-3</v>
      </c>
      <c r="G13" s="70">
        <f t="shared" si="1"/>
        <v>3.151824241549546E-4</v>
      </c>
      <c r="H13" s="1"/>
      <c r="I13" s="1"/>
      <c r="J13" s="1"/>
      <c r="K13" s="1"/>
      <c r="L13" s="1"/>
      <c r="M13" s="70">
        <f t="shared" si="2"/>
        <v>4.4030984654447162E-11</v>
      </c>
      <c r="N13" s="206">
        <f t="shared" si="3"/>
        <v>177.39198054664882</v>
      </c>
      <c r="O13" s="136"/>
      <c r="P13" s="80"/>
      <c r="Q13" s="77"/>
      <c r="R13" s="77"/>
      <c r="S13" s="80"/>
      <c r="T13" s="80"/>
    </row>
    <row r="14" spans="1:20">
      <c r="A14" t="s">
        <v>1148</v>
      </c>
      <c r="B14" t="s">
        <v>1578</v>
      </c>
      <c r="C14">
        <v>685</v>
      </c>
      <c r="E14" s="69">
        <f t="shared" si="4"/>
        <v>1.4598540145985401</v>
      </c>
      <c r="F14" s="70">
        <f t="shared" si="0"/>
        <v>4.4930749954352287E-6</v>
      </c>
      <c r="G14" s="70">
        <f t="shared" si="1"/>
        <v>4.2791190432716462E-7</v>
      </c>
      <c r="H14" s="1"/>
      <c r="I14" s="1"/>
      <c r="J14" s="1"/>
      <c r="K14" s="1"/>
      <c r="L14" s="1"/>
      <c r="M14" s="70">
        <f t="shared" si="2"/>
        <v>5.9779293034504896E-14</v>
      </c>
      <c r="N14" s="206">
        <f t="shared" si="3"/>
        <v>0.24083874731150864</v>
      </c>
      <c r="O14" s="136"/>
      <c r="P14" s="80"/>
      <c r="Q14" s="77"/>
      <c r="R14" s="77"/>
      <c r="S14" s="80"/>
      <c r="T14" s="80"/>
    </row>
    <row r="15" spans="1:20">
      <c r="A15" t="s">
        <v>1082</v>
      </c>
      <c r="B15" t="s">
        <v>1579</v>
      </c>
      <c r="C15">
        <v>64</v>
      </c>
      <c r="E15" s="69">
        <f t="shared" si="4"/>
        <v>15.625</v>
      </c>
      <c r="F15" s="70">
        <f t="shared" si="0"/>
        <v>4.8089943310517684E-5</v>
      </c>
      <c r="G15" s="70">
        <f t="shared" si="1"/>
        <v>4.5799946010016835E-6</v>
      </c>
      <c r="H15" s="1"/>
      <c r="I15" s="1"/>
      <c r="J15" s="1"/>
      <c r="K15" s="1"/>
      <c r="L15" s="1"/>
      <c r="M15" s="70">
        <f t="shared" si="2"/>
        <v>6.3982524575993528E-13</v>
      </c>
      <c r="N15" s="206">
        <f t="shared" si="3"/>
        <v>2.5777272173184911</v>
      </c>
      <c r="O15" s="136"/>
      <c r="P15" s="80"/>
      <c r="Q15" s="77"/>
      <c r="R15" s="77"/>
      <c r="S15" s="80"/>
      <c r="T15" s="80"/>
    </row>
    <row r="16" spans="1:20">
      <c r="A16" t="s">
        <v>1194</v>
      </c>
      <c r="B16" t="s">
        <v>1580</v>
      </c>
      <c r="C16">
        <v>79</v>
      </c>
      <c r="E16" s="69">
        <f t="shared" si="4"/>
        <v>12.658227848101266</v>
      </c>
      <c r="F16" s="70">
        <f t="shared" si="0"/>
        <v>3.895894141611559E-5</v>
      </c>
      <c r="G16" s="70">
        <f t="shared" si="1"/>
        <v>3.7103753729633895E-6</v>
      </c>
      <c r="H16" s="1"/>
      <c r="I16" s="1"/>
      <c r="J16" s="1"/>
      <c r="K16" s="1"/>
      <c r="L16" s="1"/>
      <c r="M16" s="70">
        <f t="shared" si="2"/>
        <v>5.1833943960298551E-13</v>
      </c>
      <c r="N16" s="206">
        <f t="shared" si="3"/>
        <v>2.0882853406124484</v>
      </c>
      <c r="O16" s="136"/>
      <c r="P16" s="80"/>
      <c r="Q16" s="77"/>
      <c r="R16" s="77"/>
      <c r="S16" s="80"/>
      <c r="T16" s="80"/>
    </row>
    <row r="17" spans="1:20">
      <c r="A17" t="s">
        <v>1149</v>
      </c>
      <c r="B17" t="s">
        <v>1581</v>
      </c>
      <c r="C17">
        <v>110</v>
      </c>
      <c r="E17" s="69">
        <f t="shared" si="4"/>
        <v>9.0909090909090899</v>
      </c>
      <c r="F17" s="70">
        <f t="shared" si="0"/>
        <v>2.797960338066483E-5</v>
      </c>
      <c r="G17" s="70">
        <f t="shared" si="1"/>
        <v>2.6647241314918886E-6</v>
      </c>
      <c r="H17" s="1"/>
      <c r="I17" s="1"/>
      <c r="J17" s="1"/>
      <c r="K17" s="1"/>
      <c r="L17" s="1"/>
      <c r="M17" s="70">
        <f t="shared" si="2"/>
        <v>3.7226196116941687E-13</v>
      </c>
      <c r="N17" s="206">
        <f t="shared" si="3"/>
        <v>1.4997685628034856</v>
      </c>
      <c r="O17" s="136"/>
      <c r="P17" s="80"/>
      <c r="Q17" s="77"/>
      <c r="R17" s="77"/>
      <c r="S17" s="80"/>
      <c r="T17" s="80"/>
    </row>
    <row r="18" spans="1:20">
      <c r="A18" t="s">
        <v>1150</v>
      </c>
      <c r="B18" t="s">
        <v>1582</v>
      </c>
      <c r="C18">
        <v>800</v>
      </c>
      <c r="E18" s="69">
        <f t="shared" si="4"/>
        <v>1.25</v>
      </c>
      <c r="F18" s="70">
        <f t="shared" si="0"/>
        <v>3.8471954648414144E-6</v>
      </c>
      <c r="G18" s="70">
        <f t="shared" si="1"/>
        <v>3.6639956808013474E-7</v>
      </c>
      <c r="H18" s="1"/>
      <c r="I18" s="1"/>
      <c r="J18" s="1"/>
      <c r="K18" s="1"/>
      <c r="L18" s="1"/>
      <c r="M18" s="70">
        <f t="shared" si="2"/>
        <v>5.1186019660794826E-14</v>
      </c>
      <c r="N18" s="206">
        <f t="shared" si="3"/>
        <v>0.20621817738547926</v>
      </c>
      <c r="O18" s="136"/>
      <c r="P18" s="80"/>
      <c r="Q18" s="77"/>
      <c r="R18" s="77"/>
      <c r="S18" s="80"/>
      <c r="T18" s="80"/>
    </row>
    <row r="19" spans="1:20">
      <c r="A19" t="s">
        <v>1151</v>
      </c>
      <c r="B19" t="s">
        <v>1583</v>
      </c>
      <c r="C19">
        <v>472</v>
      </c>
      <c r="E19" s="69">
        <f t="shared" si="4"/>
        <v>2.1186440677966103</v>
      </c>
      <c r="F19" s="70">
        <f t="shared" si="0"/>
        <v>6.5206702793922292E-6</v>
      </c>
      <c r="G19" s="70">
        <f t="shared" si="1"/>
        <v>6.2101621708497416E-7</v>
      </c>
      <c r="H19" s="1"/>
      <c r="I19" s="1"/>
      <c r="J19" s="1"/>
      <c r="K19" s="1"/>
      <c r="L19" s="1"/>
      <c r="M19" s="70">
        <f t="shared" si="2"/>
        <v>8.6755965526770896E-14</v>
      </c>
      <c r="N19" s="206">
        <f t="shared" si="3"/>
        <v>0.34952233455165982</v>
      </c>
      <c r="O19" s="136"/>
      <c r="P19" s="80"/>
      <c r="Q19" s="77"/>
      <c r="R19" s="77"/>
      <c r="S19" s="80"/>
      <c r="T19" s="80"/>
    </row>
    <row r="20" spans="1:20">
      <c r="A20" t="s">
        <v>1152</v>
      </c>
      <c r="B20" t="s">
        <v>1584</v>
      </c>
      <c r="C20">
        <v>308</v>
      </c>
      <c r="E20" s="69">
        <f t="shared" si="4"/>
        <v>3.2467532467532472</v>
      </c>
      <c r="F20" s="70">
        <f t="shared" si="0"/>
        <v>9.992715493094585E-6</v>
      </c>
      <c r="G20" s="70">
        <f t="shared" si="1"/>
        <v>9.5168718981853192E-7</v>
      </c>
      <c r="H20" s="1"/>
      <c r="I20" s="1"/>
      <c r="J20" s="1"/>
      <c r="K20" s="1"/>
      <c r="L20" s="1"/>
      <c r="M20" s="70">
        <f t="shared" si="2"/>
        <v>1.3295070041764892E-13</v>
      </c>
      <c r="N20" s="206">
        <f t="shared" si="3"/>
        <v>0.53563162957267352</v>
      </c>
      <c r="O20" s="136"/>
      <c r="P20" s="80"/>
      <c r="Q20" s="77"/>
      <c r="R20" s="77"/>
      <c r="S20" s="80"/>
      <c r="T20" s="80"/>
    </row>
    <row r="21" spans="1:20">
      <c r="A21" t="s">
        <v>1153</v>
      </c>
      <c r="B21" t="s">
        <v>1585</v>
      </c>
      <c r="C21">
        <v>1010</v>
      </c>
      <c r="E21" s="69">
        <f t="shared" si="4"/>
        <v>0.99009900990099009</v>
      </c>
      <c r="F21" s="70">
        <f t="shared" si="0"/>
        <v>3.0472835365080512E-6</v>
      </c>
      <c r="G21" s="70">
        <f t="shared" si="1"/>
        <v>2.902174796674334E-7</v>
      </c>
      <c r="H21" s="1"/>
      <c r="I21" s="1"/>
      <c r="J21" s="1"/>
      <c r="K21" s="1"/>
      <c r="L21" s="1"/>
      <c r="M21" s="70">
        <f t="shared" si="2"/>
        <v>4.0543381909540456E-14</v>
      </c>
      <c r="N21" s="206">
        <f t="shared" si="3"/>
        <v>0.16334113060235983</v>
      </c>
      <c r="O21" s="136"/>
      <c r="P21" s="80"/>
      <c r="Q21" s="77"/>
      <c r="R21" s="77"/>
      <c r="S21" s="80"/>
      <c r="T21" s="80"/>
    </row>
    <row r="22" spans="1:20">
      <c r="A22" t="s">
        <v>1083</v>
      </c>
      <c r="B22" t="s">
        <v>1586</v>
      </c>
      <c r="C22">
        <v>12</v>
      </c>
      <c r="E22" s="69">
        <f t="shared" si="4"/>
        <v>83.333333333333329</v>
      </c>
      <c r="F22" s="70">
        <f t="shared" si="0"/>
        <v>2.5647969765609429E-4</v>
      </c>
      <c r="G22" s="70">
        <f t="shared" si="1"/>
        <v>2.4426637872008983E-5</v>
      </c>
      <c r="H22" s="1"/>
      <c r="I22" s="1"/>
      <c r="J22" s="1"/>
      <c r="K22" s="1"/>
      <c r="L22" s="1"/>
      <c r="M22" s="70">
        <f t="shared" si="2"/>
        <v>3.4124013107196547E-12</v>
      </c>
      <c r="N22" s="206">
        <f t="shared" si="3"/>
        <v>13.747878492365283</v>
      </c>
      <c r="O22" s="136"/>
      <c r="P22" s="80"/>
      <c r="Q22" s="77"/>
      <c r="R22" s="77"/>
      <c r="S22" s="80"/>
      <c r="T22" s="80"/>
    </row>
    <row r="23" spans="1:20">
      <c r="A23" t="s">
        <v>1084</v>
      </c>
      <c r="B23" t="s">
        <v>1587</v>
      </c>
      <c r="C23">
        <v>16</v>
      </c>
      <c r="E23" s="69">
        <f t="shared" si="4"/>
        <v>62.5</v>
      </c>
      <c r="F23" s="70">
        <f t="shared" si="0"/>
        <v>1.9235977324207073E-4</v>
      </c>
      <c r="G23" s="70">
        <f t="shared" si="1"/>
        <v>1.8319978404006734E-5</v>
      </c>
      <c r="H23" s="1"/>
      <c r="I23" s="1"/>
      <c r="J23" s="1"/>
      <c r="K23" s="1"/>
      <c r="L23" s="1"/>
      <c r="M23" s="70">
        <f t="shared" si="2"/>
        <v>2.5593009830397411E-12</v>
      </c>
      <c r="N23" s="206">
        <f t="shared" si="3"/>
        <v>10.310908869273964</v>
      </c>
      <c r="O23" s="136"/>
      <c r="P23" s="80"/>
      <c r="Q23" s="77"/>
      <c r="R23" s="77"/>
      <c r="S23" s="80"/>
      <c r="T23" s="80"/>
    </row>
    <row r="24" spans="1:20">
      <c r="A24" t="s">
        <v>1154</v>
      </c>
      <c r="B24" t="s">
        <v>1588</v>
      </c>
      <c r="C24">
        <v>80</v>
      </c>
      <c r="E24" s="69">
        <f t="shared" si="4"/>
        <v>12.5</v>
      </c>
      <c r="F24" s="70">
        <f t="shared" si="0"/>
        <v>3.8471954648414144E-5</v>
      </c>
      <c r="G24" s="70">
        <f t="shared" si="1"/>
        <v>3.6639956808013469E-6</v>
      </c>
      <c r="H24" s="1"/>
      <c r="I24" s="1"/>
      <c r="J24" s="1"/>
      <c r="K24" s="1"/>
      <c r="L24" s="1"/>
      <c r="M24" s="70">
        <f t="shared" si="2"/>
        <v>5.1186019660794821E-13</v>
      </c>
      <c r="N24" s="206">
        <f t="shared" si="3"/>
        <v>2.062181773854793</v>
      </c>
      <c r="O24" s="136"/>
      <c r="P24" s="80"/>
      <c r="Q24" s="77"/>
      <c r="R24" s="77"/>
      <c r="S24" s="80"/>
      <c r="T24" s="80"/>
    </row>
    <row r="25" spans="1:20">
      <c r="A25" t="s">
        <v>1155</v>
      </c>
      <c r="B25" t="s">
        <v>1589</v>
      </c>
      <c r="C25">
        <v>55</v>
      </c>
      <c r="E25" s="69">
        <f t="shared" si="4"/>
        <v>18.18181818181818</v>
      </c>
      <c r="F25" s="70">
        <f t="shared" si="0"/>
        <v>5.595920676132966E-5</v>
      </c>
      <c r="G25" s="70">
        <f t="shared" si="1"/>
        <v>5.3294482629837772E-6</v>
      </c>
      <c r="H25" s="1"/>
      <c r="I25" s="1"/>
      <c r="J25" s="1"/>
      <c r="K25" s="1"/>
      <c r="L25" s="1"/>
      <c r="M25" s="70">
        <f t="shared" si="2"/>
        <v>7.4452392233883374E-13</v>
      </c>
      <c r="N25" s="206">
        <f t="shared" si="3"/>
        <v>2.9995371256069712</v>
      </c>
      <c r="O25" s="136"/>
      <c r="P25" s="80"/>
      <c r="Q25" s="77"/>
      <c r="R25" s="77"/>
      <c r="S25" s="80"/>
      <c r="T25" s="80"/>
    </row>
    <row r="26" spans="1:20">
      <c r="A26" t="s">
        <v>1156</v>
      </c>
      <c r="B26" t="s">
        <v>1590</v>
      </c>
      <c r="C26">
        <v>205</v>
      </c>
      <c r="E26" s="69">
        <f t="shared" si="4"/>
        <v>4.8780487804878048</v>
      </c>
      <c r="F26" s="70">
        <f t="shared" si="0"/>
        <v>1.5013445716454301E-5</v>
      </c>
      <c r="G26" s="70">
        <f t="shared" si="1"/>
        <v>1.4298519729956475E-6</v>
      </c>
      <c r="H26" s="1"/>
      <c r="I26" s="1"/>
      <c r="J26" s="1"/>
      <c r="K26" s="1"/>
      <c r="L26" s="1"/>
      <c r="M26" s="70">
        <f t="shared" si="2"/>
        <v>1.99750320627492E-13</v>
      </c>
      <c r="N26" s="206">
        <f t="shared" si="3"/>
        <v>0.804753862967724</v>
      </c>
      <c r="O26" s="136"/>
      <c r="P26" s="80"/>
      <c r="Q26" s="77"/>
      <c r="R26" s="77"/>
      <c r="S26" s="80"/>
      <c r="T26" s="80"/>
    </row>
    <row r="27" spans="1:20">
      <c r="A27" t="s">
        <v>1157</v>
      </c>
      <c r="B27" t="s">
        <v>1591</v>
      </c>
      <c r="C27">
        <v>270</v>
      </c>
      <c r="E27" s="69">
        <f t="shared" si="4"/>
        <v>3.7037037037037037</v>
      </c>
      <c r="F27" s="70">
        <f t="shared" si="0"/>
        <v>1.139909767360419E-5</v>
      </c>
      <c r="G27" s="70">
        <f t="shared" si="1"/>
        <v>1.0856283498670658E-6</v>
      </c>
      <c r="H27" s="1"/>
      <c r="I27" s="1"/>
      <c r="J27" s="1"/>
      <c r="K27" s="1"/>
      <c r="L27" s="1"/>
      <c r="M27" s="70">
        <f t="shared" si="2"/>
        <v>1.516622804764291E-13</v>
      </c>
      <c r="N27" s="206">
        <f t="shared" si="3"/>
        <v>0.61101682188290152</v>
      </c>
      <c r="O27" s="136"/>
      <c r="P27" s="80"/>
      <c r="Q27" s="77"/>
      <c r="R27" s="77"/>
      <c r="S27" s="80"/>
      <c r="T27" s="80"/>
    </row>
    <row r="28" spans="1:20">
      <c r="A28" t="s">
        <v>1158</v>
      </c>
      <c r="B28" t="s">
        <v>1592</v>
      </c>
      <c r="C28">
        <v>1100</v>
      </c>
      <c r="E28" s="69">
        <f t="shared" si="4"/>
        <v>0.90909090909090906</v>
      </c>
      <c r="F28" s="70">
        <f t="shared" si="0"/>
        <v>2.7979603380664832E-6</v>
      </c>
      <c r="G28" s="70">
        <f t="shared" si="1"/>
        <v>2.6647241314918886E-7</v>
      </c>
      <c r="H28" s="1"/>
      <c r="I28" s="1"/>
      <c r="J28" s="1"/>
      <c r="K28" s="1"/>
      <c r="L28" s="1"/>
      <c r="M28" s="70">
        <f t="shared" si="2"/>
        <v>3.7226196116941687E-14</v>
      </c>
      <c r="N28" s="206">
        <f t="shared" si="3"/>
        <v>0.14997685628034854</v>
      </c>
      <c r="O28" s="136"/>
      <c r="P28" s="80"/>
      <c r="Q28" s="77"/>
      <c r="R28" s="77"/>
      <c r="S28" s="80"/>
      <c r="T28" s="80"/>
    </row>
    <row r="29" spans="1:20">
      <c r="A29" t="s">
        <v>1159</v>
      </c>
      <c r="B29" t="s">
        <v>1593</v>
      </c>
      <c r="C29">
        <v>1100</v>
      </c>
      <c r="E29" s="69">
        <f t="shared" si="4"/>
        <v>0.90909090909090906</v>
      </c>
      <c r="F29" s="70">
        <f t="shared" si="0"/>
        <v>2.7979603380664832E-6</v>
      </c>
      <c r="G29" s="70">
        <f t="shared" si="1"/>
        <v>2.6647241314918886E-7</v>
      </c>
      <c r="H29" s="1"/>
      <c r="I29" s="1"/>
      <c r="J29" s="1"/>
      <c r="K29" s="1"/>
      <c r="L29" s="1"/>
      <c r="M29" s="70">
        <f t="shared" si="2"/>
        <v>3.7226196116941687E-14</v>
      </c>
      <c r="N29" s="206">
        <f t="shared" si="3"/>
        <v>0.14997685628034854</v>
      </c>
      <c r="O29" s="136"/>
      <c r="P29" s="80"/>
      <c r="Q29" s="77"/>
      <c r="R29" s="77"/>
      <c r="S29" s="80"/>
      <c r="T29" s="80"/>
    </row>
    <row r="30" spans="1:20">
      <c r="A30" t="s">
        <v>1097</v>
      </c>
      <c r="B30" t="s">
        <v>1594</v>
      </c>
      <c r="C30">
        <v>11</v>
      </c>
      <c r="E30" s="69">
        <f t="shared" si="4"/>
        <v>90.909090909090907</v>
      </c>
      <c r="F30" s="70">
        <f t="shared" si="0"/>
        <v>2.7979603380664831E-4</v>
      </c>
      <c r="G30" s="70">
        <f t="shared" si="1"/>
        <v>2.6647241314918888E-5</v>
      </c>
      <c r="H30" s="1"/>
      <c r="I30" s="1"/>
      <c r="J30" s="1"/>
      <c r="K30" s="1"/>
      <c r="L30" s="1"/>
      <c r="M30" s="70">
        <f t="shared" si="2"/>
        <v>3.7226196116941693E-12</v>
      </c>
      <c r="N30" s="206">
        <f t="shared" si="3"/>
        <v>14.997685628034855</v>
      </c>
      <c r="O30" s="136"/>
      <c r="P30" s="80"/>
      <c r="Q30" s="77"/>
      <c r="R30" s="77"/>
      <c r="S30" s="80"/>
      <c r="T30" s="80"/>
    </row>
    <row r="31" spans="1:20">
      <c r="A31" t="s">
        <v>640</v>
      </c>
      <c r="B31" t="s">
        <v>1595</v>
      </c>
      <c r="C31">
        <v>55</v>
      </c>
      <c r="E31" s="69">
        <f t="shared" si="4"/>
        <v>18.18181818181818</v>
      </c>
      <c r="F31" s="70">
        <f t="shared" si="0"/>
        <v>5.595920676132966E-5</v>
      </c>
      <c r="G31" s="70">
        <f t="shared" si="1"/>
        <v>5.3294482629837772E-6</v>
      </c>
      <c r="H31" s="1"/>
      <c r="I31" s="1"/>
      <c r="J31" s="1"/>
      <c r="K31" s="1"/>
      <c r="L31" s="1"/>
      <c r="M31" s="70">
        <f t="shared" si="2"/>
        <v>7.4452392233883374E-13</v>
      </c>
      <c r="N31" s="206">
        <f t="shared" si="3"/>
        <v>2.9995371256069712</v>
      </c>
      <c r="O31" s="136"/>
      <c r="P31" s="80"/>
      <c r="Q31" s="77"/>
      <c r="R31" s="77"/>
      <c r="S31" s="80"/>
      <c r="T31" s="80"/>
    </row>
    <row r="32" spans="1:20">
      <c r="A32" t="s">
        <v>1160</v>
      </c>
      <c r="B32" t="s">
        <v>1596</v>
      </c>
      <c r="C32">
        <v>268</v>
      </c>
      <c r="E32" s="69">
        <f t="shared" si="4"/>
        <v>3.7313432835820897</v>
      </c>
      <c r="F32" s="70">
        <f t="shared" si="0"/>
        <v>1.148416556669079E-5</v>
      </c>
      <c r="G32" s="70">
        <f t="shared" si="1"/>
        <v>1.0937300539705514E-6</v>
      </c>
      <c r="H32" s="1"/>
      <c r="I32" s="1"/>
      <c r="J32" s="1"/>
      <c r="K32" s="1"/>
      <c r="L32" s="1"/>
      <c r="M32" s="70">
        <f t="shared" si="2"/>
        <v>1.5279408853968604E-13</v>
      </c>
      <c r="N32" s="206">
        <f t="shared" si="3"/>
        <v>0.61557664891187835</v>
      </c>
      <c r="O32" s="136"/>
      <c r="P32" s="80"/>
      <c r="Q32" s="77"/>
      <c r="R32" s="77"/>
      <c r="S32" s="80"/>
      <c r="T32" s="80"/>
    </row>
    <row r="33" spans="1:20">
      <c r="A33" t="s">
        <v>1161</v>
      </c>
      <c r="B33" t="s">
        <v>1578</v>
      </c>
      <c r="C33">
        <v>700</v>
      </c>
      <c r="E33" s="69">
        <f t="shared" si="4"/>
        <v>1.4285714285714286</v>
      </c>
      <c r="F33" s="70">
        <f t="shared" si="0"/>
        <v>4.3967948169616168E-6</v>
      </c>
      <c r="G33" s="70">
        <f t="shared" si="1"/>
        <v>4.1874236352015398E-7</v>
      </c>
      <c r="H33" s="1"/>
      <c r="I33" s="1"/>
      <c r="J33" s="1"/>
      <c r="K33" s="1"/>
      <c r="L33" s="1"/>
      <c r="M33" s="70">
        <f t="shared" si="2"/>
        <v>5.8498308183765519E-14</v>
      </c>
      <c r="N33" s="206">
        <f t="shared" si="3"/>
        <v>0.23567791701197632</v>
      </c>
      <c r="O33" s="136"/>
      <c r="P33" s="80"/>
      <c r="Q33" s="77"/>
      <c r="R33" s="77"/>
      <c r="S33" s="80"/>
      <c r="T33" s="80"/>
    </row>
    <row r="34" spans="1:20">
      <c r="A34" t="s">
        <v>1085</v>
      </c>
      <c r="B34" t="s">
        <v>1597</v>
      </c>
      <c r="C34">
        <v>16</v>
      </c>
      <c r="E34" s="69">
        <f t="shared" si="4"/>
        <v>62.5</v>
      </c>
      <c r="F34" s="70">
        <f t="shared" si="0"/>
        <v>1.9235977324207073E-4</v>
      </c>
      <c r="G34" s="70">
        <f t="shared" si="1"/>
        <v>1.8319978404006734E-5</v>
      </c>
      <c r="H34" s="1"/>
      <c r="I34" s="1"/>
      <c r="J34" s="1"/>
      <c r="K34" s="1"/>
      <c r="L34" s="1"/>
      <c r="M34" s="70">
        <f t="shared" si="2"/>
        <v>2.5593009830397411E-12</v>
      </c>
      <c r="N34" s="206">
        <f t="shared" si="3"/>
        <v>10.310908869273964</v>
      </c>
      <c r="O34" s="136"/>
      <c r="P34" s="80"/>
      <c r="Q34" s="77"/>
      <c r="R34" s="77"/>
      <c r="S34" s="80"/>
      <c r="T34" s="80"/>
    </row>
    <row r="35" spans="1:20">
      <c r="A35" t="s">
        <v>1051</v>
      </c>
      <c r="B35" t="s">
        <v>1598</v>
      </c>
      <c r="C35">
        <v>0.3</v>
      </c>
      <c r="E35" s="69">
        <f t="shared" si="4"/>
        <v>3333.3333333333335</v>
      </c>
      <c r="F35" s="70">
        <f t="shared" si="0"/>
        <v>1.0259187906243774E-2</v>
      </c>
      <c r="G35" s="70">
        <f t="shared" si="1"/>
        <v>9.7706551488035932E-4</v>
      </c>
      <c r="H35" s="1"/>
      <c r="I35" s="1"/>
      <c r="J35" s="1"/>
      <c r="K35" s="1"/>
      <c r="L35" s="1"/>
      <c r="M35" s="70">
        <f t="shared" si="2"/>
        <v>1.364960524287862E-10</v>
      </c>
      <c r="N35" s="206">
        <f t="shared" si="3"/>
        <v>549.91513969461153</v>
      </c>
      <c r="O35" s="136"/>
      <c r="P35" s="80"/>
      <c r="Q35" s="77"/>
      <c r="R35" s="77"/>
      <c r="S35" s="80"/>
      <c r="T35" s="80"/>
    </row>
    <row r="36" spans="1:20">
      <c r="A36" t="s">
        <v>1052</v>
      </c>
      <c r="B36" t="s">
        <v>1599</v>
      </c>
      <c r="C36">
        <v>1.1200000000000001</v>
      </c>
      <c r="E36" s="69">
        <f t="shared" si="4"/>
        <v>892.85714285714278</v>
      </c>
      <c r="F36" s="70">
        <f t="shared" si="0"/>
        <v>2.7479967606010101E-3</v>
      </c>
      <c r="G36" s="70">
        <f t="shared" si="1"/>
        <v>2.6171397720009618E-4</v>
      </c>
      <c r="H36" s="1"/>
      <c r="I36" s="1"/>
      <c r="J36" s="1"/>
      <c r="K36" s="1"/>
      <c r="L36" s="1"/>
      <c r="M36" s="70">
        <f t="shared" si="2"/>
        <v>3.6561442614853443E-11</v>
      </c>
      <c r="N36" s="206">
        <f t="shared" si="3"/>
        <v>147.29869813248519</v>
      </c>
      <c r="O36" s="136"/>
      <c r="P36" s="80"/>
      <c r="Q36" s="77"/>
      <c r="R36" s="77"/>
      <c r="S36" s="80"/>
      <c r="T36" s="80"/>
    </row>
    <row r="37" spans="1:20">
      <c r="A37" t="s">
        <v>1053</v>
      </c>
      <c r="B37" t="s">
        <v>1600</v>
      </c>
      <c r="C37">
        <v>2</v>
      </c>
      <c r="E37" s="69">
        <f t="shared" si="4"/>
        <v>500</v>
      </c>
      <c r="F37" s="70">
        <f t="shared" si="0"/>
        <v>1.5388781859365659E-3</v>
      </c>
      <c r="G37" s="70">
        <f t="shared" si="1"/>
        <v>1.4655982723205387E-4</v>
      </c>
      <c r="H37" s="1"/>
      <c r="I37" s="1"/>
      <c r="J37" s="1"/>
      <c r="K37" s="1"/>
      <c r="L37" s="1"/>
      <c r="M37" s="70">
        <f t="shared" si="2"/>
        <v>2.0474407864317929E-11</v>
      </c>
      <c r="N37" s="206">
        <f t="shared" si="3"/>
        <v>82.487270954191715</v>
      </c>
      <c r="O37" s="136"/>
      <c r="P37" s="80"/>
      <c r="Q37" s="77"/>
      <c r="R37" s="77"/>
      <c r="S37" s="80"/>
      <c r="T37" s="80"/>
    </row>
    <row r="38" spans="1:20" s="45" customFormat="1">
      <c r="A38" s="48" t="s">
        <v>1162</v>
      </c>
      <c r="B38" s="45" t="s">
        <v>1601</v>
      </c>
      <c r="C38" s="45">
        <v>190</v>
      </c>
      <c r="E38" s="90">
        <f t="shared" si="4"/>
        <v>5.2631578947368416</v>
      </c>
      <c r="F38" s="129">
        <f t="shared" si="0"/>
        <v>1.6198717746700693E-5</v>
      </c>
      <c r="G38" s="129">
        <f t="shared" si="1"/>
        <v>1.5427350234953042E-6</v>
      </c>
      <c r="H38" s="128"/>
      <c r="I38" s="128"/>
      <c r="J38" s="128"/>
      <c r="K38" s="128"/>
      <c r="L38" s="128"/>
      <c r="M38" s="129">
        <f t="shared" si="2"/>
        <v>2.1552008278229394E-13</v>
      </c>
      <c r="N38" s="206">
        <f t="shared" si="3"/>
        <v>0.86828706267570221</v>
      </c>
      <c r="O38" s="134"/>
      <c r="P38" s="138"/>
      <c r="Q38" s="79"/>
      <c r="R38" s="79"/>
      <c r="S38" s="138"/>
      <c r="T38" s="138"/>
    </row>
    <row r="39" spans="1:20">
      <c r="A39" t="s">
        <v>1163</v>
      </c>
      <c r="B39" t="s">
        <v>1164</v>
      </c>
      <c r="C39">
        <v>365</v>
      </c>
      <c r="E39" s="69">
        <f t="shared" si="4"/>
        <v>2.7397260273972601</v>
      </c>
      <c r="F39" s="70">
        <f t="shared" si="0"/>
        <v>8.4322092380085789E-6</v>
      </c>
      <c r="G39" s="70">
        <f t="shared" si="1"/>
        <v>8.0306754647700755E-7</v>
      </c>
      <c r="H39" s="1"/>
      <c r="I39" s="1"/>
      <c r="J39" s="1"/>
      <c r="K39" s="1"/>
      <c r="L39" s="1"/>
      <c r="M39" s="70">
        <f t="shared" si="2"/>
        <v>1.1218853624283797E-13</v>
      </c>
      <c r="N39" s="206">
        <f t="shared" si="3"/>
        <v>0.45198504632433811</v>
      </c>
      <c r="O39" s="136"/>
      <c r="P39" s="80"/>
      <c r="Q39" s="77"/>
      <c r="R39" s="77"/>
      <c r="S39" s="80"/>
      <c r="T39" s="80"/>
    </row>
    <row r="40" spans="1:20">
      <c r="A40" t="s">
        <v>1165</v>
      </c>
      <c r="B40" t="s">
        <v>1602</v>
      </c>
      <c r="C40">
        <v>254</v>
      </c>
      <c r="E40" s="69">
        <f t="shared" si="4"/>
        <v>3.9370078740157481</v>
      </c>
      <c r="F40" s="70">
        <f t="shared" si="0"/>
        <v>1.211715107036666E-5</v>
      </c>
      <c r="G40" s="70">
        <f t="shared" si="1"/>
        <v>1.1540143876539677E-6</v>
      </c>
      <c r="H40" s="1"/>
      <c r="I40" s="1"/>
      <c r="J40" s="1"/>
      <c r="K40" s="1"/>
      <c r="L40" s="1"/>
      <c r="M40" s="70">
        <f t="shared" si="2"/>
        <v>1.612158099552593E-13</v>
      </c>
      <c r="N40" s="206">
        <f t="shared" si="3"/>
        <v>0.64950607050544662</v>
      </c>
      <c r="O40" s="136"/>
      <c r="P40" s="80"/>
      <c r="Q40" s="77"/>
      <c r="R40" s="77"/>
      <c r="S40" s="80"/>
      <c r="T40" s="80"/>
    </row>
    <row r="41" spans="1:20">
      <c r="A41" t="s">
        <v>1166</v>
      </c>
      <c r="B41" t="s">
        <v>1603</v>
      </c>
      <c r="C41">
        <v>630</v>
      </c>
      <c r="E41" s="69">
        <f t="shared" si="4"/>
        <v>1.5873015873015872</v>
      </c>
      <c r="F41" s="70">
        <f t="shared" si="0"/>
        <v>4.8853275744017959E-6</v>
      </c>
      <c r="G41" s="70">
        <f t="shared" si="1"/>
        <v>4.6526929280017102E-7</v>
      </c>
      <c r="H41" s="1"/>
      <c r="I41" s="1"/>
      <c r="J41" s="1"/>
      <c r="K41" s="1"/>
      <c r="L41" s="1"/>
      <c r="M41" s="70">
        <f t="shared" si="2"/>
        <v>6.4998120204183896E-14</v>
      </c>
      <c r="N41" s="206">
        <f t="shared" si="3"/>
        <v>0.26186435223552923</v>
      </c>
      <c r="O41" s="136"/>
      <c r="P41" s="80"/>
      <c r="Q41" s="77"/>
      <c r="R41" s="77"/>
      <c r="S41" s="80"/>
      <c r="T41" s="80"/>
    </row>
    <row r="42" spans="1:20">
      <c r="A42" t="s">
        <v>1086</v>
      </c>
      <c r="B42" t="s">
        <v>1604</v>
      </c>
      <c r="C42">
        <v>158</v>
      </c>
      <c r="E42" s="69">
        <f t="shared" si="4"/>
        <v>6.3291139240506329</v>
      </c>
      <c r="F42" s="70">
        <f t="shared" si="0"/>
        <v>1.9479470708057795E-5</v>
      </c>
      <c r="G42" s="70">
        <f t="shared" si="1"/>
        <v>1.8551876864816948E-6</v>
      </c>
      <c r="H42" s="1"/>
      <c r="I42" s="1"/>
      <c r="J42" s="1"/>
      <c r="K42" s="1"/>
      <c r="L42" s="1"/>
      <c r="M42" s="70">
        <f t="shared" si="2"/>
        <v>2.5916971980149275E-13</v>
      </c>
      <c r="N42" s="206">
        <f t="shared" si="3"/>
        <v>1.0441426703062242</v>
      </c>
      <c r="O42" s="136"/>
      <c r="P42" s="80"/>
      <c r="Q42" s="77"/>
      <c r="R42" s="77"/>
      <c r="S42" s="80"/>
      <c r="T42" s="80"/>
    </row>
    <row r="43" spans="1:20">
      <c r="A43" t="s">
        <v>1087</v>
      </c>
      <c r="B43" t="s">
        <v>1605</v>
      </c>
      <c r="C43">
        <v>288</v>
      </c>
      <c r="E43" s="69">
        <f t="shared" si="4"/>
        <v>3.4722222222222219</v>
      </c>
      <c r="F43" s="70">
        <f t="shared" si="0"/>
        <v>1.0686654069003928E-5</v>
      </c>
      <c r="G43" s="70">
        <f t="shared" si="1"/>
        <v>1.0177765780003742E-6</v>
      </c>
      <c r="H43" s="1"/>
      <c r="I43" s="1"/>
      <c r="J43" s="1"/>
      <c r="K43" s="1"/>
      <c r="L43" s="1"/>
      <c r="M43" s="70">
        <f t="shared" si="2"/>
        <v>1.4218338794665228E-13</v>
      </c>
      <c r="N43" s="206">
        <f t="shared" si="3"/>
        <v>0.57282827051522023</v>
      </c>
      <c r="O43" s="136"/>
      <c r="P43" s="80"/>
      <c r="Q43" s="77"/>
      <c r="R43" s="77"/>
      <c r="S43" s="80"/>
      <c r="T43" s="80"/>
    </row>
    <row r="44" spans="1:20">
      <c r="A44" t="s">
        <v>1167</v>
      </c>
      <c r="B44" t="s">
        <v>1606</v>
      </c>
      <c r="C44">
        <v>1049</v>
      </c>
      <c r="E44" s="69">
        <f t="shared" si="4"/>
        <v>0.95328884652049573</v>
      </c>
      <c r="F44" s="70">
        <f t="shared" si="0"/>
        <v>2.9339908216140437E-6</v>
      </c>
      <c r="G44" s="70">
        <f t="shared" si="1"/>
        <v>2.7942769729657558E-7</v>
      </c>
      <c r="H44" s="1"/>
      <c r="I44" s="1"/>
      <c r="J44" s="1"/>
      <c r="K44" s="1"/>
      <c r="L44" s="1"/>
      <c r="M44" s="70">
        <f t="shared" si="2"/>
        <v>3.9036049312331611E-14</v>
      </c>
      <c r="N44" s="206">
        <f t="shared" si="3"/>
        <v>0.15726839076109003</v>
      </c>
      <c r="O44" s="136"/>
      <c r="P44" s="80"/>
      <c r="Q44" s="77"/>
      <c r="R44" s="77"/>
      <c r="S44" s="80"/>
      <c r="T44" s="80"/>
    </row>
    <row r="45" spans="1:20">
      <c r="A45" t="s">
        <v>1168</v>
      </c>
      <c r="B45" t="s">
        <v>1169</v>
      </c>
      <c r="C45">
        <v>1635</v>
      </c>
      <c r="E45" s="69">
        <f t="shared" si="4"/>
        <v>0.6116207951070336</v>
      </c>
      <c r="F45" s="70">
        <f t="shared" si="0"/>
        <v>1.8824197993107837E-6</v>
      </c>
      <c r="G45" s="70">
        <f t="shared" si="1"/>
        <v>1.7927807612483655E-7</v>
      </c>
      <c r="M45" s="70">
        <f t="shared" si="2"/>
        <v>2.5045147234639669E-14</v>
      </c>
      <c r="N45" s="206">
        <f t="shared" si="3"/>
        <v>0.10090186049442409</v>
      </c>
      <c r="O45" s="136"/>
      <c r="P45" s="80"/>
      <c r="Q45" s="77"/>
      <c r="R45" s="77"/>
      <c r="S45" s="80"/>
      <c r="T45" s="80"/>
    </row>
    <row r="46" spans="1:20">
      <c r="A46" t="s">
        <v>1170</v>
      </c>
      <c r="B46" t="s">
        <v>1607</v>
      </c>
      <c r="C46">
        <v>380</v>
      </c>
      <c r="E46" s="69">
        <f t="shared" si="4"/>
        <v>2.6315789473684208</v>
      </c>
      <c r="F46" s="70">
        <f t="shared" si="0"/>
        <v>8.0993588733503465E-6</v>
      </c>
      <c r="G46" s="70">
        <f t="shared" si="1"/>
        <v>7.7136751174765208E-7</v>
      </c>
      <c r="M46" s="70">
        <f t="shared" si="2"/>
        <v>1.0776004139114697E-13</v>
      </c>
      <c r="N46" s="206">
        <f t="shared" si="3"/>
        <v>0.43414353133785111</v>
      </c>
      <c r="O46" s="136"/>
      <c r="P46" s="80"/>
      <c r="Q46" s="77"/>
      <c r="R46" s="77"/>
      <c r="S46" s="80"/>
      <c r="T46" s="80"/>
    </row>
    <row r="47" spans="1:20">
      <c r="A47" t="s">
        <v>1088</v>
      </c>
      <c r="B47" t="s">
        <v>1608</v>
      </c>
      <c r="C47">
        <v>37</v>
      </c>
      <c r="E47" s="69">
        <f t="shared" si="4"/>
        <v>27.027027027027028</v>
      </c>
      <c r="F47" s="70">
        <f t="shared" si="0"/>
        <v>8.3182604645219775E-5</v>
      </c>
      <c r="G47" s="70">
        <f t="shared" si="1"/>
        <v>7.9221528233542637E-6</v>
      </c>
      <c r="M47" s="70">
        <f t="shared" si="2"/>
        <v>1.1067247494225908E-12</v>
      </c>
      <c r="N47" s="206">
        <f t="shared" si="3"/>
        <v>4.4587714029292815</v>
      </c>
      <c r="O47" s="136"/>
      <c r="P47" s="80"/>
      <c r="Q47" s="77"/>
      <c r="R47" s="77"/>
      <c r="S47" s="80"/>
      <c r="T47" s="80"/>
    </row>
    <row r="48" spans="1:20">
      <c r="A48" t="s">
        <v>1089</v>
      </c>
      <c r="B48" t="s">
        <v>1609</v>
      </c>
      <c r="C48">
        <v>20</v>
      </c>
      <c r="D48" t="s">
        <v>1090</v>
      </c>
      <c r="E48" s="69">
        <f t="shared" si="4"/>
        <v>50</v>
      </c>
      <c r="F48" s="70">
        <f t="shared" si="0"/>
        <v>1.5388781859365658E-4</v>
      </c>
      <c r="G48" s="70">
        <f t="shared" si="1"/>
        <v>1.4655982723205388E-5</v>
      </c>
      <c r="M48" s="70">
        <f t="shared" si="2"/>
        <v>2.0474407864317928E-12</v>
      </c>
      <c r="N48" s="206">
        <f t="shared" si="3"/>
        <v>8.2487270954191718</v>
      </c>
      <c r="O48" s="136"/>
      <c r="P48" s="80"/>
      <c r="Q48" s="77"/>
      <c r="R48" s="77"/>
      <c r="S48" s="80"/>
      <c r="T48" s="80"/>
    </row>
    <row r="49" spans="1:20">
      <c r="A49" t="s">
        <v>1054</v>
      </c>
      <c r="B49" t="s">
        <v>1610</v>
      </c>
      <c r="C49">
        <v>39</v>
      </c>
      <c r="E49" s="69">
        <f t="shared" si="4"/>
        <v>25.641025641025639</v>
      </c>
      <c r="F49" s="70">
        <f t="shared" si="0"/>
        <v>7.8916830048029009E-5</v>
      </c>
      <c r="G49" s="70">
        <f t="shared" si="1"/>
        <v>7.5158885760027634E-6</v>
      </c>
      <c r="M49" s="70">
        <f t="shared" si="2"/>
        <v>1.049969634067586E-12</v>
      </c>
      <c r="N49" s="206">
        <f t="shared" si="3"/>
        <v>4.2301164591893183</v>
      </c>
      <c r="O49" s="136"/>
      <c r="P49" s="80"/>
      <c r="Q49" s="77"/>
      <c r="R49" s="77"/>
      <c r="S49" s="80"/>
      <c r="T49" s="80"/>
    </row>
    <row r="50" spans="1:20">
      <c r="A50" t="s">
        <v>1055</v>
      </c>
      <c r="B50" t="s">
        <v>1611</v>
      </c>
      <c r="C50">
        <v>5000</v>
      </c>
      <c r="D50" t="s">
        <v>1050</v>
      </c>
      <c r="E50" s="69">
        <f t="shared" si="4"/>
        <v>0.2</v>
      </c>
      <c r="F50" s="70">
        <f t="shared" si="0"/>
        <v>6.1555127437462641E-7</v>
      </c>
      <c r="G50" s="70">
        <f t="shared" si="1"/>
        <v>5.8623930892821557E-8</v>
      </c>
      <c r="M50" s="70">
        <f t="shared" si="2"/>
        <v>8.1897631457271722E-15</v>
      </c>
      <c r="N50" s="206">
        <f t="shared" si="3"/>
        <v>3.2994908381676687E-2</v>
      </c>
      <c r="O50" s="136"/>
      <c r="P50" s="80"/>
      <c r="Q50" s="77"/>
      <c r="R50" s="77"/>
      <c r="S50" s="80"/>
      <c r="T50" s="80"/>
    </row>
    <row r="51" spans="1:20">
      <c r="A51" t="s">
        <v>1171</v>
      </c>
      <c r="B51" t="s">
        <v>1612</v>
      </c>
      <c r="C51">
        <v>300</v>
      </c>
      <c r="E51" s="69">
        <f t="shared" si="4"/>
        <v>3.3333333333333335</v>
      </c>
      <c r="F51" s="70">
        <f t="shared" si="0"/>
        <v>1.0259187906243773E-5</v>
      </c>
      <c r="G51" s="70">
        <f t="shared" si="1"/>
        <v>9.7706551488035944E-7</v>
      </c>
      <c r="M51" s="70">
        <f t="shared" si="2"/>
        <v>1.3649605242878619E-13</v>
      </c>
      <c r="N51" s="206">
        <f t="shared" si="3"/>
        <v>0.54991513969461148</v>
      </c>
      <c r="O51" s="136"/>
      <c r="P51" s="80"/>
      <c r="Q51" s="77"/>
      <c r="R51" s="77"/>
      <c r="S51" s="80"/>
      <c r="T51" s="80"/>
    </row>
    <row r="52" spans="1:20">
      <c r="A52" t="s">
        <v>1091</v>
      </c>
      <c r="B52" t="s">
        <v>1613</v>
      </c>
      <c r="C52">
        <v>8</v>
      </c>
      <c r="E52" s="69">
        <f t="shared" si="4"/>
        <v>125</v>
      </c>
      <c r="F52" s="70">
        <f t="shared" si="0"/>
        <v>3.8471954648414147E-4</v>
      </c>
      <c r="G52" s="70">
        <f t="shared" si="1"/>
        <v>3.6639956808013468E-5</v>
      </c>
      <c r="M52" s="70">
        <f t="shared" si="2"/>
        <v>5.1186019660794823E-12</v>
      </c>
      <c r="N52" s="206">
        <f t="shared" si="3"/>
        <v>20.621817738547929</v>
      </c>
      <c r="O52" s="136"/>
      <c r="P52" s="80"/>
      <c r="Q52" s="77"/>
      <c r="R52" s="77"/>
      <c r="S52" s="80"/>
      <c r="T52" s="80"/>
    </row>
    <row r="53" spans="1:20">
      <c r="A53" t="s">
        <v>1172</v>
      </c>
      <c r="B53" t="s">
        <v>1614</v>
      </c>
      <c r="C53">
        <v>250</v>
      </c>
      <c r="E53" s="69">
        <f t="shared" si="4"/>
        <v>4</v>
      </c>
      <c r="F53" s="70">
        <f t="shared" si="0"/>
        <v>1.2311025487492526E-5</v>
      </c>
      <c r="G53" s="70">
        <f t="shared" si="1"/>
        <v>1.172478617856431E-6</v>
      </c>
      <c r="M53" s="70">
        <f t="shared" si="2"/>
        <v>1.6379526291454344E-13</v>
      </c>
      <c r="N53" s="206">
        <f t="shared" si="3"/>
        <v>0.65989816763353371</v>
      </c>
      <c r="O53" s="136"/>
      <c r="P53" s="80"/>
      <c r="Q53" s="77"/>
      <c r="R53" s="77"/>
      <c r="S53" s="80"/>
      <c r="T53" s="80"/>
    </row>
    <row r="54" spans="1:20">
      <c r="A54" t="s">
        <v>1173</v>
      </c>
      <c r="B54" t="s">
        <v>1615</v>
      </c>
      <c r="C54">
        <v>325</v>
      </c>
      <c r="E54" s="69">
        <f t="shared" si="4"/>
        <v>3.0769230769230771</v>
      </c>
      <c r="F54" s="70">
        <f t="shared" si="0"/>
        <v>9.4700196057634823E-6</v>
      </c>
      <c r="G54" s="70">
        <f t="shared" si="1"/>
        <v>9.0190662912033163E-7</v>
      </c>
      <c r="M54" s="70">
        <f t="shared" si="2"/>
        <v>1.2599635608811035E-13</v>
      </c>
      <c r="N54" s="206">
        <f t="shared" si="3"/>
        <v>0.50761397510271822</v>
      </c>
      <c r="O54" s="136"/>
      <c r="P54" s="80"/>
      <c r="Q54" s="77"/>
      <c r="R54" s="77"/>
      <c r="S54" s="80"/>
      <c r="T54" s="80"/>
    </row>
    <row r="55" spans="1:20">
      <c r="A55" t="s">
        <v>1174</v>
      </c>
      <c r="B55" t="s">
        <v>1616</v>
      </c>
      <c r="C55">
        <v>400</v>
      </c>
      <c r="E55" s="69">
        <f t="shared" si="4"/>
        <v>2.5</v>
      </c>
      <c r="F55" s="70">
        <f t="shared" si="0"/>
        <v>7.6943909296828288E-6</v>
      </c>
      <c r="G55" s="70">
        <f t="shared" si="1"/>
        <v>7.3279913616026947E-7</v>
      </c>
      <c r="M55" s="70">
        <f t="shared" si="2"/>
        <v>1.0237203932158965E-13</v>
      </c>
      <c r="N55" s="206">
        <f t="shared" si="3"/>
        <v>0.41243635477095852</v>
      </c>
      <c r="O55" s="136"/>
      <c r="P55" s="80"/>
      <c r="Q55" s="77"/>
      <c r="R55" s="77"/>
      <c r="S55" s="80"/>
      <c r="T55" s="80"/>
    </row>
    <row r="56" spans="1:20">
      <c r="A56" t="s">
        <v>1175</v>
      </c>
      <c r="B56" t="s">
        <v>1617</v>
      </c>
      <c r="C56">
        <v>460</v>
      </c>
      <c r="E56" s="69">
        <f t="shared" si="4"/>
        <v>2.1739130434782608</v>
      </c>
      <c r="F56" s="70">
        <f t="shared" si="0"/>
        <v>6.6907747214633292E-6</v>
      </c>
      <c r="G56" s="70">
        <f t="shared" si="1"/>
        <v>6.3721664013936469E-7</v>
      </c>
      <c r="M56" s="70">
        <f t="shared" si="2"/>
        <v>8.9019164627469261E-14</v>
      </c>
      <c r="N56" s="206">
        <f t="shared" si="3"/>
        <v>0.3586403084964857</v>
      </c>
      <c r="O56" s="136"/>
      <c r="P56" s="80"/>
      <c r="Q56" s="77"/>
      <c r="R56" s="77"/>
      <c r="S56" s="80"/>
      <c r="T56" s="80"/>
    </row>
    <row r="57" spans="1:20">
      <c r="A57" t="s">
        <v>1056</v>
      </c>
      <c r="B57" t="s">
        <v>1618</v>
      </c>
      <c r="C57">
        <v>1.8</v>
      </c>
      <c r="E57" s="69">
        <f t="shared" si="4"/>
        <v>555.55555555555554</v>
      </c>
      <c r="F57" s="70">
        <f t="shared" si="0"/>
        <v>1.7098646510406287E-3</v>
      </c>
      <c r="G57" s="70">
        <f t="shared" si="1"/>
        <v>1.6284425248005988E-4</v>
      </c>
      <c r="M57" s="70">
        <f t="shared" si="2"/>
        <v>2.2749342071464363E-11</v>
      </c>
      <c r="N57" s="206">
        <f t="shared" si="3"/>
        <v>91.652523282435226</v>
      </c>
      <c r="O57" s="136"/>
      <c r="P57" s="80"/>
      <c r="Q57" s="77"/>
      <c r="R57" s="77"/>
      <c r="S57" s="80"/>
      <c r="T57" s="80"/>
    </row>
    <row r="58" spans="1:20">
      <c r="A58" t="s">
        <v>1176</v>
      </c>
      <c r="B58" t="s">
        <v>1177</v>
      </c>
      <c r="C58">
        <v>441</v>
      </c>
      <c r="E58" s="69">
        <f t="shared" si="4"/>
        <v>2.2675736961451247</v>
      </c>
      <c r="F58" s="70">
        <f t="shared" si="0"/>
        <v>6.9790393920025667E-6</v>
      </c>
      <c r="G58" s="70">
        <f t="shared" si="1"/>
        <v>6.6467041828595866E-7</v>
      </c>
      <c r="M58" s="70">
        <f t="shared" si="2"/>
        <v>9.2854457434548424E-14</v>
      </c>
      <c r="N58" s="206">
        <f t="shared" si="3"/>
        <v>0.37409193176504174</v>
      </c>
      <c r="O58" s="136"/>
      <c r="P58" s="80"/>
      <c r="Q58" s="77"/>
      <c r="R58" s="77"/>
      <c r="S58" s="80"/>
      <c r="T58" s="80"/>
    </row>
    <row r="59" spans="1:20">
      <c r="A59" t="s">
        <v>1092</v>
      </c>
      <c r="B59" t="s">
        <v>1619</v>
      </c>
      <c r="C59">
        <v>31</v>
      </c>
      <c r="E59" s="69">
        <f t="shared" si="4"/>
        <v>32.258064516129032</v>
      </c>
      <c r="F59" s="70">
        <f t="shared" si="0"/>
        <v>9.9282463608810713E-5</v>
      </c>
      <c r="G59" s="70">
        <f t="shared" si="1"/>
        <v>9.4554727246486376E-6</v>
      </c>
      <c r="M59" s="70">
        <f t="shared" si="2"/>
        <v>1.3209295396334148E-12</v>
      </c>
      <c r="N59" s="206">
        <f t="shared" si="3"/>
        <v>5.3217594163994653</v>
      </c>
      <c r="O59" s="136"/>
      <c r="P59" s="80"/>
      <c r="Q59" s="77"/>
      <c r="R59" s="77"/>
      <c r="S59" s="80"/>
      <c r="T59" s="80"/>
    </row>
    <row r="60" spans="1:20">
      <c r="A60" t="s">
        <v>1057</v>
      </c>
      <c r="B60" t="s">
        <v>1620</v>
      </c>
      <c r="C60">
        <v>7</v>
      </c>
      <c r="E60" s="69">
        <f t="shared" si="4"/>
        <v>142.85714285714286</v>
      </c>
      <c r="F60" s="70">
        <f t="shared" si="0"/>
        <v>4.3967948169616169E-4</v>
      </c>
      <c r="G60" s="70">
        <f t="shared" si="1"/>
        <v>4.1874236352015398E-5</v>
      </c>
      <c r="M60" s="70">
        <f t="shared" si="2"/>
        <v>5.849830818376552E-12</v>
      </c>
      <c r="N60" s="206">
        <f t="shared" si="3"/>
        <v>23.567791701197635</v>
      </c>
      <c r="O60" s="136"/>
      <c r="P60" s="80"/>
      <c r="Q60" s="77"/>
      <c r="R60" s="77"/>
      <c r="S60" s="80"/>
      <c r="T60" s="80"/>
    </row>
    <row r="61" spans="1:20">
      <c r="A61" t="s">
        <v>1178</v>
      </c>
      <c r="B61" t="s">
        <v>1621</v>
      </c>
      <c r="C61">
        <v>670</v>
      </c>
      <c r="E61" s="69">
        <f t="shared" si="4"/>
        <v>1.4925373134328359</v>
      </c>
      <c r="F61" s="70">
        <f t="shared" si="0"/>
        <v>4.5936662266763158E-6</v>
      </c>
      <c r="G61" s="70">
        <f t="shared" si="1"/>
        <v>4.3749202158822061E-7</v>
      </c>
      <c r="M61" s="70">
        <f t="shared" si="2"/>
        <v>6.1117635415874417E-14</v>
      </c>
      <c r="N61" s="206">
        <f t="shared" si="3"/>
        <v>0.24623065956475138</v>
      </c>
      <c r="O61" s="136"/>
      <c r="P61" s="80"/>
      <c r="Q61" s="77"/>
      <c r="R61" s="77"/>
      <c r="S61" s="80"/>
      <c r="T61" s="80"/>
    </row>
    <row r="62" spans="1:20">
      <c r="A62" t="s">
        <v>1179</v>
      </c>
      <c r="B62" t="s">
        <v>1559</v>
      </c>
      <c r="C62">
        <v>650</v>
      </c>
      <c r="E62" s="69">
        <f t="shared" si="4"/>
        <v>1.5384615384615385</v>
      </c>
      <c r="F62" s="70">
        <f t="shared" si="0"/>
        <v>4.7350098028817411E-6</v>
      </c>
      <c r="G62" s="70">
        <f t="shared" si="1"/>
        <v>4.5095331456016581E-7</v>
      </c>
      <c r="M62" s="70">
        <f t="shared" si="2"/>
        <v>6.2998178044055177E-14</v>
      </c>
      <c r="N62" s="206">
        <f t="shared" si="3"/>
        <v>0.25380698755135911</v>
      </c>
      <c r="O62" s="136"/>
      <c r="P62" s="80"/>
      <c r="Q62" s="77"/>
      <c r="R62" s="77"/>
      <c r="S62" s="80"/>
      <c r="T62" s="80"/>
    </row>
    <row r="63" spans="1:20">
      <c r="A63" t="s">
        <v>1058</v>
      </c>
      <c r="B63" t="s">
        <v>1622</v>
      </c>
      <c r="C63">
        <v>3.1</v>
      </c>
      <c r="E63" s="69">
        <f t="shared" si="4"/>
        <v>322.58064516129031</v>
      </c>
      <c r="F63" s="70">
        <f t="shared" si="0"/>
        <v>9.9282463608810689E-4</v>
      </c>
      <c r="G63" s="70">
        <f t="shared" si="1"/>
        <v>9.4554727246486369E-5</v>
      </c>
      <c r="M63" s="70">
        <f t="shared" si="2"/>
        <v>1.3209295396334148E-11</v>
      </c>
      <c r="N63" s="206">
        <f t="shared" si="3"/>
        <v>53.217594163994647</v>
      </c>
      <c r="O63" s="136"/>
      <c r="P63" s="80"/>
      <c r="Q63" s="77"/>
      <c r="R63" s="77"/>
      <c r="S63" s="80"/>
      <c r="T63" s="80"/>
    </row>
    <row r="64" spans="1:20">
      <c r="A64" t="s">
        <v>1180</v>
      </c>
      <c r="B64" t="s">
        <v>1623</v>
      </c>
      <c r="C64">
        <v>178</v>
      </c>
      <c r="E64" s="69">
        <f t="shared" si="4"/>
        <v>5.6179775280898872</v>
      </c>
      <c r="F64" s="70">
        <f t="shared" si="0"/>
        <v>1.7290766134118717E-5</v>
      </c>
      <c r="G64" s="70">
        <f t="shared" si="1"/>
        <v>1.6467396318208301E-6</v>
      </c>
      <c r="M64" s="70">
        <f t="shared" si="2"/>
        <v>2.3004952656536998E-13</v>
      </c>
      <c r="N64" s="206">
        <f t="shared" si="3"/>
        <v>0.92682326914822144</v>
      </c>
      <c r="O64" s="136"/>
      <c r="P64" s="80"/>
      <c r="Q64" s="77"/>
      <c r="R64" s="77"/>
      <c r="S64" s="80"/>
      <c r="T64" s="80"/>
    </row>
    <row r="65" spans="1:20">
      <c r="A65" t="s">
        <v>1181</v>
      </c>
      <c r="B65" t="s">
        <v>1624</v>
      </c>
      <c r="C65">
        <v>135</v>
      </c>
      <c r="E65" s="69">
        <f t="shared" si="4"/>
        <v>7.4074074074074074</v>
      </c>
      <c r="F65" s="70">
        <f t="shared" si="0"/>
        <v>2.2798195347208381E-5</v>
      </c>
      <c r="G65" s="70">
        <f t="shared" si="1"/>
        <v>2.1712566997341315E-6</v>
      </c>
      <c r="M65" s="70">
        <f t="shared" si="2"/>
        <v>3.033245609528582E-13</v>
      </c>
      <c r="N65" s="206">
        <f t="shared" si="3"/>
        <v>1.222033643765803</v>
      </c>
      <c r="O65" s="136"/>
      <c r="P65" s="80"/>
      <c r="Q65" s="77"/>
      <c r="R65" s="77"/>
      <c r="S65" s="80"/>
      <c r="T65" s="80"/>
    </row>
    <row r="66" spans="1:20">
      <c r="A66" t="s">
        <v>1182</v>
      </c>
      <c r="B66" t="s">
        <v>1625</v>
      </c>
      <c r="C66">
        <v>1369</v>
      </c>
      <c r="E66" s="69">
        <f t="shared" si="4"/>
        <v>0.73046018991964934</v>
      </c>
      <c r="F66" s="70">
        <f t="shared" ref="F66:F129" si="5">18000/2360000000*35*E66/averagepesticidepotency</f>
        <v>2.2481785039248587E-6</v>
      </c>
      <c r="G66" s="70">
        <f t="shared" ref="G66:G129" si="6">3000000*0.02/2360000000*E66/averagepesticidepotency</f>
        <v>2.1411223846903417E-7</v>
      </c>
      <c r="M66" s="70">
        <f t="shared" ref="M66:M129" si="7">0.008382/2360000000*E66/averagepesticidepotency</f>
        <v>2.9911479714124072E-14</v>
      </c>
      <c r="N66" s="206">
        <f t="shared" ref="N66:N129" si="8">F66*YOLLvalue+G66*poisoningvalue+H66*As_orevalue+I66*Cu_orevalue+J66*Hg_orevalue+K66*Pb_orevalue+L66*Zn_orevalue+M66*speciesvalue</f>
        <v>0.1205073352143049</v>
      </c>
      <c r="O66" s="136"/>
      <c r="P66" s="80"/>
      <c r="Q66" s="77"/>
      <c r="R66" s="77"/>
      <c r="S66" s="80"/>
      <c r="T66" s="80"/>
    </row>
    <row r="67" spans="1:20">
      <c r="A67" t="s">
        <v>1183</v>
      </c>
      <c r="B67" t="s">
        <v>1626</v>
      </c>
      <c r="C67">
        <v>1000</v>
      </c>
      <c r="E67" s="69">
        <f t="shared" ref="E67:E130" si="9">1/C67*1000</f>
        <v>1</v>
      </c>
      <c r="F67" s="70">
        <f t="shared" si="5"/>
        <v>3.0777563718731315E-6</v>
      </c>
      <c r="G67" s="70">
        <f t="shared" si="6"/>
        <v>2.9311965446410776E-7</v>
      </c>
      <c r="I67">
        <f>63.546/(63.546+2*16+2)</f>
        <v>0.65144649703729529</v>
      </c>
      <c r="M67" s="70">
        <f t="shared" si="7"/>
        <v>4.0948815728635859E-14</v>
      </c>
      <c r="N67" s="206">
        <f t="shared" si="8"/>
        <v>59.412730554456317</v>
      </c>
      <c r="O67" s="136"/>
      <c r="P67" s="80"/>
      <c r="Q67" s="77"/>
      <c r="R67" s="77"/>
      <c r="S67" s="80"/>
      <c r="T67" s="80"/>
    </row>
    <row r="68" spans="1:20">
      <c r="A68" t="s">
        <v>1184</v>
      </c>
      <c r="B68" t="s">
        <v>1627</v>
      </c>
      <c r="C68">
        <v>1440</v>
      </c>
      <c r="E68" s="69">
        <f t="shared" si="9"/>
        <v>0.69444444444444442</v>
      </c>
      <c r="F68" s="70">
        <f t="shared" si="5"/>
        <v>2.1373308138007859E-6</v>
      </c>
      <c r="G68" s="70">
        <f t="shared" si="6"/>
        <v>2.0355531560007486E-7</v>
      </c>
      <c r="I68">
        <f>4*63.546/(4*63.546+6*17+35*2)</f>
        <v>0.59641844836971825</v>
      </c>
      <c r="M68" s="70">
        <f t="shared" si="7"/>
        <v>2.8436677589330456E-14</v>
      </c>
      <c r="N68" s="206">
        <f t="shared" si="8"/>
        <v>54.357630696432189</v>
      </c>
      <c r="O68" s="136"/>
      <c r="P68" s="80"/>
      <c r="Q68" s="77"/>
      <c r="R68" s="77"/>
      <c r="S68" s="80"/>
      <c r="T68" s="80"/>
    </row>
    <row r="69" spans="1:20">
      <c r="A69" t="s">
        <v>1185</v>
      </c>
      <c r="B69" t="s">
        <v>1628</v>
      </c>
      <c r="C69">
        <v>300</v>
      </c>
      <c r="E69" s="69">
        <f t="shared" si="9"/>
        <v>3.3333333333333335</v>
      </c>
      <c r="F69" s="70">
        <f t="shared" si="5"/>
        <v>1.0259187906243773E-5</v>
      </c>
      <c r="G69" s="70">
        <f t="shared" si="6"/>
        <v>9.7706551488035944E-7</v>
      </c>
      <c r="I69">
        <f>63.546/(63.546+32+4*16)</f>
        <v>0.39829265540972508</v>
      </c>
      <c r="M69" s="70">
        <f t="shared" si="7"/>
        <v>1.3649605242878619E-13</v>
      </c>
      <c r="N69" s="206">
        <f t="shared" si="8"/>
        <v>36.773835563898288</v>
      </c>
      <c r="O69" s="136"/>
      <c r="P69" s="80"/>
      <c r="Q69" s="77"/>
      <c r="R69" s="77"/>
      <c r="S69" s="80"/>
      <c r="T69" s="80"/>
    </row>
    <row r="70" spans="1:20">
      <c r="A70" t="s">
        <v>1094</v>
      </c>
      <c r="B70" t="s">
        <v>1629</v>
      </c>
      <c r="C70">
        <v>7.1</v>
      </c>
      <c r="E70" s="69">
        <f t="shared" si="9"/>
        <v>140.84507042253523</v>
      </c>
      <c r="F70" s="70">
        <f t="shared" si="5"/>
        <v>4.3348681293987781E-4</v>
      </c>
      <c r="G70" s="70">
        <f t="shared" si="6"/>
        <v>4.1284458375226454E-5</v>
      </c>
      <c r="M70" s="70">
        <f t="shared" si="7"/>
        <v>5.7674388350191359E-12</v>
      </c>
      <c r="N70" s="206">
        <f t="shared" si="8"/>
        <v>23.235850973011754</v>
      </c>
      <c r="O70" s="136"/>
      <c r="P70" s="80"/>
      <c r="Q70" s="77"/>
      <c r="R70" s="77"/>
      <c r="S70" s="80"/>
      <c r="T70" s="80"/>
    </row>
    <row r="71" spans="1:20">
      <c r="A71" t="s">
        <v>1095</v>
      </c>
      <c r="B71" t="s">
        <v>1630</v>
      </c>
      <c r="C71">
        <v>16</v>
      </c>
      <c r="E71" s="69">
        <f t="shared" si="9"/>
        <v>62.5</v>
      </c>
      <c r="F71" s="70">
        <f t="shared" si="5"/>
        <v>1.9235977324207073E-4</v>
      </c>
      <c r="G71" s="70">
        <f t="shared" si="6"/>
        <v>1.8319978404006734E-5</v>
      </c>
      <c r="M71" s="70">
        <f t="shared" si="7"/>
        <v>2.5593009830397411E-12</v>
      </c>
      <c r="N71" s="206">
        <f t="shared" si="8"/>
        <v>10.310908869273964</v>
      </c>
      <c r="O71" s="136"/>
      <c r="P71" s="80"/>
      <c r="Q71" s="77"/>
      <c r="R71" s="77"/>
      <c r="S71" s="80"/>
      <c r="T71" s="80"/>
    </row>
    <row r="72" spans="1:20">
      <c r="A72" s="45" t="s">
        <v>1187</v>
      </c>
      <c r="B72" t="s">
        <v>1631</v>
      </c>
      <c r="C72">
        <v>470</v>
      </c>
      <c r="E72" s="69">
        <f t="shared" si="9"/>
        <v>2.1276595744680851</v>
      </c>
      <c r="F72" s="70">
        <f t="shared" si="5"/>
        <v>6.5484178124960247E-6</v>
      </c>
      <c r="G72" s="70">
        <f t="shared" si="6"/>
        <v>6.2365883928533569E-7</v>
      </c>
      <c r="I72">
        <f>63.546*2/(63.546*2+16)</f>
        <v>0.88818382579040067</v>
      </c>
      <c r="M72" s="70">
        <f t="shared" si="7"/>
        <v>8.7125139848161386E-14</v>
      </c>
      <c r="N72" s="206">
        <f t="shared" si="8"/>
        <v>81.129552251620225</v>
      </c>
      <c r="O72" s="136"/>
      <c r="P72" s="80"/>
      <c r="Q72" s="77"/>
      <c r="R72" s="77"/>
      <c r="S72" s="80"/>
      <c r="T72" s="80"/>
    </row>
    <row r="73" spans="1:20">
      <c r="A73" t="s">
        <v>1188</v>
      </c>
      <c r="B73" t="s">
        <v>1632</v>
      </c>
      <c r="C73">
        <v>288</v>
      </c>
      <c r="E73" s="69">
        <f t="shared" si="9"/>
        <v>3.4722222222222219</v>
      </c>
      <c r="F73" s="70">
        <f t="shared" si="5"/>
        <v>1.0686654069003928E-5</v>
      </c>
      <c r="G73" s="70">
        <f t="shared" si="6"/>
        <v>1.0177765780003742E-6</v>
      </c>
      <c r="M73" s="70">
        <f t="shared" si="7"/>
        <v>1.4218338794665228E-13</v>
      </c>
      <c r="N73" s="206">
        <f t="shared" si="8"/>
        <v>0.57282827051522023</v>
      </c>
      <c r="O73" s="136"/>
      <c r="P73" s="80"/>
      <c r="Q73" s="77"/>
      <c r="R73" s="77"/>
      <c r="S73" s="80"/>
      <c r="T73" s="80"/>
    </row>
    <row r="74" spans="1:20">
      <c r="A74" t="s">
        <v>1189</v>
      </c>
      <c r="B74" t="s">
        <v>1633</v>
      </c>
      <c r="C74">
        <v>610</v>
      </c>
      <c r="E74" s="69">
        <f t="shared" si="9"/>
        <v>1.639344262295082</v>
      </c>
      <c r="F74" s="70">
        <f t="shared" si="5"/>
        <v>5.0455022489723471E-6</v>
      </c>
      <c r="G74" s="70">
        <f t="shared" si="6"/>
        <v>4.8052402371165209E-7</v>
      </c>
      <c r="M74" s="70">
        <f t="shared" si="7"/>
        <v>6.7129206112517797E-14</v>
      </c>
      <c r="N74" s="206">
        <f t="shared" si="8"/>
        <v>0.2704500687022679</v>
      </c>
      <c r="O74" s="136"/>
      <c r="P74" s="80"/>
      <c r="Q74" s="77"/>
      <c r="R74" s="77"/>
      <c r="S74" s="80"/>
      <c r="T74" s="80"/>
    </row>
    <row r="75" spans="1:20">
      <c r="A75" t="s">
        <v>1096</v>
      </c>
      <c r="B75" t="s">
        <v>1594</v>
      </c>
      <c r="C75">
        <v>15</v>
      </c>
      <c r="E75" s="69">
        <f t="shared" si="9"/>
        <v>66.666666666666671</v>
      </c>
      <c r="F75" s="70">
        <f t="shared" si="5"/>
        <v>2.0518375812487546E-4</v>
      </c>
      <c r="G75" s="70">
        <f t="shared" si="6"/>
        <v>1.9541310297607187E-5</v>
      </c>
      <c r="M75" s="70">
        <f t="shared" si="7"/>
        <v>2.7299210485757238E-12</v>
      </c>
      <c r="N75" s="206">
        <f t="shared" si="8"/>
        <v>10.998302793892229</v>
      </c>
      <c r="O75" s="136"/>
      <c r="P75" s="80"/>
      <c r="Q75" s="77"/>
      <c r="R75" s="77"/>
      <c r="S75" s="80"/>
      <c r="T75" s="80"/>
    </row>
    <row r="76" spans="1:20">
      <c r="A76" t="s">
        <v>1190</v>
      </c>
      <c r="B76" t="s">
        <v>1634</v>
      </c>
      <c r="C76">
        <v>144</v>
      </c>
      <c r="E76" s="69">
        <f t="shared" si="9"/>
        <v>6.9444444444444438</v>
      </c>
      <c r="F76" s="70">
        <f t="shared" si="5"/>
        <v>2.1373308138007857E-5</v>
      </c>
      <c r="G76" s="70">
        <f t="shared" si="6"/>
        <v>2.0355531560007483E-6</v>
      </c>
      <c r="M76" s="70">
        <f t="shared" si="7"/>
        <v>2.8436677589330456E-13</v>
      </c>
      <c r="N76" s="206">
        <f t="shared" si="8"/>
        <v>1.1456565410304405</v>
      </c>
      <c r="O76" s="136"/>
      <c r="P76" s="80"/>
      <c r="Q76" s="77"/>
      <c r="R76" s="77"/>
      <c r="S76" s="80"/>
      <c r="T76" s="80"/>
    </row>
    <row r="77" spans="1:20">
      <c r="A77" t="s">
        <v>1191</v>
      </c>
      <c r="B77" t="s">
        <v>1635</v>
      </c>
      <c r="C77">
        <v>265</v>
      </c>
      <c r="E77" s="69">
        <f t="shared" si="9"/>
        <v>3.7735849056603774</v>
      </c>
      <c r="F77" s="70">
        <f t="shared" si="5"/>
        <v>1.1614174988200497E-5</v>
      </c>
      <c r="G77" s="70">
        <f t="shared" si="6"/>
        <v>1.1061119036381427E-6</v>
      </c>
      <c r="M77" s="70">
        <f t="shared" si="7"/>
        <v>1.5452383293824852E-13</v>
      </c>
      <c r="N77" s="206">
        <f t="shared" si="8"/>
        <v>0.62254544116371102</v>
      </c>
      <c r="O77" s="136"/>
      <c r="P77" s="80"/>
      <c r="Q77" s="77"/>
      <c r="R77" s="77"/>
      <c r="S77" s="80"/>
      <c r="T77" s="80"/>
    </row>
    <row r="78" spans="1:20">
      <c r="A78" t="s">
        <v>1192</v>
      </c>
      <c r="B78" t="s">
        <v>1636</v>
      </c>
      <c r="C78">
        <v>1196</v>
      </c>
      <c r="E78" s="69">
        <f t="shared" si="9"/>
        <v>0.83612040133779264</v>
      </c>
      <c r="F78" s="70">
        <f t="shared" si="5"/>
        <v>2.5733748928705116E-6</v>
      </c>
      <c r="G78" s="70">
        <f t="shared" si="6"/>
        <v>2.4508332313052487E-7</v>
      </c>
      <c r="M78" s="70">
        <f t="shared" si="7"/>
        <v>3.4238140241334331E-14</v>
      </c>
      <c r="N78" s="206">
        <f t="shared" si="8"/>
        <v>0.13793858019095603</v>
      </c>
      <c r="O78" s="136"/>
      <c r="P78" s="80"/>
      <c r="Q78" s="77"/>
      <c r="R78" s="77"/>
      <c r="S78" s="80"/>
      <c r="T78" s="80"/>
    </row>
    <row r="79" spans="1:20">
      <c r="A79" t="s">
        <v>1193</v>
      </c>
      <c r="B79" t="s">
        <v>1637</v>
      </c>
      <c r="C79">
        <v>250</v>
      </c>
      <c r="E79" s="69">
        <f t="shared" si="9"/>
        <v>4</v>
      </c>
      <c r="F79" s="70">
        <f t="shared" si="5"/>
        <v>1.2311025487492526E-5</v>
      </c>
      <c r="G79" s="70">
        <f t="shared" si="6"/>
        <v>1.172478617856431E-6</v>
      </c>
      <c r="M79" s="70">
        <f t="shared" si="7"/>
        <v>1.6379526291454344E-13</v>
      </c>
      <c r="N79" s="206">
        <f t="shared" si="8"/>
        <v>0.65989816763353371</v>
      </c>
      <c r="O79" s="136"/>
      <c r="P79" s="80"/>
      <c r="Q79" s="77"/>
      <c r="R79" s="77"/>
      <c r="S79" s="80"/>
      <c r="T79" s="80"/>
    </row>
    <row r="80" spans="1:20">
      <c r="A80" t="s">
        <v>1195</v>
      </c>
      <c r="B80" t="s">
        <v>1638</v>
      </c>
      <c r="C80">
        <v>318</v>
      </c>
      <c r="E80" s="69">
        <f t="shared" si="9"/>
        <v>3.1446540880503147</v>
      </c>
      <c r="F80" s="70">
        <f t="shared" si="5"/>
        <v>9.6784791568337472E-6</v>
      </c>
      <c r="G80" s="70">
        <f t="shared" si="6"/>
        <v>9.2175991969845224E-7</v>
      </c>
      <c r="M80" s="70">
        <f t="shared" si="7"/>
        <v>1.2876986078187376E-13</v>
      </c>
      <c r="N80" s="206">
        <f t="shared" si="8"/>
        <v>0.51878786763642581</v>
      </c>
      <c r="O80" s="136"/>
      <c r="P80" s="80"/>
      <c r="Q80" s="77"/>
      <c r="R80" s="77"/>
      <c r="S80" s="80"/>
      <c r="T80" s="80"/>
    </row>
    <row r="81" spans="1:20">
      <c r="A81" t="s">
        <v>1196</v>
      </c>
      <c r="B81" t="s">
        <v>1639</v>
      </c>
      <c r="C81">
        <v>1020</v>
      </c>
      <c r="E81" s="69">
        <f t="shared" si="9"/>
        <v>0.98039215686274506</v>
      </c>
      <c r="F81" s="70">
        <f t="shared" si="5"/>
        <v>3.0174082077187565E-6</v>
      </c>
      <c r="G81" s="70">
        <f t="shared" si="6"/>
        <v>2.8737221025892917E-7</v>
      </c>
      <c r="M81" s="70">
        <f t="shared" si="7"/>
        <v>4.014589777317241E-14</v>
      </c>
      <c r="N81" s="206">
        <f t="shared" si="8"/>
        <v>0.16173974696900337</v>
      </c>
      <c r="O81" s="136"/>
      <c r="P81" s="80"/>
      <c r="Q81" s="77"/>
      <c r="R81" s="77"/>
      <c r="S81" s="80"/>
      <c r="T81" s="80"/>
    </row>
    <row r="82" spans="1:20">
      <c r="A82" t="s">
        <v>1199</v>
      </c>
      <c r="B82" t="s">
        <v>1640</v>
      </c>
      <c r="C82">
        <v>640</v>
      </c>
      <c r="E82" s="69">
        <f t="shared" si="9"/>
        <v>1.5625</v>
      </c>
      <c r="F82" s="70">
        <f t="shared" si="5"/>
        <v>4.808994331051768E-6</v>
      </c>
      <c r="G82" s="70">
        <f t="shared" si="6"/>
        <v>4.5799946010016837E-7</v>
      </c>
      <c r="M82" s="70">
        <f t="shared" si="7"/>
        <v>6.3982524575993526E-14</v>
      </c>
      <c r="N82" s="206">
        <f t="shared" si="8"/>
        <v>0.25777272173184912</v>
      </c>
      <c r="O82" s="136"/>
      <c r="P82" s="80"/>
      <c r="Q82" s="77"/>
      <c r="R82" s="77"/>
      <c r="S82" s="80"/>
      <c r="T82" s="80"/>
    </row>
    <row r="83" spans="1:20">
      <c r="A83" t="s">
        <v>1201</v>
      </c>
      <c r="B83" t="s">
        <v>1641</v>
      </c>
      <c r="C83">
        <v>113</v>
      </c>
      <c r="D83" t="s">
        <v>1050</v>
      </c>
      <c r="E83" s="69">
        <f t="shared" si="9"/>
        <v>8.8495575221238933</v>
      </c>
      <c r="F83" s="70">
        <f t="shared" si="5"/>
        <v>2.7236782051974616E-5</v>
      </c>
      <c r="G83" s="70">
        <f t="shared" si="6"/>
        <v>2.5939792430452013E-6</v>
      </c>
      <c r="M83" s="70">
        <f t="shared" si="7"/>
        <v>3.6237890025341467E-13</v>
      </c>
      <c r="N83" s="206">
        <f t="shared" si="8"/>
        <v>1.4599516983042782</v>
      </c>
      <c r="O83" s="136"/>
      <c r="P83" s="80"/>
      <c r="Q83" s="77"/>
      <c r="R83" s="77"/>
      <c r="S83" s="80"/>
      <c r="T83" s="80"/>
    </row>
    <row r="84" spans="1:20">
      <c r="A84" t="s">
        <v>1202</v>
      </c>
      <c r="B84" t="s">
        <v>1642</v>
      </c>
      <c r="C84">
        <v>135</v>
      </c>
      <c r="D84" t="s">
        <v>1050</v>
      </c>
      <c r="E84" s="69">
        <f t="shared" si="9"/>
        <v>7.4074074074074074</v>
      </c>
      <c r="F84" s="70">
        <f t="shared" si="5"/>
        <v>2.2798195347208381E-5</v>
      </c>
      <c r="G84" s="70">
        <f t="shared" si="6"/>
        <v>2.1712566997341315E-6</v>
      </c>
      <c r="M84" s="70">
        <f t="shared" si="7"/>
        <v>3.033245609528582E-13</v>
      </c>
      <c r="N84" s="206">
        <f t="shared" si="8"/>
        <v>1.222033643765803</v>
      </c>
      <c r="O84" s="136"/>
      <c r="P84" s="80"/>
      <c r="Q84" s="77"/>
      <c r="R84" s="77"/>
      <c r="S84" s="80"/>
      <c r="T84" s="80"/>
    </row>
    <row r="85" spans="1:20">
      <c r="A85" t="s">
        <v>1099</v>
      </c>
      <c r="B85" t="s">
        <v>1643</v>
      </c>
      <c r="C85">
        <v>40</v>
      </c>
      <c r="E85" s="69">
        <f t="shared" si="9"/>
        <v>25</v>
      </c>
      <c r="F85" s="70">
        <f t="shared" si="5"/>
        <v>7.6943909296828288E-5</v>
      </c>
      <c r="G85" s="70">
        <f t="shared" si="6"/>
        <v>7.3279913616026939E-6</v>
      </c>
      <c r="M85" s="70">
        <f t="shared" si="7"/>
        <v>1.0237203932158964E-12</v>
      </c>
      <c r="N85" s="206">
        <f t="shared" si="8"/>
        <v>4.1243635477095859</v>
      </c>
      <c r="O85" s="136"/>
      <c r="P85" s="80"/>
      <c r="Q85" s="77"/>
      <c r="R85" s="77"/>
      <c r="S85" s="80"/>
      <c r="T85" s="80"/>
    </row>
    <row r="86" spans="1:20">
      <c r="A86" t="s">
        <v>1203</v>
      </c>
      <c r="B86" t="s">
        <v>1644</v>
      </c>
      <c r="C86">
        <v>300</v>
      </c>
      <c r="E86" s="69">
        <f t="shared" si="9"/>
        <v>3.3333333333333335</v>
      </c>
      <c r="F86" s="70">
        <f t="shared" si="5"/>
        <v>1.0259187906243773E-5</v>
      </c>
      <c r="G86" s="70">
        <f t="shared" si="6"/>
        <v>9.7706551488035944E-7</v>
      </c>
      <c r="M86" s="70">
        <f t="shared" si="7"/>
        <v>1.3649605242878619E-13</v>
      </c>
      <c r="N86" s="206">
        <f t="shared" si="8"/>
        <v>0.54991513969461148</v>
      </c>
      <c r="O86" s="136"/>
      <c r="P86" s="80"/>
      <c r="Q86" s="77"/>
      <c r="R86" s="77"/>
      <c r="S86" s="80"/>
      <c r="T86" s="80"/>
    </row>
    <row r="87" spans="1:20">
      <c r="A87" t="s">
        <v>1204</v>
      </c>
      <c r="B87" t="s">
        <v>1645</v>
      </c>
      <c r="C87">
        <v>1707</v>
      </c>
      <c r="E87" s="69">
        <f t="shared" si="9"/>
        <v>0.58582308142940831</v>
      </c>
      <c r="F87" s="70">
        <f t="shared" si="5"/>
        <v>1.803020721659714E-6</v>
      </c>
      <c r="G87" s="70">
        <f t="shared" si="6"/>
        <v>1.7171625920568704E-7</v>
      </c>
      <c r="M87" s="70">
        <f t="shared" si="7"/>
        <v>2.3988761411034479E-14</v>
      </c>
      <c r="N87" s="206">
        <f t="shared" si="8"/>
        <v>9.6645894498174234E-2</v>
      </c>
      <c r="O87" s="136"/>
      <c r="P87" s="80"/>
      <c r="Q87" s="77"/>
      <c r="R87" s="77"/>
      <c r="S87" s="80"/>
      <c r="T87" s="80"/>
    </row>
    <row r="88" spans="1:20">
      <c r="A88" s="133" t="s">
        <v>1205</v>
      </c>
      <c r="B88" t="s">
        <v>1646</v>
      </c>
      <c r="C88">
        <v>2750</v>
      </c>
      <c r="E88" s="69">
        <f t="shared" si="9"/>
        <v>0.36363636363636359</v>
      </c>
      <c r="F88" s="70">
        <f t="shared" si="5"/>
        <v>1.1191841352265931E-6</v>
      </c>
      <c r="G88" s="70">
        <f t="shared" si="6"/>
        <v>1.0658896525967553E-7</v>
      </c>
      <c r="M88" s="70">
        <f t="shared" si="7"/>
        <v>1.4890478446776674E-14</v>
      </c>
      <c r="N88" s="206">
        <f t="shared" si="8"/>
        <v>5.9990742512139414E-2</v>
      </c>
      <c r="O88" s="136"/>
      <c r="P88" s="80"/>
      <c r="Q88" s="77"/>
      <c r="R88" s="77"/>
      <c r="S88" s="80"/>
      <c r="T88" s="80"/>
    </row>
    <row r="89" spans="1:20">
      <c r="A89" t="s">
        <v>1206</v>
      </c>
      <c r="B89" t="s">
        <v>1647</v>
      </c>
      <c r="C89">
        <v>1250</v>
      </c>
      <c r="E89" s="69">
        <f t="shared" si="9"/>
        <v>0.8</v>
      </c>
      <c r="F89" s="70">
        <f t="shared" si="5"/>
        <v>2.4622050974985056E-6</v>
      </c>
      <c r="G89" s="70">
        <f t="shared" si="6"/>
        <v>2.3449572357128623E-7</v>
      </c>
      <c r="M89" s="70">
        <f t="shared" si="7"/>
        <v>3.2759052582908689E-14</v>
      </c>
      <c r="N89" s="206">
        <f t="shared" si="8"/>
        <v>0.13197963352670675</v>
      </c>
      <c r="O89" s="136"/>
      <c r="P89" s="80"/>
      <c r="Q89" s="77"/>
      <c r="R89" s="77"/>
      <c r="S89" s="80"/>
      <c r="T89" s="80"/>
    </row>
    <row r="90" spans="1:20">
      <c r="A90" t="s">
        <v>1207</v>
      </c>
      <c r="B90" t="s">
        <v>1648</v>
      </c>
      <c r="C90">
        <v>800</v>
      </c>
      <c r="E90" s="69">
        <f t="shared" si="9"/>
        <v>1.25</v>
      </c>
      <c r="F90" s="70">
        <f t="shared" si="5"/>
        <v>3.8471954648414144E-6</v>
      </c>
      <c r="G90" s="70">
        <f t="shared" si="6"/>
        <v>3.6639956808013474E-7</v>
      </c>
      <c r="M90" s="70">
        <f t="shared" si="7"/>
        <v>5.1186019660794826E-14</v>
      </c>
      <c r="N90" s="206">
        <f t="shared" si="8"/>
        <v>0.20621817738547926</v>
      </c>
      <c r="O90" s="136"/>
      <c r="P90" s="80"/>
      <c r="Q90" s="77"/>
      <c r="R90" s="77"/>
      <c r="S90" s="80"/>
      <c r="T90" s="80"/>
    </row>
    <row r="91" spans="1:20">
      <c r="A91" t="s">
        <v>1100</v>
      </c>
      <c r="B91" t="s">
        <v>1649</v>
      </c>
      <c r="C91">
        <v>56</v>
      </c>
      <c r="D91" t="s">
        <v>1101</v>
      </c>
      <c r="E91" s="69">
        <f t="shared" si="9"/>
        <v>17.857142857142858</v>
      </c>
      <c r="F91" s="70">
        <f t="shared" si="5"/>
        <v>5.4959935212020212E-5</v>
      </c>
      <c r="G91" s="70">
        <f t="shared" si="6"/>
        <v>5.2342795440019248E-6</v>
      </c>
      <c r="M91" s="70">
        <f t="shared" si="7"/>
        <v>7.31228852297069E-13</v>
      </c>
      <c r="N91" s="206">
        <f t="shared" si="8"/>
        <v>2.9459739626497043</v>
      </c>
      <c r="O91" s="136"/>
      <c r="P91" s="80"/>
      <c r="Q91" s="77"/>
      <c r="R91" s="77"/>
      <c r="S91" s="80"/>
      <c r="T91" s="80"/>
    </row>
    <row r="92" spans="1:20">
      <c r="A92" t="s">
        <v>1208</v>
      </c>
      <c r="B92" t="s">
        <v>1650</v>
      </c>
      <c r="C92">
        <v>565</v>
      </c>
      <c r="E92" s="69">
        <f t="shared" si="9"/>
        <v>1.7699115044247788</v>
      </c>
      <c r="F92" s="70">
        <f t="shared" si="5"/>
        <v>5.4473564103949238E-6</v>
      </c>
      <c r="G92" s="70">
        <f t="shared" si="6"/>
        <v>5.1879584860904039E-7</v>
      </c>
      <c r="M92" s="70">
        <f t="shared" si="7"/>
        <v>7.2475780050682937E-14</v>
      </c>
      <c r="N92" s="206">
        <f t="shared" si="8"/>
        <v>0.29199033966085564</v>
      </c>
      <c r="O92" s="136"/>
      <c r="P92" s="80"/>
      <c r="Q92" s="77"/>
      <c r="R92" s="77"/>
      <c r="S92" s="80"/>
      <c r="T92" s="80"/>
    </row>
    <row r="93" spans="1:20">
      <c r="A93" t="s">
        <v>1209</v>
      </c>
      <c r="B93" t="s">
        <v>1651</v>
      </c>
      <c r="C93">
        <v>690</v>
      </c>
      <c r="E93" s="69">
        <f t="shared" si="9"/>
        <v>1.4492753623188406</v>
      </c>
      <c r="F93" s="70">
        <f t="shared" si="5"/>
        <v>4.4605164809755536E-6</v>
      </c>
      <c r="G93" s="70">
        <f t="shared" si="6"/>
        <v>4.2481109342624318E-7</v>
      </c>
      <c r="M93" s="70">
        <f t="shared" si="7"/>
        <v>5.9346109751646166E-14</v>
      </c>
      <c r="N93" s="206">
        <f t="shared" si="8"/>
        <v>0.23909353899765717</v>
      </c>
      <c r="O93" s="136"/>
      <c r="P93" s="80"/>
      <c r="Q93" s="77"/>
      <c r="R93" s="77"/>
      <c r="S93" s="80"/>
      <c r="T93" s="80"/>
    </row>
    <row r="94" spans="1:20">
      <c r="A94" t="s">
        <v>1102</v>
      </c>
      <c r="B94" t="s">
        <v>1652</v>
      </c>
      <c r="C94">
        <v>22</v>
      </c>
      <c r="E94" s="69">
        <f t="shared" si="9"/>
        <v>45.454545454545453</v>
      </c>
      <c r="F94" s="70">
        <f t="shared" si="5"/>
        <v>1.3989801690332415E-4</v>
      </c>
      <c r="G94" s="70">
        <f t="shared" si="6"/>
        <v>1.3323620657459444E-5</v>
      </c>
      <c r="M94" s="70">
        <f t="shared" si="7"/>
        <v>1.8613098058470846E-12</v>
      </c>
      <c r="N94" s="206">
        <f t="shared" si="8"/>
        <v>7.4988428140174275</v>
      </c>
      <c r="O94" s="136"/>
      <c r="P94" s="80"/>
      <c r="Q94" s="77"/>
      <c r="R94" s="77"/>
      <c r="S94" s="80"/>
      <c r="T94" s="80"/>
    </row>
    <row r="95" spans="1:20">
      <c r="A95" t="s">
        <v>1059</v>
      </c>
      <c r="B95" t="s">
        <v>1653</v>
      </c>
      <c r="C95">
        <v>1.8</v>
      </c>
      <c r="E95" s="69">
        <f t="shared" si="9"/>
        <v>555.55555555555554</v>
      </c>
      <c r="F95" s="70">
        <f t="shared" si="5"/>
        <v>1.7098646510406287E-3</v>
      </c>
      <c r="G95" s="70">
        <f t="shared" si="6"/>
        <v>1.6284425248005988E-4</v>
      </c>
      <c r="M95" s="70">
        <f t="shared" si="7"/>
        <v>2.2749342071464363E-11</v>
      </c>
      <c r="N95" s="206">
        <f t="shared" si="8"/>
        <v>91.652523282435226</v>
      </c>
      <c r="O95" s="136"/>
      <c r="P95" s="80"/>
      <c r="Q95" s="77"/>
      <c r="R95" s="77"/>
      <c r="S95" s="80"/>
      <c r="T95" s="80"/>
    </row>
    <row r="96" spans="1:20">
      <c r="A96" t="s">
        <v>1210</v>
      </c>
      <c r="B96" t="s">
        <v>1211</v>
      </c>
      <c r="C96">
        <v>1453</v>
      </c>
      <c r="E96" s="69">
        <f t="shared" si="9"/>
        <v>0.68823124569855465</v>
      </c>
      <c r="F96" s="70">
        <f t="shared" si="5"/>
        <v>2.1182081017709092E-6</v>
      </c>
      <c r="G96" s="70">
        <f t="shared" si="6"/>
        <v>2.0173410493056282E-7</v>
      </c>
      <c r="M96" s="70">
        <f t="shared" si="7"/>
        <v>2.8182254458799626E-14</v>
      </c>
      <c r="N96" s="206">
        <f t="shared" si="8"/>
        <v>0.11354063448615513</v>
      </c>
      <c r="O96" s="136"/>
      <c r="P96" s="80"/>
      <c r="Q96" s="77"/>
      <c r="R96" s="77"/>
      <c r="S96" s="80"/>
      <c r="T96" s="80"/>
    </row>
    <row r="97" spans="1:20">
      <c r="A97" t="s">
        <v>1212</v>
      </c>
      <c r="B97" t="s">
        <v>1654</v>
      </c>
      <c r="C97">
        <v>470</v>
      </c>
      <c r="E97" s="69">
        <f t="shared" si="9"/>
        <v>2.1276595744680851</v>
      </c>
      <c r="F97" s="70">
        <f t="shared" si="5"/>
        <v>6.5484178124960247E-6</v>
      </c>
      <c r="G97" s="70">
        <f t="shared" si="6"/>
        <v>6.2365883928533569E-7</v>
      </c>
      <c r="M97" s="70">
        <f t="shared" si="7"/>
        <v>8.7125139848161386E-14</v>
      </c>
      <c r="N97" s="206">
        <f t="shared" si="8"/>
        <v>0.3510096636348583</v>
      </c>
      <c r="O97" s="136"/>
      <c r="P97" s="80"/>
      <c r="Q97" s="77"/>
      <c r="R97" s="77"/>
      <c r="S97" s="80"/>
      <c r="T97" s="80"/>
    </row>
    <row r="98" spans="1:20">
      <c r="A98" t="s">
        <v>1060</v>
      </c>
      <c r="B98" t="s">
        <v>1655</v>
      </c>
      <c r="C98">
        <v>0.56000000000000005</v>
      </c>
      <c r="E98" s="69">
        <f t="shared" si="9"/>
        <v>1785.7142857142856</v>
      </c>
      <c r="F98" s="70">
        <f t="shared" si="5"/>
        <v>5.4959935212020201E-3</v>
      </c>
      <c r="G98" s="70">
        <f t="shared" si="6"/>
        <v>5.2342795440019237E-4</v>
      </c>
      <c r="M98" s="70">
        <f t="shared" si="7"/>
        <v>7.3122885229706886E-11</v>
      </c>
      <c r="N98" s="206">
        <f t="shared" si="8"/>
        <v>294.59739626497037</v>
      </c>
      <c r="O98" s="136"/>
      <c r="P98" s="80"/>
      <c r="Q98" s="77"/>
      <c r="R98" s="77"/>
      <c r="S98" s="80"/>
      <c r="T98" s="80"/>
    </row>
    <row r="99" spans="1:20">
      <c r="A99" t="s">
        <v>1213</v>
      </c>
      <c r="B99" t="s">
        <v>1656</v>
      </c>
      <c r="C99">
        <v>946</v>
      </c>
      <c r="E99" s="69">
        <f t="shared" si="9"/>
        <v>1.0570824524312896</v>
      </c>
      <c r="F99" s="70">
        <f t="shared" si="5"/>
        <v>3.2534422535656786E-6</v>
      </c>
      <c r="G99" s="70">
        <f t="shared" si="6"/>
        <v>3.0985164319673125E-7</v>
      </c>
      <c r="M99" s="70">
        <f t="shared" si="7"/>
        <v>4.3286274554583359E-14</v>
      </c>
      <c r="N99" s="206">
        <f t="shared" si="8"/>
        <v>0.17439169334924254</v>
      </c>
      <c r="O99" s="136"/>
      <c r="P99" s="80"/>
      <c r="Q99" s="77"/>
      <c r="R99" s="77"/>
      <c r="S99" s="80"/>
      <c r="T99" s="80"/>
    </row>
    <row r="100" spans="1:20">
      <c r="A100" t="s">
        <v>1214</v>
      </c>
      <c r="B100" t="s">
        <v>1657</v>
      </c>
      <c r="C100">
        <v>1600</v>
      </c>
      <c r="E100" s="69">
        <f t="shared" si="9"/>
        <v>0.625</v>
      </c>
      <c r="F100" s="70">
        <f t="shared" si="5"/>
        <v>1.9235977324207072E-6</v>
      </c>
      <c r="G100" s="70">
        <f t="shared" si="6"/>
        <v>1.8319978404006737E-7</v>
      </c>
      <c r="M100" s="70">
        <f t="shared" si="7"/>
        <v>2.5593009830397413E-14</v>
      </c>
      <c r="N100" s="206">
        <f t="shared" si="8"/>
        <v>0.10310908869273963</v>
      </c>
      <c r="O100" s="136"/>
      <c r="P100" s="80"/>
      <c r="Q100" s="77"/>
      <c r="R100" s="77"/>
      <c r="S100" s="80"/>
      <c r="T100" s="80"/>
    </row>
    <row r="101" spans="1:20">
      <c r="A101" t="s">
        <v>1216</v>
      </c>
      <c r="B101" t="s">
        <v>1658</v>
      </c>
      <c r="C101">
        <v>371</v>
      </c>
      <c r="E101" s="69">
        <f t="shared" si="9"/>
        <v>2.6954177897574128</v>
      </c>
      <c r="F101" s="70">
        <f t="shared" si="5"/>
        <v>8.2958392772860705E-6</v>
      </c>
      <c r="G101" s="70">
        <f t="shared" si="6"/>
        <v>7.900799311701019E-7</v>
      </c>
      <c r="M101" s="70">
        <f t="shared" si="7"/>
        <v>1.1037416638446325E-13</v>
      </c>
      <c r="N101" s="206">
        <f t="shared" si="8"/>
        <v>0.44467531511693648</v>
      </c>
      <c r="O101" s="136"/>
      <c r="P101" s="80"/>
      <c r="Q101" s="77"/>
      <c r="R101" s="77"/>
      <c r="S101" s="80"/>
      <c r="T101" s="80"/>
    </row>
    <row r="102" spans="1:20">
      <c r="A102" t="s">
        <v>1215</v>
      </c>
      <c r="B102" t="s">
        <v>1659</v>
      </c>
      <c r="C102">
        <v>1180</v>
      </c>
      <c r="E102" s="69">
        <f t="shared" si="9"/>
        <v>0.84745762711864403</v>
      </c>
      <c r="F102" s="70">
        <f t="shared" si="5"/>
        <v>2.608268111756891E-6</v>
      </c>
      <c r="G102" s="70">
        <f t="shared" si="6"/>
        <v>2.4840648683398964E-7</v>
      </c>
      <c r="M102" s="70">
        <f t="shared" si="7"/>
        <v>3.4702386210708351E-14</v>
      </c>
      <c r="N102" s="206">
        <f t="shared" si="8"/>
        <v>0.13980893382066392</v>
      </c>
      <c r="O102" s="136"/>
      <c r="P102" s="80"/>
      <c r="Q102" s="77"/>
      <c r="R102" s="77"/>
      <c r="S102" s="80"/>
      <c r="T102" s="80"/>
    </row>
    <row r="103" spans="1:20">
      <c r="A103" t="s">
        <v>1218</v>
      </c>
      <c r="B103" t="s">
        <v>1660</v>
      </c>
      <c r="C103">
        <v>150</v>
      </c>
      <c r="E103" s="69">
        <f t="shared" si="9"/>
        <v>6.666666666666667</v>
      </c>
      <c r="F103" s="70">
        <f t="shared" si="5"/>
        <v>2.0518375812487547E-5</v>
      </c>
      <c r="G103" s="70">
        <f t="shared" si="6"/>
        <v>1.9541310297607189E-6</v>
      </c>
      <c r="M103" s="70">
        <f t="shared" si="7"/>
        <v>2.7299210485757239E-13</v>
      </c>
      <c r="N103" s="206">
        <f t="shared" si="8"/>
        <v>1.099830279389223</v>
      </c>
      <c r="O103" s="136"/>
      <c r="P103" s="80"/>
      <c r="Q103" s="77"/>
      <c r="R103" s="77"/>
      <c r="S103" s="80"/>
      <c r="T103" s="80"/>
    </row>
    <row r="104" spans="1:20">
      <c r="A104" t="s">
        <v>1217</v>
      </c>
      <c r="B104" t="s">
        <v>1661</v>
      </c>
      <c r="C104">
        <v>1350</v>
      </c>
      <c r="E104" s="69">
        <f t="shared" si="9"/>
        <v>0.7407407407407407</v>
      </c>
      <c r="F104" s="70">
        <f t="shared" si="5"/>
        <v>2.2798195347208383E-6</v>
      </c>
      <c r="G104" s="70">
        <f t="shared" si="6"/>
        <v>2.1712566997341317E-7</v>
      </c>
      <c r="M104" s="70">
        <f t="shared" si="7"/>
        <v>3.0332456095285822E-14</v>
      </c>
      <c r="N104" s="206">
        <f t="shared" si="8"/>
        <v>0.12220336437658032</v>
      </c>
      <c r="O104" s="136"/>
      <c r="P104" s="80"/>
      <c r="Q104" s="77"/>
      <c r="R104" s="77"/>
      <c r="S104" s="80"/>
      <c r="T104" s="80"/>
    </row>
    <row r="105" spans="1:20">
      <c r="A105" t="s">
        <v>1219</v>
      </c>
      <c r="B105" t="s">
        <v>1662</v>
      </c>
      <c r="C105">
        <v>639</v>
      </c>
      <c r="E105" s="69">
        <f t="shared" si="9"/>
        <v>1.5649452269170578</v>
      </c>
      <c r="F105" s="70">
        <f t="shared" si="5"/>
        <v>4.8165201437764186E-6</v>
      </c>
      <c r="G105" s="70">
        <f t="shared" si="6"/>
        <v>4.5871620416918278E-7</v>
      </c>
      <c r="M105" s="70">
        <f t="shared" si="7"/>
        <v>6.4082653722434827E-14</v>
      </c>
      <c r="N105" s="206">
        <f t="shared" si="8"/>
        <v>0.25817612192235273</v>
      </c>
      <c r="O105" s="136"/>
      <c r="P105" s="80"/>
      <c r="Q105" s="77"/>
      <c r="R105" s="77"/>
      <c r="S105" s="80"/>
      <c r="T105" s="80"/>
    </row>
    <row r="106" spans="1:20">
      <c r="A106" t="s">
        <v>1220</v>
      </c>
      <c r="B106" t="s">
        <v>1663</v>
      </c>
      <c r="C106">
        <v>140</v>
      </c>
      <c r="E106" s="69">
        <f t="shared" si="9"/>
        <v>7.1428571428571423</v>
      </c>
      <c r="F106" s="70">
        <f t="shared" si="5"/>
        <v>2.1983974084808083E-5</v>
      </c>
      <c r="G106" s="70">
        <f t="shared" si="6"/>
        <v>2.0937118176007699E-6</v>
      </c>
      <c r="M106" s="70">
        <f t="shared" si="7"/>
        <v>2.9249154091882757E-13</v>
      </c>
      <c r="N106" s="206">
        <f t="shared" si="8"/>
        <v>1.1783895850598816</v>
      </c>
      <c r="O106" s="136"/>
      <c r="P106" s="80"/>
      <c r="Q106" s="77"/>
      <c r="R106" s="77"/>
      <c r="S106" s="80"/>
      <c r="T106" s="80"/>
    </row>
    <row r="107" spans="1:20">
      <c r="A107" t="s">
        <v>1221</v>
      </c>
      <c r="B107" t="s">
        <v>1664</v>
      </c>
      <c r="C107">
        <v>980</v>
      </c>
      <c r="E107" s="69">
        <f t="shared" si="9"/>
        <v>1.0204081632653061</v>
      </c>
      <c r="F107" s="70">
        <f t="shared" si="5"/>
        <v>3.1405677264011545E-6</v>
      </c>
      <c r="G107" s="70">
        <f t="shared" si="6"/>
        <v>2.9910168822868143E-7</v>
      </c>
      <c r="M107" s="70">
        <f t="shared" si="7"/>
        <v>4.1784505845546793E-14</v>
      </c>
      <c r="N107" s="206">
        <f t="shared" si="8"/>
        <v>0.16834136929426877</v>
      </c>
      <c r="O107" s="136"/>
      <c r="P107" s="80"/>
      <c r="Q107" s="77"/>
      <c r="R107" s="77"/>
      <c r="S107" s="80"/>
      <c r="T107" s="80"/>
    </row>
    <row r="108" spans="1:20">
      <c r="A108" t="s">
        <v>1103</v>
      </c>
      <c r="B108" t="s">
        <v>1665</v>
      </c>
      <c r="C108">
        <v>25</v>
      </c>
      <c r="E108" s="69">
        <f t="shared" si="9"/>
        <v>40</v>
      </c>
      <c r="F108" s="70">
        <f t="shared" si="5"/>
        <v>1.2311025487492526E-4</v>
      </c>
      <c r="G108" s="70">
        <f t="shared" si="6"/>
        <v>1.1724786178564312E-5</v>
      </c>
      <c r="M108" s="70">
        <f t="shared" si="7"/>
        <v>1.6379526291454344E-12</v>
      </c>
      <c r="N108" s="206">
        <f t="shared" si="8"/>
        <v>6.5989816763353364</v>
      </c>
      <c r="O108" s="136"/>
      <c r="P108" s="80"/>
      <c r="Q108" s="77"/>
      <c r="R108" s="77"/>
      <c r="S108" s="80"/>
      <c r="T108" s="80"/>
    </row>
    <row r="109" spans="1:20">
      <c r="A109" t="s">
        <v>1061</v>
      </c>
      <c r="B109" t="s">
        <v>1666</v>
      </c>
      <c r="C109">
        <v>2.2999999999999998</v>
      </c>
      <c r="E109" s="69">
        <f t="shared" si="9"/>
        <v>434.78260869565224</v>
      </c>
      <c r="F109" s="70">
        <f t="shared" si="5"/>
        <v>1.3381549442926662E-3</v>
      </c>
      <c r="G109" s="70">
        <f t="shared" si="6"/>
        <v>1.2744332802787296E-4</v>
      </c>
      <c r="M109" s="70">
        <f t="shared" si="7"/>
        <v>1.7803832925493854E-11</v>
      </c>
      <c r="N109" s="206">
        <f t="shared" si="8"/>
        <v>71.728061699297157</v>
      </c>
      <c r="O109" s="136"/>
      <c r="P109" s="80"/>
      <c r="Q109" s="77"/>
      <c r="R109" s="77"/>
      <c r="S109" s="80"/>
      <c r="T109" s="80"/>
    </row>
    <row r="110" spans="1:20">
      <c r="A110" t="s">
        <v>1222</v>
      </c>
      <c r="B110" t="s">
        <v>1667</v>
      </c>
      <c r="C110">
        <v>970</v>
      </c>
      <c r="E110" s="69">
        <f t="shared" si="9"/>
        <v>1.0309278350515465</v>
      </c>
      <c r="F110" s="70">
        <f t="shared" si="5"/>
        <v>3.17294471327127E-6</v>
      </c>
      <c r="G110" s="70">
        <f t="shared" si="6"/>
        <v>3.0218521078773998E-7</v>
      </c>
      <c r="M110" s="70">
        <f t="shared" si="7"/>
        <v>4.2215273947047277E-14</v>
      </c>
      <c r="N110" s="206">
        <f t="shared" si="8"/>
        <v>0.17007684732823036</v>
      </c>
      <c r="O110" s="136"/>
      <c r="P110" s="80"/>
      <c r="Q110" s="77"/>
      <c r="R110" s="77"/>
      <c r="S110" s="80"/>
      <c r="T110" s="80"/>
    </row>
    <row r="111" spans="1:20">
      <c r="A111" t="s">
        <v>1223</v>
      </c>
      <c r="B111" t="s">
        <v>1668</v>
      </c>
      <c r="C111">
        <v>231</v>
      </c>
      <c r="E111" s="69">
        <f t="shared" si="9"/>
        <v>4.329004329004329</v>
      </c>
      <c r="F111" s="70">
        <f t="shared" si="5"/>
        <v>1.3323620657459444E-5</v>
      </c>
      <c r="G111" s="70">
        <f t="shared" si="6"/>
        <v>1.2689162530913756E-6</v>
      </c>
      <c r="M111" s="70">
        <f t="shared" si="7"/>
        <v>1.7726760055686518E-13</v>
      </c>
      <c r="N111" s="206">
        <f t="shared" si="8"/>
        <v>0.71417550609689784</v>
      </c>
      <c r="O111" s="136"/>
      <c r="P111" s="80"/>
      <c r="Q111" s="77"/>
      <c r="R111" s="77"/>
      <c r="S111" s="80"/>
      <c r="T111" s="80"/>
    </row>
    <row r="112" spans="1:20">
      <c r="A112" t="s">
        <v>1062</v>
      </c>
      <c r="B112" t="s">
        <v>1669</v>
      </c>
      <c r="C112">
        <v>2.6</v>
      </c>
      <c r="E112" s="69">
        <f t="shared" si="9"/>
        <v>384.61538461538458</v>
      </c>
      <c r="F112" s="70">
        <f t="shared" si="5"/>
        <v>1.1837524507204351E-3</v>
      </c>
      <c r="G112" s="70">
        <f t="shared" si="6"/>
        <v>1.1273832864004144E-4</v>
      </c>
      <c r="M112" s="70">
        <f t="shared" si="7"/>
        <v>1.574954451101379E-11</v>
      </c>
      <c r="N112" s="206">
        <f t="shared" si="8"/>
        <v>63.451746887839768</v>
      </c>
      <c r="O112" s="136"/>
      <c r="P112" s="80"/>
      <c r="Q112" s="77"/>
      <c r="R112" s="77"/>
      <c r="S112" s="80"/>
      <c r="T112" s="80"/>
    </row>
    <row r="113" spans="1:20">
      <c r="A113" t="s">
        <v>1224</v>
      </c>
      <c r="B113" t="s">
        <v>1670</v>
      </c>
      <c r="C113">
        <v>640</v>
      </c>
      <c r="E113" s="69">
        <f t="shared" si="9"/>
        <v>1.5625</v>
      </c>
      <c r="F113" s="70">
        <f t="shared" si="5"/>
        <v>4.808994331051768E-6</v>
      </c>
      <c r="G113" s="70">
        <f t="shared" si="6"/>
        <v>4.5799946010016837E-7</v>
      </c>
      <c r="M113" s="70">
        <f t="shared" si="7"/>
        <v>6.3982524575993526E-14</v>
      </c>
      <c r="N113" s="206">
        <f t="shared" si="8"/>
        <v>0.25777272173184912</v>
      </c>
      <c r="O113" s="136"/>
      <c r="P113" s="80"/>
      <c r="Q113" s="77"/>
      <c r="R113" s="77"/>
      <c r="S113" s="80"/>
      <c r="T113" s="80"/>
    </row>
    <row r="114" spans="1:20">
      <c r="A114" t="s">
        <v>1104</v>
      </c>
      <c r="B114" t="s">
        <v>1671</v>
      </c>
      <c r="C114">
        <v>25</v>
      </c>
      <c r="E114" s="69">
        <f t="shared" si="9"/>
        <v>40</v>
      </c>
      <c r="F114" s="70">
        <f t="shared" si="5"/>
        <v>1.2311025487492526E-4</v>
      </c>
      <c r="G114" s="70">
        <f t="shared" si="6"/>
        <v>1.1724786178564312E-5</v>
      </c>
      <c r="M114" s="70">
        <f t="shared" si="7"/>
        <v>1.6379526291454344E-12</v>
      </c>
      <c r="N114" s="206">
        <f t="shared" si="8"/>
        <v>6.5989816763353364</v>
      </c>
      <c r="O114" s="136"/>
      <c r="P114" s="80"/>
      <c r="Q114" s="77"/>
      <c r="R114" s="77"/>
      <c r="S114" s="80"/>
      <c r="T114" s="80"/>
    </row>
    <row r="115" spans="1:20">
      <c r="A115" t="s">
        <v>1225</v>
      </c>
      <c r="B115" s="77" t="s">
        <v>1672</v>
      </c>
      <c r="C115">
        <v>1000</v>
      </c>
      <c r="E115" s="69">
        <f t="shared" si="9"/>
        <v>1</v>
      </c>
      <c r="F115" s="70">
        <f t="shared" si="5"/>
        <v>3.0777563718731315E-6</v>
      </c>
      <c r="G115" s="70">
        <f t="shared" si="6"/>
        <v>2.9311965446410776E-7</v>
      </c>
      <c r="M115" s="70">
        <f t="shared" si="7"/>
        <v>4.0948815728635859E-14</v>
      </c>
      <c r="N115" s="206">
        <f t="shared" si="8"/>
        <v>0.16497454190838343</v>
      </c>
      <c r="O115" s="136"/>
      <c r="P115" s="80"/>
      <c r="Q115" s="77"/>
      <c r="R115" s="77"/>
      <c r="S115" s="80"/>
      <c r="T115" s="80"/>
    </row>
    <row r="116" spans="1:20">
      <c r="A116" t="s">
        <v>1105</v>
      </c>
      <c r="B116" t="s">
        <v>1673</v>
      </c>
      <c r="C116">
        <v>150</v>
      </c>
      <c r="E116" s="69">
        <f t="shared" si="9"/>
        <v>6.666666666666667</v>
      </c>
      <c r="F116" s="70">
        <f t="shared" si="5"/>
        <v>2.0518375812487547E-5</v>
      </c>
      <c r="G116" s="70">
        <f t="shared" si="6"/>
        <v>1.9541310297607189E-6</v>
      </c>
      <c r="M116" s="70">
        <f t="shared" si="7"/>
        <v>2.7299210485757239E-13</v>
      </c>
      <c r="N116" s="206">
        <f t="shared" si="8"/>
        <v>1.099830279389223</v>
      </c>
      <c r="O116" s="136"/>
      <c r="P116" s="80"/>
      <c r="Q116" s="77"/>
      <c r="R116" s="77"/>
      <c r="S116" s="80"/>
      <c r="T116" s="80"/>
    </row>
    <row r="117" spans="1:20">
      <c r="A117" t="s">
        <v>1226</v>
      </c>
      <c r="B117" t="s">
        <v>1674</v>
      </c>
      <c r="C117">
        <v>80</v>
      </c>
      <c r="E117" s="69">
        <f t="shared" si="9"/>
        <v>12.5</v>
      </c>
      <c r="F117" s="70">
        <f t="shared" si="5"/>
        <v>3.8471954648414144E-5</v>
      </c>
      <c r="G117" s="70">
        <f t="shared" si="6"/>
        <v>3.6639956808013469E-6</v>
      </c>
      <c r="M117" s="70">
        <f t="shared" si="7"/>
        <v>5.1186019660794821E-13</v>
      </c>
      <c r="N117" s="206">
        <f t="shared" si="8"/>
        <v>2.062181773854793</v>
      </c>
      <c r="O117" s="136"/>
      <c r="P117" s="80"/>
      <c r="Q117" s="77"/>
      <c r="R117" s="77"/>
      <c r="S117" s="80"/>
      <c r="T117" s="80"/>
    </row>
    <row r="118" spans="1:20">
      <c r="A118" t="s">
        <v>1227</v>
      </c>
      <c r="B118" t="s">
        <v>1675</v>
      </c>
      <c r="C118">
        <v>51</v>
      </c>
      <c r="E118" s="69">
        <f t="shared" si="9"/>
        <v>19.607843137254903</v>
      </c>
      <c r="F118" s="70">
        <f t="shared" si="5"/>
        <v>6.0348164154375137E-5</v>
      </c>
      <c r="G118" s="70">
        <f t="shared" si="6"/>
        <v>5.7474442051785846E-6</v>
      </c>
      <c r="M118" s="70">
        <f t="shared" si="7"/>
        <v>8.0291795546344828E-13</v>
      </c>
      <c r="N118" s="206">
        <f t="shared" si="8"/>
        <v>3.2347949393800675</v>
      </c>
      <c r="O118" s="136"/>
      <c r="P118" s="80"/>
      <c r="Q118" s="77"/>
      <c r="R118" s="77"/>
      <c r="S118" s="80"/>
      <c r="T118" s="80"/>
    </row>
    <row r="119" spans="1:20">
      <c r="A119" t="s">
        <v>1063</v>
      </c>
      <c r="B119" t="s">
        <v>1676</v>
      </c>
      <c r="C119">
        <v>14</v>
      </c>
      <c r="E119" s="69">
        <f t="shared" si="9"/>
        <v>71.428571428571431</v>
      </c>
      <c r="F119" s="70">
        <f t="shared" si="5"/>
        <v>2.1983974084808085E-4</v>
      </c>
      <c r="G119" s="70">
        <f t="shared" si="6"/>
        <v>2.0937118176007699E-5</v>
      </c>
      <c r="M119" s="70">
        <f t="shared" si="7"/>
        <v>2.924915409188276E-12</v>
      </c>
      <c r="N119" s="206">
        <f t="shared" si="8"/>
        <v>11.783895850598817</v>
      </c>
      <c r="O119" s="136"/>
      <c r="P119" s="80"/>
      <c r="Q119" s="77"/>
      <c r="R119" s="77"/>
      <c r="S119" s="80"/>
      <c r="T119" s="80"/>
    </row>
    <row r="120" spans="1:20">
      <c r="A120" t="s">
        <v>1228</v>
      </c>
      <c r="B120" t="s">
        <v>1677</v>
      </c>
      <c r="C120">
        <v>1652</v>
      </c>
      <c r="E120" s="69">
        <f t="shared" si="9"/>
        <v>0.60532687651331718</v>
      </c>
      <c r="F120" s="70">
        <f t="shared" si="5"/>
        <v>1.8630486512549224E-6</v>
      </c>
      <c r="G120" s="70">
        <f t="shared" si="6"/>
        <v>1.7743320488142116E-7</v>
      </c>
      <c r="M120" s="70">
        <f t="shared" si="7"/>
        <v>2.4787418721934541E-14</v>
      </c>
      <c r="N120" s="206">
        <f t="shared" si="8"/>
        <v>9.9863524157617081E-2</v>
      </c>
      <c r="O120" s="136"/>
      <c r="P120" s="80"/>
      <c r="Q120" s="77"/>
      <c r="R120" s="77"/>
      <c r="S120" s="80"/>
      <c r="T120" s="80"/>
    </row>
    <row r="121" spans="1:20">
      <c r="A121" t="s">
        <v>1229</v>
      </c>
      <c r="B121" t="s">
        <v>1678</v>
      </c>
      <c r="C121">
        <v>87</v>
      </c>
      <c r="E121" s="69">
        <f t="shared" si="9"/>
        <v>11.494252873563218</v>
      </c>
      <c r="F121" s="70">
        <f t="shared" si="5"/>
        <v>3.5376510021530246E-5</v>
      </c>
      <c r="G121" s="70">
        <f t="shared" si="6"/>
        <v>3.3691914306219283E-6</v>
      </c>
      <c r="M121" s="70">
        <f t="shared" si="7"/>
        <v>4.706760428578834E-13</v>
      </c>
      <c r="N121" s="206">
        <f t="shared" si="8"/>
        <v>1.8962591023952118</v>
      </c>
      <c r="O121" s="136"/>
      <c r="P121" s="80"/>
      <c r="Q121" s="77"/>
      <c r="R121" s="77"/>
      <c r="S121" s="80"/>
      <c r="T121" s="80"/>
    </row>
    <row r="122" spans="1:20">
      <c r="A122" t="s">
        <v>1106</v>
      </c>
      <c r="B122" t="s">
        <v>1679</v>
      </c>
      <c r="C122">
        <v>200</v>
      </c>
      <c r="E122" s="69">
        <f t="shared" si="9"/>
        <v>5</v>
      </c>
      <c r="F122" s="70">
        <f t="shared" si="5"/>
        <v>1.5388781859365658E-5</v>
      </c>
      <c r="G122" s="70">
        <f t="shared" si="6"/>
        <v>1.4655982723205389E-6</v>
      </c>
      <c r="M122" s="70">
        <f t="shared" si="7"/>
        <v>2.047440786431793E-13</v>
      </c>
      <c r="N122" s="206">
        <f t="shared" si="8"/>
        <v>0.82487270954191705</v>
      </c>
      <c r="O122" s="136"/>
      <c r="P122" s="80"/>
      <c r="Q122" s="77"/>
      <c r="R122" s="77"/>
      <c r="S122" s="80"/>
      <c r="T122" s="80"/>
    </row>
    <row r="123" spans="1:20">
      <c r="A123" t="s">
        <v>1230</v>
      </c>
      <c r="B123" t="s">
        <v>1680</v>
      </c>
      <c r="C123">
        <v>208</v>
      </c>
      <c r="E123" s="69">
        <f t="shared" si="9"/>
        <v>4.8076923076923084</v>
      </c>
      <c r="F123" s="70">
        <f t="shared" si="5"/>
        <v>1.4796905634005443E-5</v>
      </c>
      <c r="G123" s="70">
        <f t="shared" si="6"/>
        <v>1.4092291080005183E-6</v>
      </c>
      <c r="M123" s="70">
        <f t="shared" si="7"/>
        <v>1.9686930638767241E-13</v>
      </c>
      <c r="N123" s="206">
        <f t="shared" si="8"/>
        <v>0.79314683609799719</v>
      </c>
      <c r="O123" s="136"/>
      <c r="P123" s="80"/>
      <c r="Q123" s="77"/>
      <c r="R123" s="77"/>
      <c r="S123" s="80"/>
      <c r="T123" s="80"/>
    </row>
    <row r="124" spans="1:20">
      <c r="A124" t="s">
        <v>1064</v>
      </c>
      <c r="B124" t="s">
        <v>1681</v>
      </c>
      <c r="C124">
        <v>33</v>
      </c>
      <c r="E124" s="69">
        <f t="shared" si="9"/>
        <v>30.303030303030305</v>
      </c>
      <c r="F124" s="70">
        <f t="shared" si="5"/>
        <v>9.3265344602216102E-5</v>
      </c>
      <c r="G124" s="70">
        <f t="shared" si="6"/>
        <v>8.8824137716396293E-6</v>
      </c>
      <c r="M124" s="70">
        <f t="shared" si="7"/>
        <v>1.2408732038980563E-12</v>
      </c>
      <c r="N124" s="206">
        <f t="shared" si="8"/>
        <v>4.999228542678285</v>
      </c>
      <c r="O124" s="136"/>
      <c r="P124" s="80"/>
      <c r="Q124" s="77"/>
      <c r="R124" s="77"/>
      <c r="S124" s="80"/>
      <c r="T124" s="80"/>
    </row>
    <row r="125" spans="1:20">
      <c r="A125" t="s">
        <v>1107</v>
      </c>
      <c r="B125" t="s">
        <v>1682</v>
      </c>
      <c r="C125">
        <v>48</v>
      </c>
      <c r="E125" s="69">
        <f t="shared" si="9"/>
        <v>20.833333333333332</v>
      </c>
      <c r="F125" s="70">
        <f t="shared" si="5"/>
        <v>6.4119924414023574E-5</v>
      </c>
      <c r="G125" s="70">
        <f t="shared" si="6"/>
        <v>6.1066594680022457E-6</v>
      </c>
      <c r="M125" s="70">
        <f t="shared" si="7"/>
        <v>8.5310032767991368E-13</v>
      </c>
      <c r="N125" s="206">
        <f t="shared" si="8"/>
        <v>3.4369696230913207</v>
      </c>
      <c r="O125" s="136"/>
      <c r="P125" s="80"/>
      <c r="Q125" s="77"/>
      <c r="R125" s="77"/>
      <c r="S125" s="80"/>
      <c r="T125" s="80"/>
    </row>
    <row r="126" spans="1:20">
      <c r="A126" t="s">
        <v>1108</v>
      </c>
      <c r="B126" t="s">
        <v>1683</v>
      </c>
      <c r="C126">
        <v>15</v>
      </c>
      <c r="E126" s="69">
        <f t="shared" si="9"/>
        <v>66.666666666666671</v>
      </c>
      <c r="F126" s="70">
        <f t="shared" si="5"/>
        <v>2.0518375812487546E-4</v>
      </c>
      <c r="G126" s="70">
        <f t="shared" si="6"/>
        <v>1.9541310297607187E-5</v>
      </c>
      <c r="M126" s="70">
        <f t="shared" si="7"/>
        <v>2.7299210485757238E-12</v>
      </c>
      <c r="N126" s="206">
        <f t="shared" si="8"/>
        <v>10.998302793892229</v>
      </c>
      <c r="O126" s="136"/>
      <c r="P126" s="80"/>
      <c r="Q126" s="77"/>
      <c r="R126" s="77"/>
      <c r="S126" s="80"/>
      <c r="T126" s="80"/>
    </row>
    <row r="127" spans="1:20">
      <c r="A127" t="s">
        <v>1231</v>
      </c>
      <c r="B127" t="s">
        <v>1684</v>
      </c>
      <c r="C127">
        <v>134</v>
      </c>
      <c r="E127" s="69">
        <f t="shared" si="9"/>
        <v>7.4626865671641793</v>
      </c>
      <c r="F127" s="70">
        <f t="shared" si="5"/>
        <v>2.296833113338158E-5</v>
      </c>
      <c r="G127" s="70">
        <f t="shared" si="6"/>
        <v>2.1874601079411028E-6</v>
      </c>
      <c r="M127" s="70">
        <f t="shared" si="7"/>
        <v>3.0558817707937209E-13</v>
      </c>
      <c r="N127" s="206">
        <f t="shared" si="8"/>
        <v>1.2311532978237567</v>
      </c>
      <c r="O127" s="136"/>
      <c r="P127" s="80"/>
      <c r="Q127" s="77"/>
      <c r="R127" s="77"/>
      <c r="S127" s="80"/>
      <c r="T127" s="80"/>
    </row>
    <row r="128" spans="1:20">
      <c r="A128" t="s">
        <v>1232</v>
      </c>
      <c r="B128" t="s">
        <v>1685</v>
      </c>
      <c r="C128">
        <v>503</v>
      </c>
      <c r="E128" s="69">
        <f t="shared" si="9"/>
        <v>1.9880715705765406</v>
      </c>
      <c r="F128" s="70">
        <f t="shared" si="5"/>
        <v>6.1187999440817721E-6</v>
      </c>
      <c r="G128" s="70">
        <f t="shared" si="6"/>
        <v>5.8274285181731168E-7</v>
      </c>
      <c r="M128" s="70">
        <f t="shared" si="7"/>
        <v>8.1409176398878442E-14</v>
      </c>
      <c r="N128" s="206">
        <f t="shared" si="8"/>
        <v>0.32798119663694514</v>
      </c>
      <c r="O128" s="136"/>
      <c r="P128" s="80"/>
      <c r="Q128" s="77"/>
      <c r="R128" s="77"/>
      <c r="S128" s="80"/>
      <c r="T128" s="80"/>
    </row>
    <row r="129" spans="1:20">
      <c r="A129" t="s">
        <v>1233</v>
      </c>
      <c r="B129" t="s">
        <v>1686</v>
      </c>
      <c r="C129">
        <v>620</v>
      </c>
      <c r="E129" s="69">
        <f t="shared" si="9"/>
        <v>1.6129032258064515</v>
      </c>
      <c r="F129" s="70">
        <f t="shared" si="5"/>
        <v>4.9641231804405345E-6</v>
      </c>
      <c r="G129" s="70">
        <f t="shared" si="6"/>
        <v>4.7277363623243185E-7</v>
      </c>
      <c r="M129" s="70">
        <f t="shared" si="7"/>
        <v>6.6046476981670725E-14</v>
      </c>
      <c r="N129" s="206">
        <f t="shared" si="8"/>
        <v>0.26608797081997321</v>
      </c>
      <c r="O129" s="136"/>
      <c r="P129" s="80"/>
      <c r="Q129" s="77"/>
      <c r="R129" s="77"/>
      <c r="S129" s="80"/>
      <c r="T129" s="80"/>
    </row>
    <row r="130" spans="1:20">
      <c r="A130" t="s">
        <v>1234</v>
      </c>
      <c r="B130" t="s">
        <v>1687</v>
      </c>
      <c r="C130">
        <v>1150</v>
      </c>
      <c r="E130" s="69">
        <f t="shared" si="9"/>
        <v>0.86956521739130443</v>
      </c>
      <c r="F130" s="70">
        <f t="shared" ref="F130:F193" si="10">18000/2360000000*35*E130/averagepesticidepotency</f>
        <v>2.6763098885853324E-6</v>
      </c>
      <c r="G130" s="70">
        <f t="shared" ref="G130:G193" si="11">3000000*0.02/2360000000*E130/averagepesticidepotency</f>
        <v>2.5488665605574591E-7</v>
      </c>
      <c r="M130" s="70">
        <f t="shared" ref="M130:M193" si="12">0.008382/2360000000*E130/averagepesticidepotency</f>
        <v>3.5607665850987706E-14</v>
      </c>
      <c r="N130" s="206">
        <f t="shared" ref="N130:N193" si="13">F130*YOLLvalue+G130*poisoningvalue+H130*As_orevalue+I130*Cu_orevalue+J130*Hg_orevalue+K130*Pb_orevalue+L130*Zn_orevalue+M130*speciesvalue</f>
        <v>0.14345612339859434</v>
      </c>
      <c r="O130" s="136"/>
      <c r="P130" s="80"/>
      <c r="Q130" s="77"/>
      <c r="R130" s="77"/>
      <c r="S130" s="80"/>
      <c r="T130" s="80"/>
    </row>
    <row r="131" spans="1:20">
      <c r="A131" t="s">
        <v>1236</v>
      </c>
      <c r="B131" t="s">
        <v>1688</v>
      </c>
      <c r="C131">
        <v>66</v>
      </c>
      <c r="E131" s="69">
        <f t="shared" ref="E131:E194" si="14">1/C131*1000</f>
        <v>15.151515151515152</v>
      </c>
      <c r="F131" s="70">
        <f t="shared" si="10"/>
        <v>4.6632672301108051E-5</v>
      </c>
      <c r="G131" s="70">
        <f t="shared" si="11"/>
        <v>4.4412068858198146E-6</v>
      </c>
      <c r="M131" s="70">
        <f t="shared" si="12"/>
        <v>6.2043660194902815E-13</v>
      </c>
      <c r="N131" s="206">
        <f t="shared" si="13"/>
        <v>2.4996142713391425</v>
      </c>
      <c r="O131" s="136"/>
      <c r="P131" s="80"/>
      <c r="Q131" s="77"/>
      <c r="R131" s="77"/>
      <c r="S131" s="80"/>
      <c r="T131" s="80"/>
    </row>
    <row r="132" spans="1:20">
      <c r="A132" t="s">
        <v>1235</v>
      </c>
      <c r="B132" t="s">
        <v>1689</v>
      </c>
      <c r="C132">
        <v>1140</v>
      </c>
      <c r="E132" s="69">
        <f t="shared" si="14"/>
        <v>0.87719298245614041</v>
      </c>
      <c r="F132" s="70">
        <f t="shared" si="10"/>
        <v>2.6997862911167824E-6</v>
      </c>
      <c r="G132" s="70">
        <f t="shared" si="11"/>
        <v>2.5712250391588401E-7</v>
      </c>
      <c r="M132" s="70">
        <f t="shared" si="12"/>
        <v>3.5920013797049001E-14</v>
      </c>
      <c r="N132" s="206">
        <f t="shared" si="13"/>
        <v>0.14471451044595041</v>
      </c>
      <c r="O132" s="136"/>
      <c r="P132" s="80"/>
      <c r="Q132" s="77"/>
      <c r="R132" s="77"/>
      <c r="S132" s="80"/>
      <c r="T132" s="80"/>
    </row>
    <row r="133" spans="1:20">
      <c r="A133" t="s">
        <v>1237</v>
      </c>
      <c r="B133" t="s">
        <v>1238</v>
      </c>
      <c r="C133">
        <v>245</v>
      </c>
      <c r="E133" s="69">
        <f t="shared" si="14"/>
        <v>4.0816326530612246</v>
      </c>
      <c r="F133" s="70">
        <f t="shared" si="10"/>
        <v>1.2562270905604618E-5</v>
      </c>
      <c r="G133" s="70">
        <f t="shared" si="11"/>
        <v>1.1964067529147257E-6</v>
      </c>
      <c r="M133" s="70">
        <f t="shared" si="12"/>
        <v>1.6713802338218717E-13</v>
      </c>
      <c r="N133" s="206">
        <f t="shared" si="13"/>
        <v>0.67336547717707507</v>
      </c>
      <c r="O133" s="136"/>
      <c r="P133" s="80"/>
      <c r="Q133" s="77"/>
      <c r="R133" s="77"/>
      <c r="S133" s="80"/>
      <c r="T133" s="80"/>
    </row>
    <row r="134" spans="1:20">
      <c r="A134" t="s">
        <v>1239</v>
      </c>
      <c r="B134" t="s">
        <v>1690</v>
      </c>
      <c r="C134">
        <v>586</v>
      </c>
      <c r="E134" s="69">
        <f t="shared" si="14"/>
        <v>1.7064846416382253</v>
      </c>
      <c r="F134" s="70">
        <f t="shared" si="10"/>
        <v>5.2521439793056853E-6</v>
      </c>
      <c r="G134" s="70">
        <f t="shared" si="11"/>
        <v>5.0020418850530348E-7</v>
      </c>
      <c r="M134" s="70">
        <f t="shared" si="12"/>
        <v>6.987852513419089E-14</v>
      </c>
      <c r="N134" s="206">
        <f t="shared" si="13"/>
        <v>0.28152652202795808</v>
      </c>
      <c r="O134" s="136"/>
      <c r="P134" s="80"/>
      <c r="Q134" s="77"/>
      <c r="R134" s="77"/>
      <c r="S134" s="80"/>
      <c r="T134" s="80"/>
    </row>
    <row r="135" spans="1:20">
      <c r="A135" t="s">
        <v>1240</v>
      </c>
      <c r="B135" t="s">
        <v>1691</v>
      </c>
      <c r="C135">
        <v>125</v>
      </c>
      <c r="E135" s="69">
        <f t="shared" si="14"/>
        <v>8</v>
      </c>
      <c r="F135" s="70">
        <f t="shared" si="10"/>
        <v>2.4622050974985052E-5</v>
      </c>
      <c r="G135" s="70">
        <f t="shared" si="11"/>
        <v>2.3449572357128621E-6</v>
      </c>
      <c r="M135" s="70">
        <f t="shared" si="12"/>
        <v>3.2759052582908687E-13</v>
      </c>
      <c r="N135" s="206">
        <f t="shared" si="13"/>
        <v>1.3197963352670674</v>
      </c>
      <c r="O135" s="136"/>
      <c r="P135" s="80"/>
      <c r="Q135" s="77"/>
      <c r="R135" s="77"/>
      <c r="S135" s="80"/>
      <c r="T135" s="80"/>
    </row>
    <row r="136" spans="1:20">
      <c r="A136" t="s">
        <v>1241</v>
      </c>
      <c r="B136" t="s">
        <v>1692</v>
      </c>
      <c r="C136">
        <v>108</v>
      </c>
      <c r="E136" s="69">
        <f t="shared" si="14"/>
        <v>9.2592592592592595</v>
      </c>
      <c r="F136" s="70">
        <f t="shared" si="10"/>
        <v>2.8497744184010481E-5</v>
      </c>
      <c r="G136" s="70">
        <f t="shared" si="11"/>
        <v>2.7140708746676644E-6</v>
      </c>
      <c r="M136" s="70">
        <f t="shared" si="12"/>
        <v>3.791557011910728E-13</v>
      </c>
      <c r="N136" s="206">
        <f t="shared" si="13"/>
        <v>1.527542054707254</v>
      </c>
      <c r="O136" s="136"/>
      <c r="P136" s="80"/>
      <c r="Q136" s="77"/>
      <c r="R136" s="77"/>
      <c r="S136" s="80"/>
      <c r="T136" s="80"/>
    </row>
    <row r="137" spans="1:20">
      <c r="A137" t="s">
        <v>1242</v>
      </c>
      <c r="B137" t="s">
        <v>1693</v>
      </c>
      <c r="C137">
        <v>450</v>
      </c>
      <c r="E137" s="69">
        <f t="shared" si="14"/>
        <v>2.2222222222222223</v>
      </c>
      <c r="F137" s="70">
        <f t="shared" si="10"/>
        <v>6.8394586041625148E-6</v>
      </c>
      <c r="G137" s="70">
        <f t="shared" si="11"/>
        <v>6.5137700992023952E-7</v>
      </c>
      <c r="M137" s="70">
        <f t="shared" si="12"/>
        <v>9.0997368285857467E-14</v>
      </c>
      <c r="N137" s="206">
        <f t="shared" si="13"/>
        <v>0.36661009312974097</v>
      </c>
      <c r="O137" s="136"/>
      <c r="P137" s="80"/>
      <c r="Q137" s="77"/>
      <c r="R137" s="77"/>
      <c r="S137" s="80"/>
      <c r="T137" s="80"/>
    </row>
    <row r="138" spans="1:20">
      <c r="A138" t="s">
        <v>1243</v>
      </c>
      <c r="B138" t="s">
        <v>1694</v>
      </c>
      <c r="C138">
        <v>725</v>
      </c>
      <c r="E138" s="69">
        <f t="shared" si="14"/>
        <v>1.3793103448275861</v>
      </c>
      <c r="F138" s="70">
        <f t="shared" si="10"/>
        <v>4.2451812025836292E-6</v>
      </c>
      <c r="G138" s="70">
        <f t="shared" si="11"/>
        <v>4.0430297167463137E-7</v>
      </c>
      <c r="M138" s="70">
        <f t="shared" si="12"/>
        <v>5.6481125142946009E-14</v>
      </c>
      <c r="N138" s="206">
        <f t="shared" si="13"/>
        <v>0.2275510922874254</v>
      </c>
      <c r="O138" s="136"/>
      <c r="P138" s="80"/>
      <c r="Q138" s="77"/>
      <c r="R138" s="77"/>
      <c r="S138" s="80"/>
      <c r="T138" s="80"/>
    </row>
    <row r="139" spans="1:20">
      <c r="A139" t="s">
        <v>642</v>
      </c>
      <c r="B139" t="s">
        <v>1244</v>
      </c>
      <c r="C139">
        <v>92</v>
      </c>
      <c r="E139" s="69">
        <f t="shared" si="14"/>
        <v>10.869565217391305</v>
      </c>
      <c r="F139" s="70">
        <f t="shared" si="10"/>
        <v>3.3453873607316648E-5</v>
      </c>
      <c r="G139" s="70">
        <f t="shared" si="11"/>
        <v>3.1860832006968239E-6</v>
      </c>
      <c r="M139" s="70">
        <f t="shared" si="12"/>
        <v>4.4509582313734633E-13</v>
      </c>
      <c r="N139" s="206">
        <f t="shared" si="13"/>
        <v>1.7932015424824284</v>
      </c>
      <c r="O139" s="136"/>
      <c r="P139" s="80"/>
      <c r="Q139" s="77"/>
      <c r="R139" s="77"/>
      <c r="S139" s="80"/>
      <c r="T139" s="80"/>
    </row>
    <row r="140" spans="1:20">
      <c r="A140" t="s">
        <v>1065</v>
      </c>
      <c r="B140" t="s">
        <v>1695</v>
      </c>
      <c r="C140">
        <v>0.25</v>
      </c>
      <c r="E140" s="69">
        <f t="shared" si="14"/>
        <v>4000</v>
      </c>
      <c r="F140" s="70">
        <f t="shared" si="10"/>
        <v>1.2311025487492527E-2</v>
      </c>
      <c r="G140" s="70">
        <f t="shared" si="11"/>
        <v>1.172478617856431E-3</v>
      </c>
      <c r="M140" s="70">
        <f t="shared" si="12"/>
        <v>1.6379526291454343E-10</v>
      </c>
      <c r="N140" s="206">
        <f t="shared" si="13"/>
        <v>659.89816763353372</v>
      </c>
      <c r="O140" s="136"/>
      <c r="P140" s="80"/>
      <c r="Q140" s="77"/>
      <c r="R140" s="77"/>
      <c r="S140" s="80"/>
      <c r="T140" s="80"/>
    </row>
    <row r="141" spans="1:20">
      <c r="A141" t="s">
        <v>1245</v>
      </c>
      <c r="B141" t="s">
        <v>1696</v>
      </c>
      <c r="C141">
        <v>1550</v>
      </c>
      <c r="E141" s="69">
        <f t="shared" si="14"/>
        <v>0.64516129032258063</v>
      </c>
      <c r="F141" s="70">
        <f t="shared" si="10"/>
        <v>1.9856492721762139E-6</v>
      </c>
      <c r="G141" s="70">
        <f t="shared" si="11"/>
        <v>1.8910945449297276E-7</v>
      </c>
      <c r="M141" s="70">
        <f t="shared" si="12"/>
        <v>2.6418590792668293E-14</v>
      </c>
      <c r="N141" s="206">
        <f t="shared" si="13"/>
        <v>0.1064351883279893</v>
      </c>
      <c r="O141" s="136"/>
      <c r="P141" s="80"/>
      <c r="Q141" s="77"/>
      <c r="R141" s="77"/>
      <c r="S141" s="80"/>
      <c r="T141" s="80"/>
    </row>
    <row r="142" spans="1:20">
      <c r="A142" t="s">
        <v>1109</v>
      </c>
      <c r="B142" t="s">
        <v>1697</v>
      </c>
      <c r="C142">
        <v>67</v>
      </c>
      <c r="E142" s="69">
        <f t="shared" si="14"/>
        <v>14.925373134328359</v>
      </c>
      <c r="F142" s="70">
        <f t="shared" si="10"/>
        <v>4.593666226676316E-5</v>
      </c>
      <c r="G142" s="70">
        <f t="shared" si="11"/>
        <v>4.3749202158822056E-6</v>
      </c>
      <c r="M142" s="70">
        <f t="shared" si="12"/>
        <v>6.1117635415874417E-13</v>
      </c>
      <c r="N142" s="206">
        <f t="shared" si="13"/>
        <v>2.4623065956475134</v>
      </c>
      <c r="O142" s="136"/>
      <c r="P142" s="80"/>
      <c r="Q142" s="77"/>
      <c r="R142" s="77"/>
      <c r="S142" s="80"/>
      <c r="T142" s="80"/>
    </row>
    <row r="143" spans="1:20">
      <c r="A143" t="s">
        <v>1246</v>
      </c>
      <c r="B143" t="s">
        <v>1698</v>
      </c>
      <c r="C143">
        <v>600</v>
      </c>
      <c r="E143" s="69">
        <f t="shared" si="14"/>
        <v>1.6666666666666667</v>
      </c>
      <c r="F143" s="70">
        <f t="shared" si="10"/>
        <v>5.1295939531218867E-6</v>
      </c>
      <c r="G143" s="70">
        <f t="shared" si="11"/>
        <v>4.8853275744017972E-7</v>
      </c>
      <c r="M143" s="70">
        <f t="shared" si="12"/>
        <v>6.8248026214393097E-14</v>
      </c>
      <c r="N143" s="206">
        <f t="shared" si="13"/>
        <v>0.27495756984730574</v>
      </c>
      <c r="O143" s="136"/>
      <c r="P143" s="80"/>
      <c r="Q143" s="77"/>
      <c r="R143" s="77"/>
      <c r="S143" s="80"/>
      <c r="T143" s="80"/>
    </row>
    <row r="144" spans="1:20">
      <c r="A144" t="s">
        <v>1110</v>
      </c>
      <c r="B144" t="s">
        <v>1699</v>
      </c>
      <c r="C144">
        <v>13</v>
      </c>
      <c r="E144" s="69">
        <f t="shared" si="14"/>
        <v>76.923076923076934</v>
      </c>
      <c r="F144" s="70">
        <f t="shared" si="10"/>
        <v>2.3675049014408708E-4</v>
      </c>
      <c r="G144" s="70">
        <f t="shared" si="11"/>
        <v>2.2547665728008293E-5</v>
      </c>
      <c r="M144" s="70">
        <f t="shared" si="12"/>
        <v>3.1499089022027586E-12</v>
      </c>
      <c r="N144" s="206">
        <f t="shared" si="13"/>
        <v>12.690349377567955</v>
      </c>
      <c r="O144" s="136"/>
      <c r="P144" s="80"/>
      <c r="Q144" s="77"/>
      <c r="R144" s="77"/>
      <c r="S144" s="80"/>
      <c r="T144" s="80"/>
    </row>
    <row r="145" spans="1:20">
      <c r="A145" t="s">
        <v>1247</v>
      </c>
      <c r="B145" t="s">
        <v>1700</v>
      </c>
      <c r="C145">
        <v>1550</v>
      </c>
      <c r="E145" s="69">
        <f t="shared" si="14"/>
        <v>0.64516129032258063</v>
      </c>
      <c r="F145" s="70">
        <f t="shared" si="10"/>
        <v>1.9856492721762139E-6</v>
      </c>
      <c r="G145" s="70">
        <f t="shared" si="11"/>
        <v>1.8910945449297276E-7</v>
      </c>
      <c r="M145" s="70">
        <f t="shared" si="12"/>
        <v>2.6418590792668293E-14</v>
      </c>
      <c r="N145" s="206">
        <f t="shared" si="13"/>
        <v>0.1064351883279893</v>
      </c>
      <c r="O145" s="136"/>
      <c r="P145" s="80"/>
      <c r="Q145" s="77"/>
      <c r="R145" s="77"/>
      <c r="S145" s="80"/>
      <c r="T145" s="80"/>
    </row>
    <row r="146" spans="1:20">
      <c r="A146" t="s">
        <v>1248</v>
      </c>
      <c r="B146" t="s">
        <v>1701</v>
      </c>
      <c r="C146">
        <v>709</v>
      </c>
      <c r="E146" s="69">
        <f t="shared" si="14"/>
        <v>1.4104372355430184</v>
      </c>
      <c r="F146" s="70">
        <f t="shared" si="10"/>
        <v>4.3409821888196499E-6</v>
      </c>
      <c r="G146" s="70">
        <f t="shared" si="11"/>
        <v>4.1342687512568096E-7</v>
      </c>
      <c r="M146" s="70">
        <f t="shared" si="12"/>
        <v>5.7755734455057628E-14</v>
      </c>
      <c r="N146" s="206">
        <f t="shared" si="13"/>
        <v>0.23268623682423614</v>
      </c>
      <c r="O146" s="136"/>
      <c r="P146" s="80"/>
      <c r="Q146" s="77"/>
      <c r="R146" s="77"/>
      <c r="S146" s="80"/>
      <c r="T146" s="80"/>
    </row>
    <row r="147" spans="1:20">
      <c r="A147" t="s">
        <v>1249</v>
      </c>
      <c r="B147" t="s">
        <v>1702</v>
      </c>
      <c r="C147">
        <v>672</v>
      </c>
      <c r="E147" s="69">
        <f t="shared" si="14"/>
        <v>1.4880952380952379</v>
      </c>
      <c r="F147" s="70">
        <f t="shared" si="10"/>
        <v>4.5799946010016835E-6</v>
      </c>
      <c r="G147" s="70">
        <f t="shared" si="11"/>
        <v>4.3618996200016031E-7</v>
      </c>
      <c r="M147" s="70">
        <f t="shared" si="12"/>
        <v>6.0935737691422391E-14</v>
      </c>
      <c r="N147" s="206">
        <f t="shared" si="13"/>
        <v>0.24549783022080865</v>
      </c>
      <c r="O147" s="136"/>
      <c r="P147" s="80"/>
      <c r="Q147" s="77"/>
      <c r="R147" s="77"/>
      <c r="S147" s="80"/>
      <c r="T147" s="80"/>
    </row>
    <row r="148" spans="1:20">
      <c r="A148" t="s">
        <v>1250</v>
      </c>
      <c r="B148" t="s">
        <v>1703</v>
      </c>
      <c r="C148">
        <v>1140</v>
      </c>
      <c r="E148" s="69">
        <f t="shared" si="14"/>
        <v>0.87719298245614041</v>
      </c>
      <c r="F148" s="70">
        <f t="shared" si="10"/>
        <v>2.6997862911167824E-6</v>
      </c>
      <c r="G148" s="70">
        <f t="shared" si="11"/>
        <v>2.5712250391588401E-7</v>
      </c>
      <c r="M148" s="70">
        <f t="shared" si="12"/>
        <v>3.5920013797049001E-14</v>
      </c>
      <c r="N148" s="206">
        <f t="shared" si="13"/>
        <v>0.14471451044595041</v>
      </c>
      <c r="O148" s="136"/>
      <c r="P148" s="80"/>
      <c r="Q148" s="77"/>
      <c r="R148" s="77"/>
      <c r="S148" s="80"/>
      <c r="T148" s="80"/>
    </row>
    <row r="149" spans="1:20">
      <c r="A149" t="s">
        <v>1251</v>
      </c>
      <c r="B149" t="s">
        <v>1704</v>
      </c>
      <c r="C149">
        <v>670</v>
      </c>
      <c r="E149" s="69">
        <f t="shared" si="14"/>
        <v>1.4925373134328359</v>
      </c>
      <c r="F149" s="70">
        <f t="shared" si="10"/>
        <v>4.5936662266763158E-6</v>
      </c>
      <c r="G149" s="70">
        <f t="shared" si="11"/>
        <v>4.3749202158822061E-7</v>
      </c>
      <c r="M149" s="70">
        <f t="shared" si="12"/>
        <v>6.1117635415874417E-14</v>
      </c>
      <c r="N149" s="206">
        <f t="shared" si="13"/>
        <v>0.24623065956475138</v>
      </c>
      <c r="O149" s="136"/>
      <c r="P149" s="80"/>
      <c r="Q149" s="77"/>
      <c r="R149" s="77"/>
      <c r="S149" s="80"/>
      <c r="T149" s="80"/>
    </row>
    <row r="150" spans="1:20">
      <c r="A150" t="s">
        <v>1252</v>
      </c>
      <c r="B150" t="s">
        <v>1705</v>
      </c>
      <c r="C150">
        <v>1250</v>
      </c>
      <c r="E150" s="69">
        <f t="shared" si="14"/>
        <v>0.8</v>
      </c>
      <c r="F150" s="70">
        <f t="shared" si="10"/>
        <v>2.4622050974985056E-6</v>
      </c>
      <c r="G150" s="70">
        <f t="shared" si="11"/>
        <v>2.3449572357128623E-7</v>
      </c>
      <c r="M150" s="70">
        <f t="shared" si="12"/>
        <v>3.2759052582908689E-14</v>
      </c>
      <c r="N150" s="206">
        <f t="shared" si="13"/>
        <v>0.13197963352670675</v>
      </c>
      <c r="O150" s="136"/>
      <c r="P150" s="80"/>
      <c r="Q150" s="77"/>
      <c r="R150" s="77"/>
      <c r="S150" s="80"/>
      <c r="T150" s="80"/>
    </row>
    <row r="151" spans="1:20">
      <c r="A151" t="s">
        <v>1111</v>
      </c>
      <c r="B151" t="s">
        <v>1706</v>
      </c>
      <c r="C151">
        <v>21</v>
      </c>
      <c r="E151" s="69">
        <f t="shared" si="14"/>
        <v>47.619047619047613</v>
      </c>
      <c r="F151" s="70">
        <f t="shared" si="10"/>
        <v>1.4655982723205387E-4</v>
      </c>
      <c r="G151" s="70">
        <f t="shared" si="11"/>
        <v>1.395807878400513E-5</v>
      </c>
      <c r="M151" s="70">
        <f t="shared" si="12"/>
        <v>1.9499436061255165E-12</v>
      </c>
      <c r="N151" s="206">
        <f t="shared" si="13"/>
        <v>7.8559305670658768</v>
      </c>
      <c r="O151" s="136"/>
      <c r="P151" s="80"/>
      <c r="Q151" s="77"/>
      <c r="R151" s="77"/>
      <c r="S151" s="80"/>
      <c r="T151" s="80"/>
    </row>
    <row r="152" spans="1:20">
      <c r="A152" t="s">
        <v>1253</v>
      </c>
      <c r="B152" t="s">
        <v>1707</v>
      </c>
      <c r="C152">
        <v>336</v>
      </c>
      <c r="E152" s="69">
        <f t="shared" si="14"/>
        <v>2.9761904761904758</v>
      </c>
      <c r="F152" s="70">
        <f t="shared" si="10"/>
        <v>9.1599892020033669E-6</v>
      </c>
      <c r="G152" s="70">
        <f t="shared" si="11"/>
        <v>8.7237992400032062E-7</v>
      </c>
      <c r="M152" s="70">
        <f t="shared" si="12"/>
        <v>1.2187147538284478E-13</v>
      </c>
      <c r="N152" s="206">
        <f t="shared" si="13"/>
        <v>0.4909956604416173</v>
      </c>
      <c r="O152" s="136"/>
      <c r="P152" s="80"/>
      <c r="Q152" s="77"/>
      <c r="R152" s="77"/>
      <c r="S152" s="80"/>
      <c r="T152" s="80"/>
    </row>
    <row r="153" spans="1:20">
      <c r="A153" t="s">
        <v>1254</v>
      </c>
      <c r="B153" t="s">
        <v>1708</v>
      </c>
      <c r="C153">
        <v>940</v>
      </c>
      <c r="E153" s="69">
        <f t="shared" si="14"/>
        <v>1.0638297872340425</v>
      </c>
      <c r="F153" s="70">
        <f t="shared" si="10"/>
        <v>3.2742089062480123E-6</v>
      </c>
      <c r="G153" s="70">
        <f t="shared" si="11"/>
        <v>3.1182941964266784E-7</v>
      </c>
      <c r="M153" s="70">
        <f t="shared" si="12"/>
        <v>4.3562569924080693E-14</v>
      </c>
      <c r="N153" s="206">
        <f t="shared" si="13"/>
        <v>0.17550483181742915</v>
      </c>
      <c r="O153" s="136"/>
      <c r="P153" s="80"/>
      <c r="Q153" s="77"/>
      <c r="R153" s="77"/>
      <c r="S153" s="80"/>
      <c r="T153" s="80"/>
    </row>
    <row r="154" spans="1:20">
      <c r="A154" t="s">
        <v>1112</v>
      </c>
      <c r="B154" t="s">
        <v>1709</v>
      </c>
      <c r="C154">
        <v>42</v>
      </c>
      <c r="E154" s="69">
        <f t="shared" si="14"/>
        <v>23.809523809523807</v>
      </c>
      <c r="F154" s="70">
        <f t="shared" si="10"/>
        <v>7.3279913616026935E-5</v>
      </c>
      <c r="G154" s="70">
        <f t="shared" si="11"/>
        <v>6.979039392002565E-6</v>
      </c>
      <c r="M154" s="70">
        <f t="shared" si="12"/>
        <v>9.7497180306275826E-13</v>
      </c>
      <c r="N154" s="206">
        <f t="shared" si="13"/>
        <v>3.9279652835329384</v>
      </c>
      <c r="O154" s="136"/>
      <c r="P154" s="80"/>
      <c r="Q154" s="77"/>
      <c r="R154" s="77"/>
      <c r="S154" s="80"/>
      <c r="T154" s="80"/>
    </row>
    <row r="155" spans="1:20">
      <c r="A155" t="s">
        <v>1255</v>
      </c>
      <c r="B155" t="s">
        <v>1710</v>
      </c>
      <c r="C155">
        <v>88</v>
      </c>
      <c r="E155" s="69">
        <f t="shared" si="14"/>
        <v>11.363636363636363</v>
      </c>
      <c r="F155" s="70">
        <f t="shared" si="10"/>
        <v>3.4974504225831038E-5</v>
      </c>
      <c r="G155" s="70">
        <f t="shared" si="11"/>
        <v>3.330905164364861E-6</v>
      </c>
      <c r="M155" s="70">
        <f t="shared" si="12"/>
        <v>4.6532745146177116E-13</v>
      </c>
      <c r="N155" s="206">
        <f t="shared" si="13"/>
        <v>1.8747107035043569</v>
      </c>
      <c r="O155" s="136"/>
      <c r="P155" s="80"/>
      <c r="Q155" s="77"/>
      <c r="R155" s="77"/>
      <c r="S155" s="80"/>
      <c r="T155" s="80"/>
    </row>
    <row r="156" spans="1:20">
      <c r="A156" t="s">
        <v>1256</v>
      </c>
      <c r="B156" t="s">
        <v>1711</v>
      </c>
      <c r="C156">
        <v>1625</v>
      </c>
      <c r="E156" s="69">
        <f t="shared" si="14"/>
        <v>0.61538461538461542</v>
      </c>
      <c r="F156" s="70">
        <f t="shared" si="10"/>
        <v>1.8940039211526965E-6</v>
      </c>
      <c r="G156" s="70">
        <f t="shared" si="11"/>
        <v>1.8038132582406633E-7</v>
      </c>
      <c r="M156" s="70">
        <f t="shared" si="12"/>
        <v>2.5199271217622071E-14</v>
      </c>
      <c r="N156" s="206">
        <f t="shared" si="13"/>
        <v>0.10152279502054365</v>
      </c>
      <c r="O156" s="136"/>
      <c r="P156" s="80"/>
      <c r="Q156" s="77"/>
      <c r="R156" s="77"/>
      <c r="S156" s="80"/>
      <c r="T156" s="80"/>
    </row>
    <row r="157" spans="1:20">
      <c r="A157" t="s">
        <v>1257</v>
      </c>
      <c r="B157" t="s">
        <v>1712</v>
      </c>
      <c r="C157">
        <v>230</v>
      </c>
      <c r="E157" s="69">
        <f t="shared" si="14"/>
        <v>4.3478260869565215</v>
      </c>
      <c r="F157" s="70">
        <f t="shared" si="10"/>
        <v>1.3381549442926658E-5</v>
      </c>
      <c r="G157" s="70">
        <f t="shared" si="11"/>
        <v>1.2744332802787294E-6</v>
      </c>
      <c r="M157" s="70">
        <f t="shared" si="12"/>
        <v>1.7803832925493852E-13</v>
      </c>
      <c r="N157" s="206">
        <f t="shared" si="13"/>
        <v>0.71728061699297141</v>
      </c>
      <c r="O157" s="136"/>
      <c r="P157" s="80"/>
      <c r="Q157" s="77"/>
      <c r="R157" s="77"/>
      <c r="S157" s="80"/>
      <c r="T157" s="80"/>
    </row>
    <row r="158" spans="1:20">
      <c r="A158" t="s">
        <v>1258</v>
      </c>
      <c r="B158" t="s">
        <v>1713</v>
      </c>
      <c r="C158">
        <v>300</v>
      </c>
      <c r="E158" s="69">
        <f t="shared" si="14"/>
        <v>3.3333333333333335</v>
      </c>
      <c r="F158" s="70">
        <f t="shared" si="10"/>
        <v>1.0259187906243773E-5</v>
      </c>
      <c r="G158" s="70">
        <f t="shared" si="11"/>
        <v>9.7706551488035944E-7</v>
      </c>
      <c r="M158" s="70">
        <f t="shared" si="12"/>
        <v>1.3649605242878619E-13</v>
      </c>
      <c r="N158" s="206">
        <f t="shared" si="13"/>
        <v>0.54991513969461148</v>
      </c>
      <c r="O158" s="136"/>
      <c r="P158" s="80"/>
      <c r="Q158" s="77"/>
      <c r="R158" s="77"/>
      <c r="S158" s="80"/>
      <c r="T158" s="80"/>
    </row>
    <row r="159" spans="1:20">
      <c r="A159" t="s">
        <v>1259</v>
      </c>
      <c r="B159" t="s">
        <v>1714</v>
      </c>
      <c r="C159">
        <v>100</v>
      </c>
      <c r="D159" t="s">
        <v>1260</v>
      </c>
      <c r="E159" s="69">
        <f t="shared" si="14"/>
        <v>10</v>
      </c>
      <c r="F159" s="70">
        <f t="shared" si="10"/>
        <v>3.0777563718731315E-5</v>
      </c>
      <c r="G159" s="70">
        <f t="shared" si="11"/>
        <v>2.9311965446410779E-6</v>
      </c>
      <c r="M159" s="70">
        <f t="shared" si="12"/>
        <v>4.0948815728635861E-13</v>
      </c>
      <c r="N159" s="206">
        <f t="shared" si="13"/>
        <v>1.6497454190838341</v>
      </c>
      <c r="O159" s="136"/>
      <c r="P159" s="80"/>
      <c r="Q159" s="77"/>
      <c r="R159" s="77"/>
      <c r="S159" s="80"/>
      <c r="T159" s="80"/>
    </row>
    <row r="160" spans="1:20">
      <c r="A160" t="s">
        <v>1113</v>
      </c>
      <c r="B160" t="s">
        <v>1715</v>
      </c>
      <c r="C160">
        <v>96</v>
      </c>
      <c r="E160" s="69">
        <f t="shared" si="14"/>
        <v>10.416666666666666</v>
      </c>
      <c r="F160" s="70">
        <f t="shared" si="10"/>
        <v>3.2059962207011787E-5</v>
      </c>
      <c r="G160" s="70">
        <f t="shared" si="11"/>
        <v>3.0533297340011229E-6</v>
      </c>
      <c r="M160" s="70">
        <f t="shared" si="12"/>
        <v>4.2655016383995684E-13</v>
      </c>
      <c r="N160" s="206">
        <f t="shared" si="13"/>
        <v>1.7184848115456604</v>
      </c>
      <c r="O160" s="136"/>
      <c r="P160" s="80"/>
      <c r="Q160" s="77"/>
      <c r="R160" s="77"/>
      <c r="S160" s="80"/>
      <c r="T160" s="80"/>
    </row>
    <row r="161" spans="1:20">
      <c r="A161" s="133" t="s">
        <v>1066</v>
      </c>
      <c r="B161" t="s">
        <v>1716</v>
      </c>
      <c r="C161">
        <v>10000</v>
      </c>
      <c r="D161" t="s">
        <v>1067</v>
      </c>
      <c r="E161" s="69">
        <f t="shared" si="14"/>
        <v>0.1</v>
      </c>
      <c r="F161" s="70">
        <f t="shared" si="10"/>
        <v>3.0777563718731321E-7</v>
      </c>
      <c r="G161" s="70">
        <f t="shared" si="11"/>
        <v>2.9311965446410778E-8</v>
      </c>
      <c r="M161" s="70">
        <f t="shared" si="12"/>
        <v>4.0948815728635861E-15</v>
      </c>
      <c r="N161" s="206">
        <f t="shared" si="13"/>
        <v>1.6497454190838343E-2</v>
      </c>
      <c r="O161" s="136"/>
      <c r="P161" s="80"/>
      <c r="Q161" s="77"/>
      <c r="R161" s="77"/>
      <c r="S161" s="80"/>
      <c r="T161" s="80"/>
    </row>
    <row r="162" spans="1:20">
      <c r="A162" t="s">
        <v>1261</v>
      </c>
      <c r="B162" t="s">
        <v>1717</v>
      </c>
      <c r="C162">
        <v>1690</v>
      </c>
      <c r="E162" s="69">
        <f t="shared" si="14"/>
        <v>0.59171597633136097</v>
      </c>
      <c r="F162" s="70">
        <f t="shared" si="10"/>
        <v>1.8211576164929772E-6</v>
      </c>
      <c r="G162" s="70">
        <f t="shared" si="11"/>
        <v>1.734435825231407E-7</v>
      </c>
      <c r="M162" s="70">
        <f t="shared" si="12"/>
        <v>2.4230068478482757E-14</v>
      </c>
      <c r="N162" s="206">
        <f t="shared" si="13"/>
        <v>9.7618072135138109E-2</v>
      </c>
      <c r="O162" s="136"/>
      <c r="P162" s="80"/>
      <c r="Q162" s="77"/>
      <c r="R162" s="77"/>
      <c r="S162" s="80"/>
      <c r="T162" s="80"/>
    </row>
    <row r="163" spans="1:20">
      <c r="A163" t="s">
        <v>1262</v>
      </c>
      <c r="B163" t="s">
        <v>1718</v>
      </c>
      <c r="C163">
        <v>1200</v>
      </c>
      <c r="E163" s="69">
        <f t="shared" si="14"/>
        <v>0.83333333333333337</v>
      </c>
      <c r="F163" s="70">
        <f t="shared" si="10"/>
        <v>2.5647969765609434E-6</v>
      </c>
      <c r="G163" s="70">
        <f t="shared" si="11"/>
        <v>2.4426637872008986E-7</v>
      </c>
      <c r="M163" s="70">
        <f t="shared" si="12"/>
        <v>3.4124013107196548E-14</v>
      </c>
      <c r="N163" s="206">
        <f t="shared" si="13"/>
        <v>0.13747878492365287</v>
      </c>
      <c r="O163" s="136"/>
      <c r="P163" s="80"/>
      <c r="Q163" s="77"/>
      <c r="R163" s="77"/>
      <c r="S163" s="80"/>
      <c r="T163" s="80"/>
    </row>
    <row r="164" spans="1:20">
      <c r="A164" t="s">
        <v>1263</v>
      </c>
      <c r="B164" t="s">
        <v>1719</v>
      </c>
      <c r="C164">
        <v>227</v>
      </c>
      <c r="E164" s="69">
        <f t="shared" si="14"/>
        <v>4.4052863436123353</v>
      </c>
      <c r="F164" s="70">
        <f t="shared" si="10"/>
        <v>1.3558398113978556E-5</v>
      </c>
      <c r="G164" s="70">
        <f t="shared" si="11"/>
        <v>1.2912760108551006E-6</v>
      </c>
      <c r="M164" s="70">
        <f t="shared" si="12"/>
        <v>1.8039125871645755E-13</v>
      </c>
      <c r="N164" s="206">
        <f t="shared" si="13"/>
        <v>0.72676009651270246</v>
      </c>
      <c r="O164" s="136"/>
      <c r="P164" s="80"/>
      <c r="Q164" s="77"/>
      <c r="R164" s="77"/>
      <c r="S164" s="80"/>
      <c r="T164" s="80"/>
    </row>
    <row r="165" spans="1:20">
      <c r="A165" t="s">
        <v>1264</v>
      </c>
      <c r="B165" t="s">
        <v>1265</v>
      </c>
      <c r="C165">
        <v>450</v>
      </c>
      <c r="E165" s="69">
        <f t="shared" si="14"/>
        <v>2.2222222222222223</v>
      </c>
      <c r="F165" s="70">
        <f t="shared" si="10"/>
        <v>6.8394586041625148E-6</v>
      </c>
      <c r="G165" s="70">
        <f t="shared" si="11"/>
        <v>6.5137700992023952E-7</v>
      </c>
      <c r="M165" s="70">
        <f t="shared" si="12"/>
        <v>9.0997368285857467E-14</v>
      </c>
      <c r="N165" s="206">
        <f t="shared" si="13"/>
        <v>0.36661009312974097</v>
      </c>
      <c r="O165" s="136"/>
      <c r="P165" s="80"/>
      <c r="Q165" s="77"/>
      <c r="R165" s="77"/>
      <c r="S165" s="80"/>
      <c r="T165" s="80"/>
    </row>
    <row r="166" spans="1:20">
      <c r="A166" t="s">
        <v>1266</v>
      </c>
      <c r="B166" t="s">
        <v>1720</v>
      </c>
      <c r="C166">
        <v>300</v>
      </c>
      <c r="E166" s="69">
        <f t="shared" si="14"/>
        <v>3.3333333333333335</v>
      </c>
      <c r="F166" s="70">
        <f t="shared" si="10"/>
        <v>1.0259187906243773E-5</v>
      </c>
      <c r="G166" s="70">
        <f t="shared" si="11"/>
        <v>9.7706551488035944E-7</v>
      </c>
      <c r="M166" s="70">
        <f t="shared" si="12"/>
        <v>1.3649605242878619E-13</v>
      </c>
      <c r="N166" s="206">
        <f t="shared" si="13"/>
        <v>0.54991513969461148</v>
      </c>
      <c r="O166" s="136"/>
      <c r="P166" s="80"/>
      <c r="Q166" s="77"/>
      <c r="R166" s="77"/>
      <c r="S166" s="80"/>
      <c r="T166" s="80"/>
    </row>
    <row r="167" spans="1:20">
      <c r="A167" t="s">
        <v>1267</v>
      </c>
      <c r="B167" t="s">
        <v>1268</v>
      </c>
      <c r="C167">
        <v>268</v>
      </c>
      <c r="E167" s="69">
        <f t="shared" si="14"/>
        <v>3.7313432835820897</v>
      </c>
      <c r="F167" s="70">
        <f t="shared" si="10"/>
        <v>1.148416556669079E-5</v>
      </c>
      <c r="G167" s="70">
        <f t="shared" si="11"/>
        <v>1.0937300539705514E-6</v>
      </c>
      <c r="M167" s="70">
        <f t="shared" si="12"/>
        <v>1.5279408853968604E-13</v>
      </c>
      <c r="N167" s="206">
        <f t="shared" si="13"/>
        <v>0.61557664891187835</v>
      </c>
      <c r="O167" s="136"/>
      <c r="P167" s="80"/>
      <c r="Q167" s="77"/>
      <c r="R167" s="77"/>
      <c r="S167" s="80"/>
      <c r="T167" s="80"/>
    </row>
    <row r="168" spans="1:20">
      <c r="A168" t="s">
        <v>1269</v>
      </c>
      <c r="B168" t="s">
        <v>1721</v>
      </c>
      <c r="C168">
        <v>110</v>
      </c>
      <c r="E168" s="69">
        <f t="shared" si="14"/>
        <v>9.0909090909090899</v>
      </c>
      <c r="F168" s="70">
        <f t="shared" si="10"/>
        <v>2.797960338066483E-5</v>
      </c>
      <c r="G168" s="70">
        <f t="shared" si="11"/>
        <v>2.6647241314918886E-6</v>
      </c>
      <c r="M168" s="70">
        <f t="shared" si="12"/>
        <v>3.7226196116941687E-13</v>
      </c>
      <c r="N168" s="206">
        <f t="shared" si="13"/>
        <v>1.4997685628034856</v>
      </c>
      <c r="O168" s="136"/>
      <c r="P168" s="80"/>
      <c r="Q168" s="77"/>
      <c r="R168" s="77"/>
      <c r="S168" s="80"/>
      <c r="T168" s="80"/>
    </row>
    <row r="169" spans="1:20">
      <c r="A169" t="s">
        <v>1270</v>
      </c>
      <c r="B169" t="s">
        <v>1722</v>
      </c>
      <c r="C169">
        <v>390</v>
      </c>
      <c r="E169" s="69">
        <f t="shared" si="14"/>
        <v>2.5641025641025643</v>
      </c>
      <c r="F169" s="70">
        <f t="shared" si="10"/>
        <v>7.8916830048029016E-6</v>
      </c>
      <c r="G169" s="70">
        <f t="shared" si="11"/>
        <v>7.5158885760027632E-7</v>
      </c>
      <c r="M169" s="70">
        <f t="shared" si="12"/>
        <v>1.0499696340675862E-13</v>
      </c>
      <c r="N169" s="206">
        <f t="shared" si="13"/>
        <v>0.42301164591893187</v>
      </c>
      <c r="O169" s="136"/>
      <c r="P169" s="80"/>
      <c r="Q169" s="77"/>
      <c r="R169" s="77"/>
      <c r="S169" s="80"/>
      <c r="T169" s="80"/>
    </row>
    <row r="170" spans="1:20">
      <c r="A170" t="s">
        <v>1271</v>
      </c>
      <c r="B170" t="s">
        <v>1723</v>
      </c>
      <c r="C170">
        <v>600</v>
      </c>
      <c r="E170" s="69">
        <f t="shared" si="14"/>
        <v>1.6666666666666667</v>
      </c>
      <c r="F170" s="70">
        <f t="shared" si="10"/>
        <v>5.1295939531218867E-6</v>
      </c>
      <c r="G170" s="70">
        <f t="shared" si="11"/>
        <v>4.8853275744017972E-7</v>
      </c>
      <c r="M170" s="70">
        <f t="shared" si="12"/>
        <v>6.8248026214393097E-14</v>
      </c>
      <c r="N170" s="206">
        <f t="shared" si="13"/>
        <v>0.27495756984730574</v>
      </c>
      <c r="O170" s="136"/>
      <c r="P170" s="80"/>
      <c r="Q170" s="77"/>
      <c r="R170" s="77"/>
      <c r="S170" s="80"/>
      <c r="T170" s="80"/>
    </row>
    <row r="171" spans="1:20">
      <c r="A171" t="s">
        <v>1272</v>
      </c>
      <c r="B171" t="s">
        <v>1724</v>
      </c>
      <c r="C171">
        <v>403</v>
      </c>
      <c r="E171" s="69">
        <f t="shared" si="14"/>
        <v>2.4813895781637716</v>
      </c>
      <c r="F171" s="70">
        <f t="shared" si="10"/>
        <v>7.6371125852931305E-6</v>
      </c>
      <c r="G171" s="70">
        <f t="shared" si="11"/>
        <v>7.2734405574220282E-7</v>
      </c>
      <c r="M171" s="70">
        <f t="shared" si="12"/>
        <v>1.0160996458718575E-13</v>
      </c>
      <c r="N171" s="206">
        <f t="shared" si="13"/>
        <v>0.40936610895380504</v>
      </c>
      <c r="O171" s="136"/>
      <c r="P171" s="80"/>
      <c r="Q171" s="77"/>
      <c r="R171" s="77"/>
      <c r="S171" s="80"/>
      <c r="T171" s="80"/>
    </row>
    <row r="172" spans="1:20">
      <c r="A172" t="s">
        <v>1273</v>
      </c>
      <c r="B172" t="s">
        <v>1725</v>
      </c>
      <c r="C172">
        <v>1190</v>
      </c>
      <c r="E172" s="69">
        <f t="shared" si="14"/>
        <v>0.84033613445378152</v>
      </c>
      <c r="F172" s="70">
        <f t="shared" si="10"/>
        <v>2.5863498923303626E-6</v>
      </c>
      <c r="G172" s="70">
        <f t="shared" si="11"/>
        <v>2.4631903736479644E-7</v>
      </c>
      <c r="M172" s="70">
        <f t="shared" si="12"/>
        <v>3.4410769519862071E-14</v>
      </c>
      <c r="N172" s="206">
        <f t="shared" si="13"/>
        <v>0.1386340688305743</v>
      </c>
      <c r="O172" s="136"/>
      <c r="P172" s="80"/>
      <c r="Q172" s="77"/>
      <c r="R172" s="77"/>
      <c r="S172" s="80"/>
      <c r="T172" s="80"/>
    </row>
    <row r="173" spans="1:20">
      <c r="A173" t="s">
        <v>1274</v>
      </c>
      <c r="B173" t="s">
        <v>1726</v>
      </c>
      <c r="C173">
        <v>1800</v>
      </c>
      <c r="E173" s="69">
        <f t="shared" si="14"/>
        <v>0.55555555555555558</v>
      </c>
      <c r="F173" s="70">
        <f t="shared" si="10"/>
        <v>1.7098646510406287E-6</v>
      </c>
      <c r="G173" s="70">
        <f t="shared" si="11"/>
        <v>1.6284425248005988E-7</v>
      </c>
      <c r="M173" s="70">
        <f t="shared" si="12"/>
        <v>2.2749342071464367E-14</v>
      </c>
      <c r="N173" s="206">
        <f t="shared" si="13"/>
        <v>9.1652523282435241E-2</v>
      </c>
      <c r="O173" s="136"/>
      <c r="P173" s="80"/>
      <c r="Q173" s="77"/>
      <c r="R173" s="77"/>
      <c r="S173" s="80"/>
      <c r="T173" s="80"/>
    </row>
    <row r="174" spans="1:20">
      <c r="A174" t="s">
        <v>1275</v>
      </c>
      <c r="B174" t="s">
        <v>1727</v>
      </c>
      <c r="C174">
        <v>630</v>
      </c>
      <c r="E174" s="69">
        <f t="shared" si="14"/>
        <v>1.5873015873015872</v>
      </c>
      <c r="F174" s="70">
        <f t="shared" si="10"/>
        <v>4.8853275744017959E-6</v>
      </c>
      <c r="G174" s="70">
        <f t="shared" si="11"/>
        <v>4.6526929280017102E-7</v>
      </c>
      <c r="M174" s="70">
        <f t="shared" si="12"/>
        <v>6.4998120204183896E-14</v>
      </c>
      <c r="N174" s="206">
        <f t="shared" si="13"/>
        <v>0.26186435223552923</v>
      </c>
      <c r="O174" s="136"/>
      <c r="P174" s="80"/>
      <c r="Q174" s="77"/>
      <c r="R174" s="77"/>
      <c r="S174" s="80"/>
      <c r="T174" s="80"/>
    </row>
    <row r="175" spans="1:20">
      <c r="A175" t="s">
        <v>1114</v>
      </c>
      <c r="B175" t="s">
        <v>1728</v>
      </c>
      <c r="C175">
        <v>112</v>
      </c>
      <c r="E175" s="69">
        <f t="shared" si="14"/>
        <v>8.9285714285714288</v>
      </c>
      <c r="F175" s="70">
        <f t="shared" si="10"/>
        <v>2.7479967606010106E-5</v>
      </c>
      <c r="G175" s="70">
        <f t="shared" si="11"/>
        <v>2.6171397720009624E-6</v>
      </c>
      <c r="M175" s="70">
        <f t="shared" si="12"/>
        <v>3.656144261485345E-13</v>
      </c>
      <c r="N175" s="206">
        <f t="shared" si="13"/>
        <v>1.4729869813248522</v>
      </c>
      <c r="O175" s="136"/>
      <c r="P175" s="80"/>
      <c r="Q175" s="77"/>
      <c r="R175" s="77"/>
      <c r="S175" s="80"/>
      <c r="T175" s="80"/>
    </row>
    <row r="176" spans="1:20">
      <c r="A176" t="s">
        <v>641</v>
      </c>
      <c r="B176" s="52" t="s">
        <v>1560</v>
      </c>
      <c r="C176">
        <v>56</v>
      </c>
      <c r="E176" s="69">
        <f t="shared" si="14"/>
        <v>17.857142857142858</v>
      </c>
      <c r="F176" s="70">
        <f t="shared" si="10"/>
        <v>5.4959935212020212E-5</v>
      </c>
      <c r="G176" s="70">
        <f t="shared" si="11"/>
        <v>5.2342795440019248E-6</v>
      </c>
      <c r="M176" s="70">
        <f t="shared" si="12"/>
        <v>7.31228852297069E-13</v>
      </c>
      <c r="N176" s="206">
        <f t="shared" si="13"/>
        <v>2.9459739626497043</v>
      </c>
      <c r="O176" s="136"/>
      <c r="P176" s="80"/>
      <c r="Q176" s="77"/>
      <c r="R176" s="77"/>
      <c r="S176" s="80"/>
      <c r="T176" s="80"/>
    </row>
    <row r="177" spans="1:20">
      <c r="A177" s="45" t="s">
        <v>1115</v>
      </c>
      <c r="B177" t="s">
        <v>1729</v>
      </c>
      <c r="C177">
        <v>10</v>
      </c>
      <c r="D177" t="s">
        <v>1090</v>
      </c>
      <c r="E177" s="69">
        <f t="shared" si="14"/>
        <v>100</v>
      </c>
      <c r="F177" s="70">
        <f t="shared" si="10"/>
        <v>3.0777563718731315E-4</v>
      </c>
      <c r="G177" s="70">
        <f t="shared" si="11"/>
        <v>2.9311965446410776E-5</v>
      </c>
      <c r="M177" s="70">
        <f t="shared" si="12"/>
        <v>4.0948815728635857E-12</v>
      </c>
      <c r="N177" s="206">
        <f t="shared" si="13"/>
        <v>16.497454190838344</v>
      </c>
      <c r="O177" s="136"/>
      <c r="P177" s="80"/>
      <c r="Q177" s="77"/>
      <c r="R177" s="77"/>
      <c r="S177" s="80"/>
      <c r="T177" s="80"/>
    </row>
    <row r="178" spans="1:20">
      <c r="A178" t="s">
        <v>1276</v>
      </c>
      <c r="B178" t="s">
        <v>1730</v>
      </c>
      <c r="C178">
        <v>700</v>
      </c>
      <c r="D178" t="s">
        <v>1277</v>
      </c>
      <c r="E178" s="69">
        <f t="shared" si="14"/>
        <v>1.4285714285714286</v>
      </c>
      <c r="F178" s="70">
        <f t="shared" si="10"/>
        <v>4.3967948169616168E-6</v>
      </c>
      <c r="G178" s="70">
        <f t="shared" si="11"/>
        <v>4.1874236352015398E-7</v>
      </c>
      <c r="M178" s="70">
        <f t="shared" si="12"/>
        <v>5.8498308183765519E-14</v>
      </c>
      <c r="N178" s="206">
        <f t="shared" si="13"/>
        <v>0.23567791701197632</v>
      </c>
      <c r="O178" s="136"/>
      <c r="P178" s="80"/>
      <c r="Q178" s="77"/>
      <c r="R178" s="77"/>
      <c r="S178" s="80"/>
      <c r="T178" s="80"/>
    </row>
    <row r="179" spans="1:20">
      <c r="A179" t="s">
        <v>1278</v>
      </c>
      <c r="B179" t="s">
        <v>1731</v>
      </c>
      <c r="C179">
        <v>790</v>
      </c>
      <c r="E179" s="69">
        <f t="shared" si="14"/>
        <v>1.2658227848101267</v>
      </c>
      <c r="F179" s="70">
        <f t="shared" si="10"/>
        <v>3.8958941416115596E-6</v>
      </c>
      <c r="G179" s="70">
        <f t="shared" si="11"/>
        <v>3.7103753729633901E-7</v>
      </c>
      <c r="M179" s="70">
        <f t="shared" si="12"/>
        <v>5.1833943960298557E-14</v>
      </c>
      <c r="N179" s="206">
        <f t="shared" si="13"/>
        <v>0.20882853406124485</v>
      </c>
      <c r="O179" s="136"/>
      <c r="P179" s="80"/>
      <c r="Q179" s="77"/>
      <c r="R179" s="77"/>
      <c r="S179" s="80"/>
      <c r="T179" s="80"/>
    </row>
    <row r="180" spans="1:20">
      <c r="A180" t="s">
        <v>1279</v>
      </c>
      <c r="B180" t="s">
        <v>1732</v>
      </c>
      <c r="C180">
        <v>680</v>
      </c>
      <c r="E180" s="69">
        <f t="shared" si="14"/>
        <v>1.4705882352941175</v>
      </c>
      <c r="F180" s="70">
        <f t="shared" si="10"/>
        <v>4.5261123115781339E-6</v>
      </c>
      <c r="G180" s="70">
        <f t="shared" si="11"/>
        <v>4.310583153883938E-7</v>
      </c>
      <c r="M180" s="70">
        <f t="shared" si="12"/>
        <v>6.0218846659758606E-14</v>
      </c>
      <c r="N180" s="206">
        <f t="shared" si="13"/>
        <v>0.24260962045350498</v>
      </c>
      <c r="O180" s="136"/>
      <c r="P180" s="80"/>
      <c r="Q180" s="77"/>
      <c r="R180" s="77"/>
      <c r="S180" s="80"/>
      <c r="T180" s="80"/>
    </row>
    <row r="181" spans="1:20">
      <c r="A181" t="s">
        <v>1116</v>
      </c>
      <c r="B181" t="s">
        <v>1733</v>
      </c>
      <c r="C181">
        <v>36</v>
      </c>
      <c r="E181" s="69">
        <f t="shared" si="14"/>
        <v>27.777777777777775</v>
      </c>
      <c r="F181" s="70">
        <f t="shared" si="10"/>
        <v>8.5493232552031427E-5</v>
      </c>
      <c r="G181" s="70">
        <f t="shared" si="11"/>
        <v>8.1422126240029932E-6</v>
      </c>
      <c r="M181" s="70">
        <f t="shared" si="12"/>
        <v>1.1374671035732182E-12</v>
      </c>
      <c r="N181" s="206">
        <f t="shared" si="13"/>
        <v>4.5826261641217618</v>
      </c>
      <c r="O181" s="136"/>
      <c r="P181" s="80"/>
      <c r="Q181" s="77"/>
      <c r="R181" s="77"/>
      <c r="S181" s="80"/>
      <c r="T181" s="80"/>
    </row>
    <row r="182" spans="1:20">
      <c r="A182" t="s">
        <v>1280</v>
      </c>
      <c r="B182" t="s">
        <v>1734</v>
      </c>
      <c r="C182">
        <v>930</v>
      </c>
      <c r="E182" s="69">
        <f t="shared" si="14"/>
        <v>1.075268817204301</v>
      </c>
      <c r="F182" s="70">
        <f t="shared" si="10"/>
        <v>3.3094154536270234E-6</v>
      </c>
      <c r="G182" s="70">
        <f t="shared" si="11"/>
        <v>3.1518242415495457E-7</v>
      </c>
      <c r="M182" s="70">
        <f t="shared" si="12"/>
        <v>4.4030984654447157E-14</v>
      </c>
      <c r="N182" s="206">
        <f t="shared" si="13"/>
        <v>0.17739198054664884</v>
      </c>
      <c r="O182" s="136"/>
      <c r="P182" s="80"/>
      <c r="Q182" s="77"/>
      <c r="R182" s="77"/>
      <c r="S182" s="80"/>
      <c r="T182" s="80"/>
    </row>
    <row r="183" spans="1:20">
      <c r="A183" t="s">
        <v>1281</v>
      </c>
      <c r="B183" t="s">
        <v>1735</v>
      </c>
      <c r="C183">
        <v>1050</v>
      </c>
      <c r="E183" s="69">
        <f t="shared" si="14"/>
        <v>0.95238095238095233</v>
      </c>
      <c r="F183" s="70">
        <f t="shared" si="10"/>
        <v>2.9311965446410779E-6</v>
      </c>
      <c r="G183" s="70">
        <f t="shared" si="11"/>
        <v>2.7916157568010262E-7</v>
      </c>
      <c r="M183" s="70">
        <f t="shared" si="12"/>
        <v>3.8998872122510337E-14</v>
      </c>
      <c r="N183" s="206">
        <f t="shared" si="13"/>
        <v>0.15711861134131758</v>
      </c>
      <c r="O183" s="136"/>
      <c r="P183" s="80"/>
      <c r="Q183" s="77"/>
      <c r="R183" s="77"/>
      <c r="S183" s="80"/>
      <c r="T183" s="80"/>
    </row>
    <row r="184" spans="1:20">
      <c r="A184" t="s">
        <v>1282</v>
      </c>
      <c r="B184" t="s">
        <v>1736</v>
      </c>
      <c r="C184">
        <v>1920</v>
      </c>
      <c r="E184" s="69">
        <f t="shared" si="14"/>
        <v>0.52083333333333337</v>
      </c>
      <c r="F184" s="70">
        <f t="shared" si="10"/>
        <v>1.6029981103505896E-6</v>
      </c>
      <c r="G184" s="70">
        <f t="shared" si="11"/>
        <v>1.5266648670005615E-7</v>
      </c>
      <c r="M184" s="70">
        <f t="shared" si="12"/>
        <v>2.1327508191997842E-14</v>
      </c>
      <c r="N184" s="206">
        <f t="shared" si="13"/>
        <v>8.592424057728304E-2</v>
      </c>
      <c r="O184" s="136"/>
      <c r="P184" s="80"/>
      <c r="Q184" s="77"/>
      <c r="R184" s="77"/>
      <c r="S184" s="80"/>
      <c r="T184" s="80"/>
    </row>
    <row r="185" spans="1:20">
      <c r="A185" t="s">
        <v>1283</v>
      </c>
      <c r="B185" t="s">
        <v>1737</v>
      </c>
      <c r="C185">
        <v>1490</v>
      </c>
      <c r="E185" s="69">
        <f t="shared" si="14"/>
        <v>0.67114093959731536</v>
      </c>
      <c r="F185" s="70">
        <f t="shared" si="10"/>
        <v>2.0656083032705579E-6</v>
      </c>
      <c r="G185" s="70">
        <f t="shared" si="11"/>
        <v>1.9672460031148169E-7</v>
      </c>
      <c r="M185" s="70">
        <f t="shared" si="12"/>
        <v>2.7482426663513998E-14</v>
      </c>
      <c r="N185" s="206">
        <f t="shared" si="13"/>
        <v>0.11072116906602913</v>
      </c>
      <c r="O185" s="136"/>
      <c r="P185" s="80"/>
      <c r="Q185" s="77"/>
      <c r="R185" s="77"/>
      <c r="S185" s="80"/>
      <c r="T185" s="80"/>
    </row>
    <row r="186" spans="1:20">
      <c r="A186" t="s">
        <v>1068</v>
      </c>
      <c r="B186" t="s">
        <v>1738</v>
      </c>
      <c r="C186">
        <v>1</v>
      </c>
      <c r="E186" s="69">
        <f t="shared" si="14"/>
        <v>1000</v>
      </c>
      <c r="F186" s="70">
        <f t="shared" si="10"/>
        <v>3.0777563718731317E-3</v>
      </c>
      <c r="G186" s="70">
        <f t="shared" si="11"/>
        <v>2.9311965446410774E-4</v>
      </c>
      <c r="M186" s="70">
        <f t="shared" si="12"/>
        <v>4.0948815728635858E-11</v>
      </c>
      <c r="N186" s="206">
        <f t="shared" si="13"/>
        <v>164.97454190838343</v>
      </c>
      <c r="O186" s="136"/>
      <c r="P186" s="80"/>
      <c r="Q186" s="77"/>
      <c r="R186" s="77"/>
      <c r="S186" s="80"/>
      <c r="T186" s="80"/>
    </row>
    <row r="187" spans="1:20">
      <c r="A187" t="s">
        <v>1117</v>
      </c>
      <c r="B187" t="s">
        <v>1739</v>
      </c>
      <c r="C187">
        <v>18</v>
      </c>
      <c r="E187" s="69">
        <f t="shared" si="14"/>
        <v>55.55555555555555</v>
      </c>
      <c r="F187" s="70">
        <f t="shared" si="10"/>
        <v>1.7098646510406285E-4</v>
      </c>
      <c r="G187" s="70">
        <f t="shared" si="11"/>
        <v>1.6284425248005986E-5</v>
      </c>
      <c r="M187" s="70">
        <f t="shared" si="12"/>
        <v>2.2749342071464365E-12</v>
      </c>
      <c r="N187" s="206">
        <f t="shared" si="13"/>
        <v>9.1652523282435236</v>
      </c>
      <c r="O187" s="136"/>
      <c r="P187" s="80"/>
      <c r="Q187" s="77"/>
      <c r="R187" s="77"/>
      <c r="S187" s="80"/>
      <c r="T187" s="80"/>
    </row>
    <row r="188" spans="1:20">
      <c r="A188" t="s">
        <v>1284</v>
      </c>
      <c r="B188" t="s">
        <v>1740</v>
      </c>
      <c r="C188">
        <v>210</v>
      </c>
      <c r="E188" s="69">
        <f t="shared" si="14"/>
        <v>4.7619047619047628</v>
      </c>
      <c r="F188" s="70">
        <f t="shared" si="10"/>
        <v>1.4655982723205391E-5</v>
      </c>
      <c r="G188" s="70">
        <f t="shared" si="11"/>
        <v>1.3958078784005134E-6</v>
      </c>
      <c r="M188" s="70">
        <f t="shared" si="12"/>
        <v>1.9499436061255174E-13</v>
      </c>
      <c r="N188" s="206">
        <f t="shared" si="13"/>
        <v>0.78559305670658786</v>
      </c>
      <c r="O188" s="136"/>
      <c r="P188" s="80"/>
      <c r="Q188" s="77"/>
      <c r="R188" s="77"/>
      <c r="S188" s="80"/>
      <c r="T188" s="80"/>
    </row>
    <row r="189" spans="1:20">
      <c r="A189" t="s">
        <v>1285</v>
      </c>
      <c r="B189" t="s">
        <v>1741</v>
      </c>
      <c r="C189">
        <v>670</v>
      </c>
      <c r="E189" s="69">
        <f t="shared" si="14"/>
        <v>1.4925373134328359</v>
      </c>
      <c r="F189" s="70">
        <f t="shared" si="10"/>
        <v>4.5936662266763158E-6</v>
      </c>
      <c r="G189" s="70">
        <f t="shared" si="11"/>
        <v>4.3749202158822061E-7</v>
      </c>
      <c r="M189" s="70">
        <f t="shared" si="12"/>
        <v>6.1117635415874417E-14</v>
      </c>
      <c r="N189" s="206">
        <f t="shared" si="13"/>
        <v>0.24623065956475138</v>
      </c>
      <c r="O189" s="136"/>
      <c r="P189" s="80"/>
      <c r="Q189" s="77"/>
      <c r="R189" s="77"/>
      <c r="S189" s="80"/>
      <c r="T189" s="80"/>
    </row>
    <row r="190" spans="1:20">
      <c r="A190" t="s">
        <v>1286</v>
      </c>
      <c r="B190" t="s">
        <v>1742</v>
      </c>
      <c r="C190">
        <v>227</v>
      </c>
      <c r="E190" s="69">
        <f t="shared" si="14"/>
        <v>4.4052863436123353</v>
      </c>
      <c r="F190" s="70">
        <f t="shared" si="10"/>
        <v>1.3558398113978556E-5</v>
      </c>
      <c r="G190" s="70">
        <f t="shared" si="11"/>
        <v>1.2912760108551006E-6</v>
      </c>
      <c r="M190" s="70">
        <f t="shared" si="12"/>
        <v>1.8039125871645755E-13</v>
      </c>
      <c r="N190" s="206">
        <f t="shared" si="13"/>
        <v>0.72676009651270246</v>
      </c>
      <c r="O190" s="136"/>
      <c r="P190" s="80"/>
      <c r="Q190" s="77"/>
      <c r="R190" s="77"/>
      <c r="S190" s="80"/>
      <c r="T190" s="80"/>
    </row>
    <row r="191" spans="1:20">
      <c r="A191" t="s">
        <v>1287</v>
      </c>
      <c r="B191" t="s">
        <v>1743</v>
      </c>
      <c r="C191">
        <v>1183</v>
      </c>
      <c r="E191" s="69">
        <f t="shared" si="14"/>
        <v>0.84530853761622993</v>
      </c>
      <c r="F191" s="70">
        <f t="shared" si="10"/>
        <v>2.6016537378471107E-6</v>
      </c>
      <c r="G191" s="70">
        <f t="shared" si="11"/>
        <v>2.477765464616296E-7</v>
      </c>
      <c r="M191" s="70">
        <f t="shared" si="12"/>
        <v>3.4614383540689654E-14</v>
      </c>
      <c r="N191" s="206">
        <f t="shared" si="13"/>
        <v>0.13945438876448302</v>
      </c>
      <c r="O191" s="136"/>
      <c r="P191" s="80"/>
      <c r="Q191" s="77"/>
      <c r="R191" s="77"/>
      <c r="S191" s="80"/>
      <c r="T191" s="80"/>
    </row>
    <row r="192" spans="1:20">
      <c r="A192" t="s">
        <v>1288</v>
      </c>
      <c r="B192" t="s">
        <v>1744</v>
      </c>
      <c r="C192">
        <v>285</v>
      </c>
      <c r="E192" s="69">
        <f t="shared" si="14"/>
        <v>3.5087719298245617</v>
      </c>
      <c r="F192" s="70">
        <f t="shared" si="10"/>
        <v>1.079914516446713E-5</v>
      </c>
      <c r="G192" s="70">
        <f t="shared" si="11"/>
        <v>1.028490015663536E-6</v>
      </c>
      <c r="M192" s="70">
        <f t="shared" si="12"/>
        <v>1.4368005518819601E-13</v>
      </c>
      <c r="N192" s="206">
        <f t="shared" si="13"/>
        <v>0.57885804178380162</v>
      </c>
      <c r="O192" s="136"/>
      <c r="P192" s="80"/>
      <c r="Q192" s="77"/>
      <c r="R192" s="77"/>
      <c r="S192" s="80"/>
      <c r="T192" s="80"/>
    </row>
    <row r="193" spans="1:20">
      <c r="A193" t="s">
        <v>1289</v>
      </c>
      <c r="B193" t="s">
        <v>1745</v>
      </c>
      <c r="C193">
        <v>660</v>
      </c>
      <c r="E193" s="69">
        <f t="shared" si="14"/>
        <v>1.5151515151515151</v>
      </c>
      <c r="F193" s="70">
        <f t="shared" si="10"/>
        <v>4.6632672301108053E-6</v>
      </c>
      <c r="G193" s="70">
        <f t="shared" si="11"/>
        <v>4.4412068858198151E-7</v>
      </c>
      <c r="M193" s="70">
        <f t="shared" si="12"/>
        <v>6.204366019490282E-14</v>
      </c>
      <c r="N193" s="206">
        <f t="shared" si="13"/>
        <v>0.24996142713391428</v>
      </c>
      <c r="O193" s="136"/>
      <c r="P193" s="80"/>
      <c r="Q193" s="77"/>
      <c r="R193" s="77"/>
      <c r="S193" s="80"/>
      <c r="T193" s="80"/>
    </row>
    <row r="194" spans="1:20">
      <c r="A194" t="s">
        <v>1290</v>
      </c>
      <c r="B194" t="s">
        <v>1746</v>
      </c>
      <c r="C194">
        <v>678</v>
      </c>
      <c r="E194" s="69">
        <f t="shared" si="14"/>
        <v>1.4749262536873156</v>
      </c>
      <c r="F194" s="70">
        <f t="shared" ref="F194:F257" si="15">18000/2360000000*35*E194/averagepesticidepotency</f>
        <v>4.5394636753291027E-6</v>
      </c>
      <c r="G194" s="70">
        <f t="shared" ref="G194:G257" si="16">3000000*0.02/2360000000*E194/averagepesticidepotency</f>
        <v>4.3232987384086694E-7</v>
      </c>
      <c r="M194" s="70">
        <f t="shared" ref="M194:M257" si="17">0.008382/2360000000*E194/averagepesticidepotency</f>
        <v>6.0396483375569112E-14</v>
      </c>
      <c r="N194" s="206">
        <f t="shared" ref="N194:N257" si="18">F194*YOLLvalue+G194*poisoningvalue+H194*As_orevalue+I194*Cu_orevalue+J194*Hg_orevalue+K194*Pb_orevalue+L194*Zn_orevalue+M194*speciesvalue</f>
        <v>0.24332528305071302</v>
      </c>
      <c r="O194" s="136"/>
      <c r="P194" s="80"/>
      <c r="Q194" s="77"/>
      <c r="R194" s="77"/>
      <c r="S194" s="80"/>
      <c r="T194" s="80"/>
    </row>
    <row r="195" spans="1:20">
      <c r="A195" t="s">
        <v>1118</v>
      </c>
      <c r="B195" t="s">
        <v>1747</v>
      </c>
      <c r="C195">
        <v>30</v>
      </c>
      <c r="E195" s="69">
        <f t="shared" ref="E195:E258" si="19">1/C195*1000</f>
        <v>33.333333333333336</v>
      </c>
      <c r="F195" s="70">
        <f t="shared" si="15"/>
        <v>1.0259187906243773E-4</v>
      </c>
      <c r="G195" s="70">
        <f t="shared" si="16"/>
        <v>9.7706551488035935E-6</v>
      </c>
      <c r="M195" s="70">
        <f t="shared" si="17"/>
        <v>1.3649605242878619E-12</v>
      </c>
      <c r="N195" s="206">
        <f t="shared" si="18"/>
        <v>5.4991513969461145</v>
      </c>
      <c r="O195" s="136"/>
      <c r="P195" s="80"/>
      <c r="Q195" s="77"/>
      <c r="R195" s="77"/>
      <c r="S195" s="80"/>
      <c r="T195" s="80"/>
    </row>
    <row r="196" spans="1:20">
      <c r="A196" t="s">
        <v>1291</v>
      </c>
      <c r="B196" t="s">
        <v>1748</v>
      </c>
      <c r="C196">
        <v>112</v>
      </c>
      <c r="E196" s="69">
        <f t="shared" si="19"/>
        <v>8.9285714285714288</v>
      </c>
      <c r="F196" s="70">
        <f t="shared" si="15"/>
        <v>2.7479967606010106E-5</v>
      </c>
      <c r="G196" s="70">
        <f t="shared" si="16"/>
        <v>2.6171397720009624E-6</v>
      </c>
      <c r="M196" s="70">
        <f t="shared" si="17"/>
        <v>3.656144261485345E-13</v>
      </c>
      <c r="N196" s="206">
        <f t="shared" si="18"/>
        <v>1.4729869813248522</v>
      </c>
      <c r="O196" s="136"/>
      <c r="P196" s="80"/>
      <c r="Q196" s="77"/>
      <c r="R196" s="77"/>
      <c r="S196" s="80"/>
      <c r="T196" s="80"/>
    </row>
    <row r="197" spans="1:20">
      <c r="A197" t="s">
        <v>1119</v>
      </c>
      <c r="B197" t="s">
        <v>1749</v>
      </c>
      <c r="C197">
        <v>25</v>
      </c>
      <c r="E197" s="69">
        <f t="shared" si="19"/>
        <v>40</v>
      </c>
      <c r="F197" s="70">
        <f t="shared" si="15"/>
        <v>1.2311025487492526E-4</v>
      </c>
      <c r="G197" s="70">
        <f t="shared" si="16"/>
        <v>1.1724786178564312E-5</v>
      </c>
      <c r="M197" s="70">
        <f t="shared" si="17"/>
        <v>1.6379526291454344E-12</v>
      </c>
      <c r="N197" s="206">
        <f t="shared" si="18"/>
        <v>6.5989816763353364</v>
      </c>
      <c r="O197" s="136"/>
      <c r="P197" s="80"/>
      <c r="Q197" s="77"/>
      <c r="R197" s="77"/>
      <c r="S197" s="80"/>
      <c r="T197" s="80"/>
    </row>
    <row r="198" spans="1:20">
      <c r="A198" t="s">
        <v>1120</v>
      </c>
      <c r="B198" t="s">
        <v>1750</v>
      </c>
      <c r="C198">
        <v>20</v>
      </c>
      <c r="E198" s="69">
        <f t="shared" si="19"/>
        <v>50</v>
      </c>
      <c r="F198" s="70">
        <f t="shared" si="15"/>
        <v>1.5388781859365658E-4</v>
      </c>
      <c r="G198" s="70">
        <f t="shared" si="16"/>
        <v>1.4655982723205388E-5</v>
      </c>
      <c r="M198" s="70">
        <f t="shared" si="17"/>
        <v>2.0474407864317928E-12</v>
      </c>
      <c r="N198" s="206">
        <f t="shared" si="18"/>
        <v>8.2487270954191718</v>
      </c>
      <c r="O198" s="136"/>
      <c r="P198" s="80"/>
      <c r="Q198" s="77"/>
      <c r="R198" s="77"/>
      <c r="S198" s="80"/>
      <c r="T198" s="80"/>
    </row>
    <row r="199" spans="1:20">
      <c r="A199" t="s">
        <v>1121</v>
      </c>
      <c r="B199" t="s">
        <v>1751</v>
      </c>
      <c r="C199">
        <v>17</v>
      </c>
      <c r="E199" s="69">
        <f t="shared" si="19"/>
        <v>58.823529411764703</v>
      </c>
      <c r="F199" s="70">
        <f t="shared" si="15"/>
        <v>1.8104449246312537E-4</v>
      </c>
      <c r="G199" s="70">
        <f t="shared" si="16"/>
        <v>1.724233261553575E-5</v>
      </c>
      <c r="M199" s="70">
        <f t="shared" si="17"/>
        <v>2.4087538663903447E-12</v>
      </c>
      <c r="N199" s="206">
        <f t="shared" si="18"/>
        <v>9.7043848181402019</v>
      </c>
      <c r="O199" s="136"/>
      <c r="P199" s="80"/>
      <c r="Q199" s="77"/>
      <c r="R199" s="77"/>
      <c r="S199" s="80"/>
      <c r="T199" s="80"/>
    </row>
    <row r="200" spans="1:20">
      <c r="A200" t="s">
        <v>1293</v>
      </c>
      <c r="B200" t="s">
        <v>1752</v>
      </c>
      <c r="C200">
        <v>72</v>
      </c>
      <c r="E200" s="69">
        <f t="shared" si="19"/>
        <v>13.888888888888888</v>
      </c>
      <c r="F200" s="70">
        <f t="shared" si="15"/>
        <v>4.2746616276015713E-5</v>
      </c>
      <c r="G200" s="70">
        <f t="shared" si="16"/>
        <v>4.0711063120014966E-6</v>
      </c>
      <c r="M200" s="70">
        <f t="shared" si="17"/>
        <v>5.6873355178660912E-13</v>
      </c>
      <c r="N200" s="206">
        <f t="shared" si="18"/>
        <v>2.2913130820608809</v>
      </c>
      <c r="O200" s="136"/>
      <c r="P200" s="80"/>
      <c r="Q200" s="77"/>
      <c r="R200" s="77"/>
      <c r="S200" s="80"/>
      <c r="T200" s="80"/>
    </row>
    <row r="201" spans="1:20">
      <c r="A201" t="s">
        <v>1292</v>
      </c>
      <c r="B201" t="s">
        <v>1753</v>
      </c>
      <c r="C201">
        <v>1800</v>
      </c>
      <c r="E201" s="69">
        <f t="shared" si="19"/>
        <v>0.55555555555555558</v>
      </c>
      <c r="F201" s="70">
        <f t="shared" si="15"/>
        <v>1.7098646510406287E-6</v>
      </c>
      <c r="G201" s="70">
        <f t="shared" si="16"/>
        <v>1.6284425248005988E-7</v>
      </c>
      <c r="M201" s="70">
        <f t="shared" si="17"/>
        <v>2.2749342071464367E-14</v>
      </c>
      <c r="N201" s="206">
        <f t="shared" si="18"/>
        <v>9.1652523282435241E-2</v>
      </c>
      <c r="O201" s="136"/>
      <c r="P201" s="80"/>
      <c r="Q201" s="77"/>
      <c r="R201" s="77"/>
      <c r="S201" s="80"/>
      <c r="T201" s="80"/>
    </row>
    <row r="202" spans="1:20">
      <c r="A202" t="s">
        <v>1294</v>
      </c>
      <c r="B202" t="s">
        <v>1754</v>
      </c>
      <c r="C202">
        <v>268</v>
      </c>
      <c r="E202" s="69">
        <f t="shared" si="19"/>
        <v>3.7313432835820897</v>
      </c>
      <c r="F202" s="70">
        <f t="shared" si="15"/>
        <v>1.148416556669079E-5</v>
      </c>
      <c r="G202" s="70">
        <f t="shared" si="16"/>
        <v>1.0937300539705514E-6</v>
      </c>
      <c r="M202" s="70">
        <f t="shared" si="17"/>
        <v>1.5279408853968604E-13</v>
      </c>
      <c r="N202" s="206">
        <f t="shared" si="18"/>
        <v>0.61557664891187835</v>
      </c>
      <c r="O202" s="136"/>
      <c r="P202" s="80"/>
      <c r="Q202" s="77"/>
      <c r="R202" s="77"/>
      <c r="S202" s="80"/>
      <c r="T202" s="80"/>
    </row>
    <row r="203" spans="1:20">
      <c r="A203" t="s">
        <v>1295</v>
      </c>
      <c r="B203" t="s">
        <v>1755</v>
      </c>
      <c r="C203">
        <v>322</v>
      </c>
      <c r="E203" s="69">
        <f t="shared" si="19"/>
        <v>3.1055900621118009</v>
      </c>
      <c r="F203" s="70">
        <f t="shared" si="15"/>
        <v>9.5582496020904703E-6</v>
      </c>
      <c r="G203" s="70">
        <f t="shared" si="16"/>
        <v>9.1030948591337806E-7</v>
      </c>
      <c r="M203" s="70">
        <f t="shared" si="17"/>
        <v>1.2717023518209893E-13</v>
      </c>
      <c r="N203" s="206">
        <f t="shared" si="18"/>
        <v>0.51234329785212251</v>
      </c>
      <c r="O203" s="136"/>
      <c r="P203" s="80"/>
      <c r="Q203" s="77"/>
      <c r="R203" s="77"/>
      <c r="S203" s="80"/>
      <c r="T203" s="80"/>
    </row>
    <row r="204" spans="1:20">
      <c r="A204" t="s">
        <v>1069</v>
      </c>
      <c r="B204" t="s">
        <v>1756</v>
      </c>
      <c r="C204">
        <v>3.7</v>
      </c>
      <c r="E204" s="69">
        <f t="shared" si="19"/>
        <v>270.2702702702702</v>
      </c>
      <c r="F204" s="70">
        <f t="shared" si="15"/>
        <v>8.3182604645219748E-4</v>
      </c>
      <c r="G204" s="70">
        <f t="shared" si="16"/>
        <v>7.922152823354262E-5</v>
      </c>
      <c r="M204" s="70">
        <f t="shared" si="17"/>
        <v>1.1067247494225904E-11</v>
      </c>
      <c r="N204" s="206">
        <f t="shared" si="18"/>
        <v>44.587714029292805</v>
      </c>
      <c r="O204" s="136"/>
      <c r="P204" s="80"/>
      <c r="Q204" s="77"/>
      <c r="R204" s="77"/>
      <c r="S204" s="80"/>
      <c r="T204" s="80"/>
    </row>
    <row r="205" spans="1:20">
      <c r="A205" t="s">
        <v>1296</v>
      </c>
      <c r="B205" t="s">
        <v>1757</v>
      </c>
      <c r="C205">
        <v>720</v>
      </c>
      <c r="E205" s="69">
        <f t="shared" si="19"/>
        <v>1.3888888888888888</v>
      </c>
      <c r="F205" s="70">
        <f t="shared" si="15"/>
        <v>4.2746616276015719E-6</v>
      </c>
      <c r="G205" s="70">
        <f t="shared" si="16"/>
        <v>4.0711063120014971E-7</v>
      </c>
      <c r="M205" s="70">
        <f t="shared" si="17"/>
        <v>5.6873355178660912E-14</v>
      </c>
      <c r="N205" s="206">
        <f t="shared" si="18"/>
        <v>0.2291313082060881</v>
      </c>
      <c r="O205" s="136"/>
      <c r="P205" s="80"/>
      <c r="Q205" s="77"/>
      <c r="R205" s="77"/>
      <c r="S205" s="80"/>
      <c r="T205" s="80"/>
    </row>
    <row r="206" spans="1:20">
      <c r="A206" t="s">
        <v>1122</v>
      </c>
      <c r="B206" t="s">
        <v>1758</v>
      </c>
      <c r="C206">
        <v>14</v>
      </c>
      <c r="E206" s="69">
        <f t="shared" si="19"/>
        <v>71.428571428571431</v>
      </c>
      <c r="F206" s="70">
        <f t="shared" si="15"/>
        <v>2.1983974084808085E-4</v>
      </c>
      <c r="G206" s="70">
        <f t="shared" si="16"/>
        <v>2.0937118176007699E-5</v>
      </c>
      <c r="M206" s="70">
        <f t="shared" si="17"/>
        <v>2.924915409188276E-12</v>
      </c>
      <c r="N206" s="206">
        <f t="shared" si="18"/>
        <v>11.783895850598817</v>
      </c>
      <c r="O206" s="136"/>
      <c r="P206" s="80"/>
      <c r="Q206" s="77"/>
      <c r="R206" s="77"/>
      <c r="S206" s="80"/>
      <c r="T206" s="80"/>
    </row>
    <row r="207" spans="1:20">
      <c r="A207" t="s">
        <v>1297</v>
      </c>
      <c r="B207" t="s">
        <v>1759</v>
      </c>
      <c r="C207">
        <v>1600</v>
      </c>
      <c r="E207" s="69">
        <f t="shared" si="19"/>
        <v>0.625</v>
      </c>
      <c r="F207" s="70">
        <f t="shared" si="15"/>
        <v>1.9235977324207072E-6</v>
      </c>
      <c r="G207" s="70">
        <f t="shared" si="16"/>
        <v>1.8319978404006737E-7</v>
      </c>
      <c r="M207" s="70">
        <f t="shared" si="17"/>
        <v>2.5593009830397413E-14</v>
      </c>
      <c r="N207" s="206">
        <f t="shared" si="18"/>
        <v>0.10310908869273963</v>
      </c>
      <c r="O207" s="136"/>
      <c r="P207" s="80"/>
      <c r="Q207" s="77"/>
      <c r="R207" s="77"/>
      <c r="S207" s="80"/>
      <c r="T207" s="80"/>
    </row>
    <row r="208" spans="1:20">
      <c r="A208" t="s">
        <v>1298</v>
      </c>
      <c r="B208" t="s">
        <v>1760</v>
      </c>
      <c r="C208">
        <v>395</v>
      </c>
      <c r="E208" s="69">
        <f t="shared" si="19"/>
        <v>2.5316455696202533</v>
      </c>
      <c r="F208" s="70">
        <f t="shared" si="15"/>
        <v>7.7917882832231191E-6</v>
      </c>
      <c r="G208" s="70">
        <f t="shared" si="16"/>
        <v>7.4207507459267802E-7</v>
      </c>
      <c r="M208" s="70">
        <f t="shared" si="17"/>
        <v>1.0366788792059711E-13</v>
      </c>
      <c r="N208" s="206">
        <f t="shared" si="18"/>
        <v>0.41765706812248971</v>
      </c>
      <c r="O208" s="136"/>
      <c r="P208" s="80"/>
      <c r="Q208" s="77"/>
      <c r="R208" s="77"/>
      <c r="S208" s="80"/>
      <c r="T208" s="80"/>
    </row>
    <row r="209" spans="1:20">
      <c r="A209" t="s">
        <v>1299</v>
      </c>
      <c r="B209" t="s">
        <v>1761</v>
      </c>
      <c r="C209">
        <v>430</v>
      </c>
      <c r="E209" s="69">
        <f t="shared" si="19"/>
        <v>2.3255813953488373</v>
      </c>
      <c r="F209" s="70">
        <f t="shared" si="15"/>
        <v>7.1575729578444926E-6</v>
      </c>
      <c r="G209" s="70">
        <f t="shared" si="16"/>
        <v>6.8167361503280884E-7</v>
      </c>
      <c r="M209" s="70">
        <f t="shared" si="17"/>
        <v>9.5229804020083388E-14</v>
      </c>
      <c r="N209" s="206">
        <f t="shared" si="18"/>
        <v>0.38366172536833354</v>
      </c>
      <c r="O209" s="136"/>
      <c r="P209" s="80"/>
      <c r="Q209" s="77"/>
      <c r="R209" s="77"/>
      <c r="S209" s="80"/>
      <c r="T209" s="80"/>
    </row>
    <row r="210" spans="1:20">
      <c r="A210" t="s">
        <v>1123</v>
      </c>
      <c r="B210" t="s">
        <v>1762</v>
      </c>
      <c r="C210">
        <v>50</v>
      </c>
      <c r="E210" s="69">
        <f t="shared" si="19"/>
        <v>20</v>
      </c>
      <c r="F210" s="70">
        <f t="shared" si="15"/>
        <v>6.1555127437462631E-5</v>
      </c>
      <c r="G210" s="70">
        <f t="shared" si="16"/>
        <v>5.8623930892821558E-6</v>
      </c>
      <c r="M210" s="70">
        <f t="shared" si="17"/>
        <v>8.1897631457271721E-13</v>
      </c>
      <c r="N210" s="206">
        <f t="shared" si="18"/>
        <v>3.2994908381676682</v>
      </c>
      <c r="O210" s="136"/>
      <c r="P210" s="80"/>
      <c r="Q210" s="77"/>
      <c r="R210" s="77"/>
      <c r="S210" s="80"/>
      <c r="T210" s="80"/>
    </row>
    <row r="211" spans="1:20">
      <c r="A211" t="s">
        <v>1301</v>
      </c>
      <c r="B211" t="s">
        <v>1763</v>
      </c>
      <c r="C211">
        <v>1072</v>
      </c>
      <c r="E211" s="69">
        <f t="shared" si="19"/>
        <v>0.93283582089552242</v>
      </c>
      <c r="F211" s="70">
        <f t="shared" si="15"/>
        <v>2.8710413916726975E-6</v>
      </c>
      <c r="G211" s="70">
        <f t="shared" si="16"/>
        <v>2.7343251349263785E-7</v>
      </c>
      <c r="M211" s="70">
        <f t="shared" si="17"/>
        <v>3.8198522134921511E-14</v>
      </c>
      <c r="N211" s="206">
        <f t="shared" si="18"/>
        <v>0.15389416222796959</v>
      </c>
      <c r="O211" s="136"/>
      <c r="P211" s="80"/>
      <c r="Q211" s="77"/>
      <c r="R211" s="77"/>
      <c r="S211" s="80"/>
      <c r="T211" s="80"/>
    </row>
    <row r="212" spans="1:20">
      <c r="A212" t="s">
        <v>1302</v>
      </c>
      <c r="B212" t="s">
        <v>1764</v>
      </c>
      <c r="C212">
        <v>1250</v>
      </c>
      <c r="E212" s="69">
        <f t="shared" si="19"/>
        <v>0.8</v>
      </c>
      <c r="F212" s="70">
        <f t="shared" si="15"/>
        <v>2.4622050974985056E-6</v>
      </c>
      <c r="G212" s="70">
        <f t="shared" si="16"/>
        <v>2.3449572357128623E-7</v>
      </c>
      <c r="M212" s="70">
        <f t="shared" si="17"/>
        <v>3.2759052582908689E-14</v>
      </c>
      <c r="N212" s="206">
        <f t="shared" si="18"/>
        <v>0.13197963352670675</v>
      </c>
      <c r="O212" s="136"/>
      <c r="P212" s="80"/>
      <c r="Q212" s="77"/>
      <c r="R212" s="77"/>
      <c r="S212" s="80"/>
      <c r="T212" s="80"/>
    </row>
    <row r="213" spans="1:20">
      <c r="A213" t="s">
        <v>1303</v>
      </c>
      <c r="B213" t="s">
        <v>1765</v>
      </c>
      <c r="C213">
        <v>1470</v>
      </c>
      <c r="E213" s="69">
        <f t="shared" si="19"/>
        <v>0.68027210884353739</v>
      </c>
      <c r="F213" s="70">
        <f t="shared" si="15"/>
        <v>2.0937118176007699E-6</v>
      </c>
      <c r="G213" s="70">
        <f t="shared" si="16"/>
        <v>1.9940112548578759E-7</v>
      </c>
      <c r="M213" s="70">
        <f t="shared" si="17"/>
        <v>2.7856337230364529E-14</v>
      </c>
      <c r="N213" s="206">
        <f t="shared" si="18"/>
        <v>0.11222757952951254</v>
      </c>
      <c r="O213" s="136"/>
      <c r="P213" s="80"/>
      <c r="Q213" s="77"/>
      <c r="R213" s="77"/>
      <c r="S213" s="80"/>
      <c r="T213" s="80"/>
    </row>
    <row r="214" spans="1:20">
      <c r="A214" t="s">
        <v>1124</v>
      </c>
      <c r="B214" t="s">
        <v>1766</v>
      </c>
      <c r="C214">
        <v>50</v>
      </c>
      <c r="E214" s="69">
        <f t="shared" si="19"/>
        <v>20</v>
      </c>
      <c r="F214" s="70">
        <f t="shared" si="15"/>
        <v>6.1555127437462631E-5</v>
      </c>
      <c r="G214" s="70">
        <f t="shared" si="16"/>
        <v>5.8623930892821558E-6</v>
      </c>
      <c r="M214" s="70">
        <f t="shared" si="17"/>
        <v>8.1897631457271721E-13</v>
      </c>
      <c r="N214" s="206">
        <f t="shared" si="18"/>
        <v>3.2994908381676682</v>
      </c>
      <c r="O214" s="136"/>
      <c r="P214" s="80"/>
      <c r="Q214" s="77"/>
      <c r="R214" s="77"/>
      <c r="S214" s="80"/>
      <c r="T214" s="80"/>
    </row>
    <row r="215" spans="1:20">
      <c r="A215" t="s">
        <v>1304</v>
      </c>
      <c r="B215" t="s">
        <v>1767</v>
      </c>
      <c r="C215">
        <v>1860</v>
      </c>
      <c r="E215" s="69">
        <f t="shared" si="19"/>
        <v>0.5376344086021505</v>
      </c>
      <c r="F215" s="70">
        <f t="shared" si="15"/>
        <v>1.6547077268135117E-6</v>
      </c>
      <c r="G215" s="70">
        <f t="shared" si="16"/>
        <v>1.5759121207747728E-7</v>
      </c>
      <c r="M215" s="70">
        <f t="shared" si="17"/>
        <v>2.2015492327223578E-14</v>
      </c>
      <c r="N215" s="206">
        <f t="shared" si="18"/>
        <v>8.8695990273324421E-2</v>
      </c>
      <c r="O215" s="136"/>
      <c r="P215" s="80"/>
      <c r="Q215" s="77"/>
      <c r="R215" s="77"/>
      <c r="S215" s="80"/>
      <c r="T215" s="80"/>
    </row>
    <row r="216" spans="1:20">
      <c r="A216" t="s">
        <v>1125</v>
      </c>
      <c r="B216" t="s">
        <v>1768</v>
      </c>
      <c r="C216">
        <v>6</v>
      </c>
      <c r="E216" s="69">
        <f t="shared" si="19"/>
        <v>166.66666666666666</v>
      </c>
      <c r="F216" s="70">
        <f t="shared" si="15"/>
        <v>5.1295939531218859E-4</v>
      </c>
      <c r="G216" s="70">
        <f t="shared" si="16"/>
        <v>4.8853275744017966E-5</v>
      </c>
      <c r="M216" s="70">
        <f t="shared" si="17"/>
        <v>6.8248026214393094E-12</v>
      </c>
      <c r="N216" s="206">
        <f t="shared" si="18"/>
        <v>27.495756984730566</v>
      </c>
      <c r="O216" s="136"/>
      <c r="P216" s="80"/>
      <c r="Q216" s="77"/>
      <c r="R216" s="77"/>
      <c r="S216" s="80"/>
      <c r="T216" s="80"/>
    </row>
    <row r="217" spans="1:20">
      <c r="A217" t="s">
        <v>1126</v>
      </c>
      <c r="B217" t="s">
        <v>1769</v>
      </c>
      <c r="C217">
        <v>65</v>
      </c>
      <c r="E217" s="69">
        <f t="shared" si="19"/>
        <v>15.384615384615385</v>
      </c>
      <c r="F217" s="70">
        <f t="shared" si="15"/>
        <v>4.735009802881741E-5</v>
      </c>
      <c r="G217" s="70">
        <f t="shared" si="16"/>
        <v>4.5095331456016577E-6</v>
      </c>
      <c r="M217" s="70">
        <f t="shared" si="17"/>
        <v>6.2998178044055169E-13</v>
      </c>
      <c r="N217" s="206">
        <f t="shared" si="18"/>
        <v>2.5380698755135915</v>
      </c>
      <c r="O217" s="136"/>
      <c r="P217" s="80"/>
      <c r="Q217" s="77"/>
      <c r="R217" s="77"/>
      <c r="S217" s="80"/>
      <c r="T217" s="80"/>
    </row>
    <row r="218" spans="1:20">
      <c r="A218" t="s">
        <v>1305</v>
      </c>
      <c r="B218" t="s">
        <v>1770</v>
      </c>
      <c r="C218">
        <v>1300</v>
      </c>
      <c r="E218" s="69">
        <f t="shared" si="19"/>
        <v>0.76923076923076927</v>
      </c>
      <c r="F218" s="70">
        <f t="shared" si="15"/>
        <v>2.3675049014408706E-6</v>
      </c>
      <c r="G218" s="70">
        <f t="shared" si="16"/>
        <v>2.2547665728008291E-7</v>
      </c>
      <c r="M218" s="70">
        <f t="shared" si="17"/>
        <v>3.1499089022027588E-14</v>
      </c>
      <c r="N218" s="206">
        <f t="shared" si="18"/>
        <v>0.12690349377567955</v>
      </c>
      <c r="O218" s="136"/>
      <c r="P218" s="80"/>
      <c r="Q218" s="77"/>
      <c r="R218" s="77"/>
      <c r="S218" s="80"/>
      <c r="T218" s="80"/>
    </row>
    <row r="219" spans="1:20">
      <c r="A219" t="s">
        <v>1306</v>
      </c>
      <c r="B219" t="s">
        <v>1771</v>
      </c>
      <c r="C219">
        <v>150</v>
      </c>
      <c r="E219" s="69">
        <f t="shared" si="19"/>
        <v>6.666666666666667</v>
      </c>
      <c r="F219" s="70">
        <f t="shared" si="15"/>
        <v>2.0518375812487547E-5</v>
      </c>
      <c r="G219" s="70">
        <f t="shared" si="16"/>
        <v>1.9541310297607189E-6</v>
      </c>
      <c r="M219" s="70">
        <f t="shared" si="17"/>
        <v>2.7299210485757239E-13</v>
      </c>
      <c r="N219" s="206">
        <f t="shared" si="18"/>
        <v>1.099830279389223</v>
      </c>
      <c r="O219" s="136"/>
      <c r="P219" s="80"/>
      <c r="Q219" s="77"/>
      <c r="R219" s="77"/>
      <c r="S219" s="80"/>
      <c r="T219" s="80"/>
    </row>
    <row r="220" spans="1:20">
      <c r="A220" t="s">
        <v>1070</v>
      </c>
      <c r="B220" t="s">
        <v>1772</v>
      </c>
      <c r="C220">
        <v>13</v>
      </c>
      <c r="D220" t="s">
        <v>1071</v>
      </c>
      <c r="E220" s="69">
        <f t="shared" si="19"/>
        <v>76.923076923076934</v>
      </c>
      <c r="F220" s="70">
        <f t="shared" si="15"/>
        <v>2.3675049014408708E-4</v>
      </c>
      <c r="G220" s="70">
        <f t="shared" si="16"/>
        <v>2.2547665728008293E-5</v>
      </c>
      <c r="M220" s="70">
        <f t="shared" si="17"/>
        <v>3.1499089022027586E-12</v>
      </c>
      <c r="N220" s="206">
        <f t="shared" si="18"/>
        <v>12.690349377567955</v>
      </c>
      <c r="O220" s="136"/>
      <c r="P220" s="80"/>
      <c r="Q220" s="77"/>
      <c r="R220" s="77"/>
      <c r="S220" s="80"/>
      <c r="T220" s="80"/>
    </row>
    <row r="221" spans="1:20">
      <c r="A221" t="s">
        <v>1072</v>
      </c>
      <c r="B221" t="s">
        <v>1773</v>
      </c>
      <c r="C221">
        <v>14</v>
      </c>
      <c r="E221" s="69">
        <f t="shared" si="19"/>
        <v>71.428571428571431</v>
      </c>
      <c r="F221" s="70">
        <f t="shared" si="15"/>
        <v>2.1983974084808085E-4</v>
      </c>
      <c r="G221" s="70">
        <f t="shared" si="16"/>
        <v>2.0937118176007699E-5</v>
      </c>
      <c r="M221" s="70">
        <f t="shared" si="17"/>
        <v>2.924915409188276E-12</v>
      </c>
      <c r="N221" s="206">
        <f t="shared" si="18"/>
        <v>11.783895850598817</v>
      </c>
      <c r="O221" s="136"/>
      <c r="P221" s="80"/>
      <c r="Q221" s="77"/>
      <c r="R221" s="77"/>
      <c r="S221" s="80"/>
      <c r="T221" s="80"/>
    </row>
    <row r="222" spans="1:20">
      <c r="A222" t="s">
        <v>1127</v>
      </c>
      <c r="B222" t="s">
        <v>1774</v>
      </c>
      <c r="C222">
        <v>22</v>
      </c>
      <c r="D222" t="s">
        <v>1128</v>
      </c>
      <c r="E222" s="69">
        <f t="shared" si="19"/>
        <v>45.454545454545453</v>
      </c>
      <c r="F222" s="70">
        <f t="shared" si="15"/>
        <v>1.3989801690332415E-4</v>
      </c>
      <c r="G222" s="70">
        <f t="shared" si="16"/>
        <v>1.3323620657459444E-5</v>
      </c>
      <c r="M222" s="70">
        <f t="shared" si="17"/>
        <v>1.8613098058470846E-12</v>
      </c>
      <c r="N222" s="206">
        <f t="shared" si="18"/>
        <v>7.4988428140174275</v>
      </c>
      <c r="O222" s="136"/>
      <c r="P222" s="80"/>
      <c r="Q222" s="77"/>
      <c r="R222" s="77"/>
      <c r="S222" s="80"/>
      <c r="T222" s="80"/>
    </row>
    <row r="223" spans="1:20">
      <c r="A223" t="s">
        <v>1307</v>
      </c>
      <c r="B223" t="s">
        <v>1775</v>
      </c>
      <c r="C223">
        <v>1120</v>
      </c>
      <c r="E223" s="69">
        <f t="shared" si="19"/>
        <v>0.89285714285714279</v>
      </c>
      <c r="F223" s="70">
        <f t="shared" si="15"/>
        <v>2.7479967606010104E-6</v>
      </c>
      <c r="G223" s="70">
        <f t="shared" si="16"/>
        <v>2.6171397720009624E-7</v>
      </c>
      <c r="M223" s="70">
        <f t="shared" si="17"/>
        <v>3.6561442614853446E-14</v>
      </c>
      <c r="N223" s="206">
        <f t="shared" si="18"/>
        <v>0.1472986981324852</v>
      </c>
      <c r="O223" s="136"/>
      <c r="P223" s="80"/>
      <c r="Q223" s="77"/>
      <c r="R223" s="77"/>
      <c r="S223" s="80"/>
      <c r="T223" s="80"/>
    </row>
    <row r="224" spans="1:20">
      <c r="A224" t="s">
        <v>1308</v>
      </c>
      <c r="B224" t="s">
        <v>1776</v>
      </c>
      <c r="C224">
        <v>1050</v>
      </c>
      <c r="E224" s="69">
        <f t="shared" si="19"/>
        <v>0.95238095238095233</v>
      </c>
      <c r="F224" s="70">
        <f t="shared" si="15"/>
        <v>2.9311965446410779E-6</v>
      </c>
      <c r="G224" s="70">
        <f t="shared" si="16"/>
        <v>2.7916157568010262E-7</v>
      </c>
      <c r="M224" s="70">
        <f t="shared" si="17"/>
        <v>3.8998872122510337E-14</v>
      </c>
      <c r="N224" s="206">
        <f t="shared" si="18"/>
        <v>0.15711861134131758</v>
      </c>
      <c r="O224" s="136"/>
      <c r="P224" s="80"/>
      <c r="Q224" s="77"/>
      <c r="R224" s="77"/>
      <c r="S224" s="80"/>
      <c r="T224" s="80"/>
    </row>
    <row r="225" spans="1:20">
      <c r="A225" s="133" t="s">
        <v>1129</v>
      </c>
      <c r="B225" t="s">
        <v>1777</v>
      </c>
      <c r="C225">
        <v>80</v>
      </c>
      <c r="E225" s="69">
        <f t="shared" si="19"/>
        <v>12.5</v>
      </c>
      <c r="F225" s="70">
        <f t="shared" si="15"/>
        <v>3.8471954648414144E-5</v>
      </c>
      <c r="G225" s="70">
        <f t="shared" si="16"/>
        <v>3.6639956808013469E-6</v>
      </c>
      <c r="M225" s="70">
        <f t="shared" si="17"/>
        <v>5.1186019660794821E-13</v>
      </c>
      <c r="N225" s="206">
        <f t="shared" si="18"/>
        <v>2.062181773854793</v>
      </c>
      <c r="O225" s="136"/>
      <c r="P225" s="80"/>
      <c r="Q225" s="77"/>
      <c r="R225" s="77"/>
      <c r="S225" s="80"/>
      <c r="T225" s="80"/>
    </row>
    <row r="226" spans="1:20">
      <c r="A226" t="s">
        <v>1309</v>
      </c>
      <c r="B226" t="s">
        <v>1778</v>
      </c>
      <c r="C226">
        <v>500</v>
      </c>
      <c r="E226" s="69">
        <f t="shared" si="19"/>
        <v>2</v>
      </c>
      <c r="F226" s="70">
        <f t="shared" si="15"/>
        <v>6.1555127437462631E-6</v>
      </c>
      <c r="G226" s="70">
        <f t="shared" si="16"/>
        <v>5.8623930892821551E-7</v>
      </c>
      <c r="M226" s="70">
        <f t="shared" si="17"/>
        <v>8.1897631457271719E-14</v>
      </c>
      <c r="N226" s="206">
        <f t="shared" si="18"/>
        <v>0.32994908381676685</v>
      </c>
      <c r="O226" s="136"/>
      <c r="P226" s="80"/>
      <c r="Q226" s="77"/>
      <c r="R226" s="77"/>
      <c r="S226" s="80"/>
      <c r="T226" s="80"/>
    </row>
    <row r="227" spans="1:20">
      <c r="A227" t="s">
        <v>1310</v>
      </c>
      <c r="B227" s="78" t="s">
        <v>1561</v>
      </c>
      <c r="C227">
        <v>400</v>
      </c>
      <c r="E227" s="69">
        <f t="shared" si="19"/>
        <v>2.5</v>
      </c>
      <c r="F227" s="70">
        <f t="shared" si="15"/>
        <v>7.6943909296828288E-6</v>
      </c>
      <c r="G227" s="70">
        <f t="shared" si="16"/>
        <v>7.3279913616026947E-7</v>
      </c>
      <c r="M227" s="70">
        <f t="shared" si="17"/>
        <v>1.0237203932158965E-13</v>
      </c>
      <c r="N227" s="206">
        <f t="shared" si="18"/>
        <v>0.41243635477095852</v>
      </c>
      <c r="O227" s="136"/>
      <c r="P227" s="80"/>
      <c r="Q227" s="77"/>
      <c r="R227" s="77"/>
      <c r="S227" s="80"/>
      <c r="T227" s="80"/>
    </row>
    <row r="228" spans="1:20">
      <c r="A228" t="s">
        <v>1073</v>
      </c>
      <c r="B228" t="s">
        <v>1779</v>
      </c>
      <c r="C228">
        <v>24</v>
      </c>
      <c r="E228" s="69">
        <f t="shared" si="19"/>
        <v>41.666666666666664</v>
      </c>
      <c r="F228" s="70">
        <f t="shared" si="15"/>
        <v>1.2823984882804715E-4</v>
      </c>
      <c r="G228" s="70">
        <f t="shared" si="16"/>
        <v>1.2213318936004491E-5</v>
      </c>
      <c r="M228" s="70">
        <f t="shared" si="17"/>
        <v>1.7062006553598274E-12</v>
      </c>
      <c r="N228" s="206">
        <f t="shared" si="18"/>
        <v>6.8739392461826414</v>
      </c>
      <c r="O228" s="136"/>
      <c r="P228" s="80"/>
      <c r="Q228" s="77"/>
      <c r="R228" s="77"/>
      <c r="S228" s="80"/>
      <c r="T228" s="80"/>
    </row>
    <row r="229" spans="1:20">
      <c r="A229" t="s">
        <v>1074</v>
      </c>
      <c r="B229" t="s">
        <v>1780</v>
      </c>
      <c r="C229">
        <v>2</v>
      </c>
      <c r="E229" s="69">
        <f t="shared" si="19"/>
        <v>500</v>
      </c>
      <c r="F229" s="70">
        <f t="shared" si="15"/>
        <v>1.5388781859365659E-3</v>
      </c>
      <c r="G229" s="70">
        <f t="shared" si="16"/>
        <v>1.4655982723205387E-4</v>
      </c>
      <c r="M229" s="70">
        <f t="shared" si="17"/>
        <v>2.0474407864317929E-11</v>
      </c>
      <c r="N229" s="206">
        <f t="shared" si="18"/>
        <v>82.487270954191715</v>
      </c>
      <c r="O229" s="136"/>
      <c r="P229" s="80"/>
      <c r="Q229" s="77"/>
      <c r="R229" s="77"/>
      <c r="S229" s="80"/>
      <c r="T229" s="80"/>
    </row>
    <row r="230" spans="1:20">
      <c r="A230" t="s">
        <v>1311</v>
      </c>
      <c r="B230" t="s">
        <v>1781</v>
      </c>
      <c r="C230">
        <v>120</v>
      </c>
      <c r="E230" s="69">
        <f t="shared" si="19"/>
        <v>8.3333333333333339</v>
      </c>
      <c r="F230" s="70">
        <f t="shared" si="15"/>
        <v>2.5647969765609433E-5</v>
      </c>
      <c r="G230" s="70">
        <f t="shared" si="16"/>
        <v>2.4426637872008984E-6</v>
      </c>
      <c r="M230" s="70">
        <f t="shared" si="17"/>
        <v>3.4124013107196547E-13</v>
      </c>
      <c r="N230" s="206">
        <f t="shared" si="18"/>
        <v>1.3747878492365286</v>
      </c>
      <c r="O230" s="136"/>
      <c r="P230" s="80"/>
      <c r="Q230" s="77"/>
      <c r="R230" s="77"/>
      <c r="S230" s="80"/>
      <c r="T230" s="80"/>
    </row>
    <row r="231" spans="1:20">
      <c r="A231" t="s">
        <v>1312</v>
      </c>
      <c r="B231" t="s">
        <v>1782</v>
      </c>
      <c r="C231">
        <v>113</v>
      </c>
      <c r="E231" s="69">
        <f t="shared" si="19"/>
        <v>8.8495575221238933</v>
      </c>
      <c r="F231" s="70">
        <f t="shared" si="15"/>
        <v>2.7236782051974616E-5</v>
      </c>
      <c r="G231" s="70">
        <f t="shared" si="16"/>
        <v>2.5939792430452013E-6</v>
      </c>
      <c r="M231" s="70">
        <f t="shared" si="17"/>
        <v>3.6237890025341467E-13</v>
      </c>
      <c r="N231" s="206">
        <f t="shared" si="18"/>
        <v>1.4599516983042782</v>
      </c>
      <c r="O231" s="136"/>
      <c r="P231" s="80"/>
      <c r="Q231" s="77"/>
      <c r="R231" s="77"/>
      <c r="S231" s="80"/>
      <c r="T231" s="80"/>
    </row>
    <row r="232" spans="1:20">
      <c r="A232" t="s">
        <v>643</v>
      </c>
      <c r="B232" t="s">
        <v>1783</v>
      </c>
      <c r="C232">
        <v>7</v>
      </c>
      <c r="E232" s="69">
        <f t="shared" si="19"/>
        <v>142.85714285714286</v>
      </c>
      <c r="F232" s="70">
        <f t="shared" si="15"/>
        <v>4.3967948169616169E-4</v>
      </c>
      <c r="G232" s="70">
        <f t="shared" si="16"/>
        <v>4.1874236352015398E-5</v>
      </c>
      <c r="M232" s="70">
        <f t="shared" si="17"/>
        <v>5.849830818376552E-12</v>
      </c>
      <c r="N232" s="206">
        <f t="shared" si="18"/>
        <v>23.567791701197635</v>
      </c>
      <c r="O232" s="136"/>
      <c r="P232" s="80"/>
      <c r="Q232" s="77"/>
      <c r="R232" s="77"/>
      <c r="S232" s="80"/>
      <c r="T232" s="80"/>
    </row>
    <row r="233" spans="1:20">
      <c r="A233" t="s">
        <v>1313</v>
      </c>
      <c r="B233" t="s">
        <v>1784</v>
      </c>
      <c r="C233">
        <v>1975</v>
      </c>
      <c r="E233" s="69">
        <f t="shared" si="19"/>
        <v>0.50632911392405067</v>
      </c>
      <c r="F233" s="70">
        <f t="shared" si="15"/>
        <v>1.5583576566446239E-6</v>
      </c>
      <c r="G233" s="70">
        <f t="shared" si="16"/>
        <v>1.484150149185356E-7</v>
      </c>
      <c r="M233" s="70">
        <f t="shared" si="17"/>
        <v>2.0733577584119422E-14</v>
      </c>
      <c r="N233" s="206">
        <f t="shared" si="18"/>
        <v>8.3531413624497952E-2</v>
      </c>
      <c r="O233" s="136"/>
      <c r="P233" s="80"/>
      <c r="Q233" s="77"/>
      <c r="R233" s="77"/>
      <c r="S233" s="80"/>
      <c r="T233" s="80"/>
    </row>
    <row r="234" spans="1:20">
      <c r="A234" t="s">
        <v>1314</v>
      </c>
      <c r="B234" t="s">
        <v>1785</v>
      </c>
      <c r="C234">
        <v>324</v>
      </c>
      <c r="E234" s="69">
        <f t="shared" si="19"/>
        <v>3.0864197530864197</v>
      </c>
      <c r="F234" s="70">
        <f t="shared" si="15"/>
        <v>9.4992480613368254E-6</v>
      </c>
      <c r="G234" s="70">
        <f t="shared" si="16"/>
        <v>9.0469029155588817E-7</v>
      </c>
      <c r="M234" s="70">
        <f t="shared" si="17"/>
        <v>1.2638523373035759E-13</v>
      </c>
      <c r="N234" s="206">
        <f t="shared" si="18"/>
        <v>0.50918068490241797</v>
      </c>
      <c r="O234" s="136"/>
      <c r="P234" s="80"/>
      <c r="Q234" s="77"/>
      <c r="R234" s="77"/>
      <c r="S234" s="80"/>
      <c r="T234" s="80"/>
    </row>
    <row r="235" spans="1:20">
      <c r="A235" t="s">
        <v>1315</v>
      </c>
      <c r="B235" t="s">
        <v>1786</v>
      </c>
      <c r="C235">
        <v>147</v>
      </c>
      <c r="E235" s="69">
        <f t="shared" si="19"/>
        <v>6.8027210884353737</v>
      </c>
      <c r="F235" s="70">
        <f t="shared" si="15"/>
        <v>2.0937118176007696E-5</v>
      </c>
      <c r="G235" s="70">
        <f t="shared" si="16"/>
        <v>1.9940112548578757E-6</v>
      </c>
      <c r="M235" s="70">
        <f t="shared" si="17"/>
        <v>2.7856337230364526E-13</v>
      </c>
      <c r="N235" s="206">
        <f t="shared" si="18"/>
        <v>1.1222757952951252</v>
      </c>
      <c r="O235" s="136"/>
      <c r="P235" s="80"/>
      <c r="Q235" s="77"/>
      <c r="R235" s="77"/>
      <c r="S235" s="80"/>
      <c r="T235" s="80"/>
    </row>
    <row r="236" spans="1:20">
      <c r="A236" t="s">
        <v>1316</v>
      </c>
      <c r="B236" t="s">
        <v>1787</v>
      </c>
      <c r="C236">
        <v>1667</v>
      </c>
      <c r="E236" s="69">
        <f t="shared" si="19"/>
        <v>0.59988002399520091</v>
      </c>
      <c r="F236" s="70">
        <f t="shared" si="15"/>
        <v>1.8462845662106367E-6</v>
      </c>
      <c r="G236" s="70">
        <f t="shared" si="16"/>
        <v>1.7583662535339398E-7</v>
      </c>
      <c r="M236" s="70">
        <f t="shared" si="17"/>
        <v>2.4564376561869139E-14</v>
      </c>
      <c r="N236" s="206">
        <f t="shared" si="18"/>
        <v>9.8964932158598334E-2</v>
      </c>
      <c r="O236" s="136"/>
      <c r="P236" s="80"/>
      <c r="Q236" s="77"/>
      <c r="R236" s="77"/>
      <c r="S236" s="80"/>
      <c r="T236" s="80"/>
    </row>
    <row r="237" spans="1:20">
      <c r="A237" t="s">
        <v>1317</v>
      </c>
      <c r="B237" t="s">
        <v>1788</v>
      </c>
      <c r="C237">
        <v>460</v>
      </c>
      <c r="E237" s="69">
        <f t="shared" si="19"/>
        <v>2.1739130434782608</v>
      </c>
      <c r="F237" s="70">
        <f t="shared" si="15"/>
        <v>6.6907747214633292E-6</v>
      </c>
      <c r="G237" s="70">
        <f t="shared" si="16"/>
        <v>6.3721664013936469E-7</v>
      </c>
      <c r="M237" s="70">
        <f t="shared" si="17"/>
        <v>8.9019164627469261E-14</v>
      </c>
      <c r="N237" s="206">
        <f t="shared" si="18"/>
        <v>0.3586403084964857</v>
      </c>
      <c r="O237" s="136"/>
      <c r="P237" s="80"/>
      <c r="Q237" s="77"/>
      <c r="R237" s="77"/>
      <c r="S237" s="80"/>
      <c r="T237" s="80"/>
    </row>
    <row r="238" spans="1:20">
      <c r="A238" t="s">
        <v>1318</v>
      </c>
      <c r="B238" t="s">
        <v>1789</v>
      </c>
      <c r="C238">
        <v>1600</v>
      </c>
      <c r="E238" s="69">
        <f t="shared" si="19"/>
        <v>0.625</v>
      </c>
      <c r="F238" s="70">
        <f t="shared" si="15"/>
        <v>1.9235977324207072E-6</v>
      </c>
      <c r="G238" s="70">
        <f t="shared" si="16"/>
        <v>1.8319978404006737E-7</v>
      </c>
      <c r="M238" s="70">
        <f t="shared" si="17"/>
        <v>2.5593009830397413E-14</v>
      </c>
      <c r="N238" s="206">
        <f t="shared" si="18"/>
        <v>0.10310908869273963</v>
      </c>
      <c r="O238" s="136"/>
      <c r="P238" s="80"/>
      <c r="Q238" s="77"/>
      <c r="R238" s="77"/>
      <c r="S238" s="80"/>
      <c r="T238" s="80"/>
    </row>
    <row r="239" spans="1:20">
      <c r="A239" t="s">
        <v>1319</v>
      </c>
      <c r="B239" t="s">
        <v>1790</v>
      </c>
      <c r="C239">
        <v>358</v>
      </c>
      <c r="E239" s="69">
        <f t="shared" si="19"/>
        <v>2.7932960893854748</v>
      </c>
      <c r="F239" s="70">
        <f t="shared" si="15"/>
        <v>8.5970848376344465E-6</v>
      </c>
      <c r="G239" s="70">
        <f t="shared" si="16"/>
        <v>8.1876998453661386E-7</v>
      </c>
      <c r="M239" s="70">
        <f t="shared" si="17"/>
        <v>1.1438216683976497E-13</v>
      </c>
      <c r="N239" s="206">
        <f t="shared" si="18"/>
        <v>0.46082274276084761</v>
      </c>
      <c r="O239" s="136"/>
      <c r="P239" s="80"/>
      <c r="Q239" s="77"/>
      <c r="R239" s="77"/>
      <c r="S239" s="80"/>
      <c r="T239" s="80"/>
    </row>
    <row r="240" spans="1:20">
      <c r="A240" t="s">
        <v>1320</v>
      </c>
      <c r="B240" t="s">
        <v>1791</v>
      </c>
      <c r="C240">
        <v>1500</v>
      </c>
      <c r="E240" s="69">
        <f t="shared" si="19"/>
        <v>0.66666666666666663</v>
      </c>
      <c r="F240" s="70">
        <f t="shared" si="15"/>
        <v>2.0518375812487544E-6</v>
      </c>
      <c r="G240" s="70">
        <f t="shared" si="16"/>
        <v>1.9541310297607186E-7</v>
      </c>
      <c r="M240" s="70">
        <f t="shared" si="17"/>
        <v>2.7299210485757237E-14</v>
      </c>
      <c r="N240" s="206">
        <f t="shared" si="18"/>
        <v>0.10998302793892228</v>
      </c>
      <c r="O240" s="136"/>
      <c r="P240" s="80"/>
      <c r="Q240" s="77"/>
      <c r="R240" s="77"/>
      <c r="S240" s="80"/>
      <c r="T240" s="80"/>
    </row>
    <row r="241" spans="1:20">
      <c r="A241" t="s">
        <v>1321</v>
      </c>
      <c r="B241" t="s">
        <v>1792</v>
      </c>
      <c r="C241">
        <v>1400</v>
      </c>
      <c r="E241" s="69">
        <f t="shared" si="19"/>
        <v>0.7142857142857143</v>
      </c>
      <c r="F241" s="70">
        <f t="shared" si="15"/>
        <v>2.1983974084808084E-6</v>
      </c>
      <c r="G241" s="70">
        <f t="shared" si="16"/>
        <v>2.0937118176007699E-7</v>
      </c>
      <c r="M241" s="70">
        <f t="shared" si="17"/>
        <v>2.9249154091882759E-14</v>
      </c>
      <c r="N241" s="206">
        <f t="shared" si="18"/>
        <v>0.11783895850598816</v>
      </c>
      <c r="O241" s="136"/>
      <c r="P241" s="80"/>
      <c r="Q241" s="77"/>
      <c r="R241" s="77"/>
      <c r="S241" s="80"/>
      <c r="T241" s="80"/>
    </row>
    <row r="242" spans="1:20">
      <c r="A242" t="s">
        <v>1130</v>
      </c>
      <c r="B242" t="s">
        <v>1793</v>
      </c>
      <c r="C242">
        <v>106</v>
      </c>
      <c r="E242" s="69">
        <f t="shared" si="19"/>
        <v>9.4339622641509422</v>
      </c>
      <c r="F242" s="70">
        <f t="shared" si="15"/>
        <v>2.9035437470501236E-5</v>
      </c>
      <c r="G242" s="70">
        <f t="shared" si="16"/>
        <v>2.765279759095356E-6</v>
      </c>
      <c r="M242" s="70">
        <f t="shared" si="17"/>
        <v>3.8630958234562123E-13</v>
      </c>
      <c r="N242" s="206">
        <f t="shared" si="18"/>
        <v>1.5563636029092773</v>
      </c>
      <c r="O242" s="136"/>
      <c r="P242" s="80"/>
      <c r="Q242" s="77"/>
      <c r="R242" s="77"/>
      <c r="S242" s="80"/>
      <c r="T242" s="80"/>
    </row>
    <row r="243" spans="1:20">
      <c r="A243" t="s">
        <v>1322</v>
      </c>
      <c r="B243" t="s">
        <v>1794</v>
      </c>
      <c r="C243">
        <v>1520</v>
      </c>
      <c r="E243" s="69">
        <f t="shared" si="19"/>
        <v>0.6578947368421052</v>
      </c>
      <c r="F243" s="70">
        <f t="shared" si="15"/>
        <v>2.0248397183375866E-6</v>
      </c>
      <c r="G243" s="70">
        <f t="shared" si="16"/>
        <v>1.9284187793691302E-7</v>
      </c>
      <c r="M243" s="70">
        <f t="shared" si="17"/>
        <v>2.6940010347786743E-14</v>
      </c>
      <c r="N243" s="206">
        <f t="shared" si="18"/>
        <v>0.10853588283446278</v>
      </c>
      <c r="O243" s="136"/>
      <c r="P243" s="80"/>
      <c r="Q243" s="77"/>
      <c r="R243" s="77"/>
      <c r="S243" s="80"/>
      <c r="T243" s="80"/>
    </row>
    <row r="244" spans="1:20">
      <c r="A244" t="s">
        <v>1323</v>
      </c>
      <c r="B244" t="s">
        <v>1795</v>
      </c>
      <c r="C244">
        <v>95</v>
      </c>
      <c r="E244" s="69">
        <f t="shared" si="19"/>
        <v>10.526315789473683</v>
      </c>
      <c r="F244" s="70">
        <f t="shared" si="15"/>
        <v>3.2397435493401386E-5</v>
      </c>
      <c r="G244" s="70">
        <f t="shared" si="16"/>
        <v>3.0854700469906083E-6</v>
      </c>
      <c r="M244" s="70">
        <f t="shared" si="17"/>
        <v>4.3104016556458789E-13</v>
      </c>
      <c r="N244" s="206">
        <f t="shared" si="18"/>
        <v>1.7365741253514044</v>
      </c>
      <c r="O244" s="136"/>
      <c r="P244" s="80"/>
      <c r="Q244" s="77"/>
      <c r="R244" s="77"/>
      <c r="S244" s="80"/>
      <c r="T244" s="80"/>
    </row>
    <row r="245" spans="1:20">
      <c r="A245" t="s">
        <v>1324</v>
      </c>
      <c r="B245" t="s">
        <v>1796</v>
      </c>
      <c r="C245">
        <v>1820</v>
      </c>
      <c r="E245" s="69">
        <f t="shared" si="19"/>
        <v>0.5494505494505495</v>
      </c>
      <c r="F245" s="70">
        <f t="shared" si="15"/>
        <v>1.6910749296006222E-6</v>
      </c>
      <c r="G245" s="70">
        <f t="shared" si="16"/>
        <v>1.6105475520005922E-7</v>
      </c>
      <c r="M245" s="70">
        <f t="shared" si="17"/>
        <v>2.2499349301448278E-14</v>
      </c>
      <c r="N245" s="206">
        <f t="shared" si="18"/>
        <v>9.0645352696913997E-2</v>
      </c>
      <c r="O245" s="136"/>
      <c r="P245" s="80"/>
      <c r="Q245" s="77"/>
      <c r="R245" s="77"/>
      <c r="S245" s="80"/>
      <c r="T245" s="80"/>
    </row>
    <row r="246" spans="1:20">
      <c r="A246" t="s">
        <v>1325</v>
      </c>
      <c r="B246" t="s">
        <v>1797</v>
      </c>
      <c r="C246">
        <v>925</v>
      </c>
      <c r="E246" s="69">
        <f t="shared" si="19"/>
        <v>1.0810810810810811</v>
      </c>
      <c r="F246" s="70">
        <f t="shared" si="15"/>
        <v>3.3273041858087912E-6</v>
      </c>
      <c r="G246" s="70">
        <f t="shared" si="16"/>
        <v>3.1688611293417062E-7</v>
      </c>
      <c r="M246" s="70">
        <f t="shared" si="17"/>
        <v>4.4268989976903632E-14</v>
      </c>
      <c r="N246" s="206">
        <f t="shared" si="18"/>
        <v>0.1783508561171713</v>
      </c>
      <c r="O246" s="136"/>
      <c r="P246" s="80"/>
      <c r="Q246" s="77"/>
      <c r="R246" s="77"/>
      <c r="S246" s="80"/>
      <c r="T246" s="80"/>
    </row>
    <row r="247" spans="1:20">
      <c r="A247" t="s">
        <v>1326</v>
      </c>
      <c r="B247" t="s">
        <v>1798</v>
      </c>
      <c r="C247">
        <v>237</v>
      </c>
      <c r="E247" s="69">
        <f t="shared" si="19"/>
        <v>4.2194092827004219</v>
      </c>
      <c r="F247" s="70">
        <f t="shared" si="15"/>
        <v>1.2986313805371864E-5</v>
      </c>
      <c r="G247" s="70">
        <f t="shared" si="16"/>
        <v>1.2367917909877965E-6</v>
      </c>
      <c r="M247" s="70">
        <f t="shared" si="17"/>
        <v>1.7277981320099519E-13</v>
      </c>
      <c r="N247" s="206">
        <f t="shared" si="18"/>
        <v>0.69609511353748277</v>
      </c>
      <c r="O247" s="136"/>
      <c r="P247" s="80"/>
      <c r="Q247" s="77"/>
      <c r="R247" s="77"/>
      <c r="S247" s="80"/>
      <c r="T247" s="80"/>
    </row>
    <row r="248" spans="1:20">
      <c r="A248" t="s">
        <v>1327</v>
      </c>
      <c r="B248" t="s">
        <v>1799</v>
      </c>
      <c r="C248">
        <v>435</v>
      </c>
      <c r="E248" s="69">
        <f t="shared" si="19"/>
        <v>2.2988505747126435</v>
      </c>
      <c r="F248" s="70">
        <f t="shared" si="15"/>
        <v>7.0753020043060498E-6</v>
      </c>
      <c r="G248" s="70">
        <f t="shared" si="16"/>
        <v>6.7383828612438571E-7</v>
      </c>
      <c r="M248" s="70">
        <f t="shared" si="17"/>
        <v>9.4135208571576674E-14</v>
      </c>
      <c r="N248" s="206">
        <f t="shared" si="18"/>
        <v>0.37925182047904238</v>
      </c>
      <c r="O248" s="136"/>
      <c r="P248" s="80"/>
      <c r="Q248" s="77"/>
      <c r="R248" s="77"/>
      <c r="S248" s="80"/>
      <c r="T248" s="80"/>
    </row>
    <row r="249" spans="1:20">
      <c r="A249" t="s">
        <v>1328</v>
      </c>
      <c r="B249" t="s">
        <v>1800</v>
      </c>
      <c r="C249">
        <v>1644</v>
      </c>
      <c r="E249" s="69">
        <f t="shared" si="19"/>
        <v>0.6082725060827251</v>
      </c>
      <c r="F249" s="70">
        <f t="shared" si="15"/>
        <v>1.8721145814313455E-6</v>
      </c>
      <c r="G249" s="70">
        <f t="shared" si="16"/>
        <v>1.7829662680298527E-7</v>
      </c>
      <c r="M249" s="70">
        <f t="shared" si="17"/>
        <v>2.4908038764377046E-14</v>
      </c>
      <c r="N249" s="206">
        <f t="shared" si="18"/>
        <v>0.10034947804646195</v>
      </c>
      <c r="O249" s="136"/>
      <c r="P249" s="80"/>
      <c r="Q249" s="77"/>
      <c r="R249" s="77"/>
      <c r="S249" s="80"/>
      <c r="T249" s="80"/>
    </row>
    <row r="250" spans="1:20">
      <c r="A250" t="s">
        <v>1329</v>
      </c>
      <c r="B250" t="s">
        <v>1801</v>
      </c>
      <c r="C250">
        <v>750</v>
      </c>
      <c r="E250" s="69">
        <f t="shared" si="19"/>
        <v>1.3333333333333333</v>
      </c>
      <c r="F250" s="70">
        <f t="shared" si="15"/>
        <v>4.1036751624975087E-6</v>
      </c>
      <c r="G250" s="70">
        <f t="shared" si="16"/>
        <v>3.9082620595214371E-7</v>
      </c>
      <c r="M250" s="70">
        <f t="shared" si="17"/>
        <v>5.4598420971514475E-14</v>
      </c>
      <c r="N250" s="206">
        <f t="shared" si="18"/>
        <v>0.21996605587784457</v>
      </c>
      <c r="O250" s="136"/>
      <c r="P250" s="80"/>
      <c r="Q250" s="77"/>
      <c r="R250" s="77"/>
      <c r="S250" s="80"/>
      <c r="T250" s="80"/>
    </row>
    <row r="251" spans="1:20">
      <c r="A251" t="s">
        <v>1330</v>
      </c>
      <c r="B251" t="s">
        <v>1802</v>
      </c>
      <c r="C251">
        <v>820</v>
      </c>
      <c r="E251" s="69">
        <f t="shared" si="19"/>
        <v>1.2195121951219512</v>
      </c>
      <c r="F251" s="70">
        <f t="shared" si="15"/>
        <v>3.7533614291135753E-6</v>
      </c>
      <c r="G251" s="70">
        <f t="shared" si="16"/>
        <v>3.5746299324891189E-7</v>
      </c>
      <c r="M251" s="70">
        <f t="shared" si="17"/>
        <v>4.9937580156873E-14</v>
      </c>
      <c r="N251" s="206">
        <f t="shared" si="18"/>
        <v>0.201188465741931</v>
      </c>
      <c r="O251" s="136"/>
      <c r="P251" s="80"/>
      <c r="Q251" s="77"/>
      <c r="R251" s="77"/>
      <c r="S251" s="80"/>
      <c r="T251" s="80"/>
    </row>
    <row r="252" spans="1:20">
      <c r="A252" t="s">
        <v>1331</v>
      </c>
      <c r="B252" t="s">
        <v>1803</v>
      </c>
      <c r="C252">
        <v>769</v>
      </c>
      <c r="E252" s="69">
        <f t="shared" si="19"/>
        <v>1.3003901170351106</v>
      </c>
      <c r="F252" s="70">
        <f t="shared" si="15"/>
        <v>4.0022839686256593E-6</v>
      </c>
      <c r="G252" s="70">
        <f t="shared" si="16"/>
        <v>3.8116990177387231E-7</v>
      </c>
      <c r="M252" s="70">
        <f t="shared" si="17"/>
        <v>5.3249435277809965E-14</v>
      </c>
      <c r="N252" s="206">
        <f t="shared" si="18"/>
        <v>0.2145312638600565</v>
      </c>
      <c r="O252" s="136"/>
      <c r="P252" s="80"/>
      <c r="Q252" s="77"/>
      <c r="R252" s="77"/>
      <c r="S252" s="80"/>
      <c r="T252" s="80"/>
    </row>
    <row r="253" spans="1:20">
      <c r="A253" t="s">
        <v>1332</v>
      </c>
      <c r="B253" t="s">
        <v>1804</v>
      </c>
      <c r="C253">
        <v>320</v>
      </c>
      <c r="E253" s="69">
        <f t="shared" si="19"/>
        <v>3.125</v>
      </c>
      <c r="F253" s="70">
        <f t="shared" si="15"/>
        <v>9.617988662103536E-6</v>
      </c>
      <c r="G253" s="70">
        <f t="shared" si="16"/>
        <v>9.1599892020033674E-7</v>
      </c>
      <c r="M253" s="70">
        <f t="shared" si="17"/>
        <v>1.2796504915198705E-13</v>
      </c>
      <c r="N253" s="206">
        <f t="shared" si="18"/>
        <v>0.51554544346369824</v>
      </c>
      <c r="O253" s="136"/>
      <c r="P253" s="80"/>
      <c r="Q253" s="77"/>
      <c r="R253" s="77"/>
      <c r="S253" s="80"/>
      <c r="T253" s="80"/>
    </row>
    <row r="254" spans="1:20">
      <c r="A254" t="s">
        <v>1333</v>
      </c>
      <c r="B254" t="s">
        <v>1805</v>
      </c>
      <c r="C254">
        <v>62</v>
      </c>
      <c r="E254" s="69">
        <f t="shared" si="19"/>
        <v>16.129032258064516</v>
      </c>
      <c r="F254" s="70">
        <f t="shared" si="15"/>
        <v>4.9641231804405357E-5</v>
      </c>
      <c r="G254" s="70">
        <f t="shared" si="16"/>
        <v>4.7277363623243188E-6</v>
      </c>
      <c r="M254" s="70">
        <f t="shared" si="17"/>
        <v>6.6046476981670738E-13</v>
      </c>
      <c r="N254" s="206">
        <f t="shared" si="18"/>
        <v>2.6608797081997326</v>
      </c>
      <c r="O254" s="136"/>
      <c r="P254" s="80"/>
      <c r="Q254" s="77"/>
      <c r="R254" s="77"/>
      <c r="S254" s="80"/>
      <c r="T254" s="80"/>
    </row>
    <row r="255" spans="1:20">
      <c r="A255" t="s">
        <v>1334</v>
      </c>
      <c r="B255" t="s">
        <v>1806</v>
      </c>
      <c r="C255">
        <v>1360</v>
      </c>
      <c r="E255" s="69">
        <f t="shared" si="19"/>
        <v>0.73529411764705876</v>
      </c>
      <c r="F255" s="70">
        <f t="shared" si="15"/>
        <v>2.263056155789067E-6</v>
      </c>
      <c r="G255" s="70">
        <f t="shared" si="16"/>
        <v>2.155291576941969E-7</v>
      </c>
      <c r="M255" s="70">
        <f t="shared" si="17"/>
        <v>3.0109423329879303E-14</v>
      </c>
      <c r="N255" s="206">
        <f t="shared" si="18"/>
        <v>0.12130481022675249</v>
      </c>
      <c r="O255" s="136"/>
      <c r="P255" s="80"/>
      <c r="Q255" s="77"/>
      <c r="R255" s="77"/>
      <c r="S255" s="80"/>
      <c r="T255" s="80"/>
    </row>
    <row r="256" spans="1:20">
      <c r="A256" t="s">
        <v>1335</v>
      </c>
      <c r="B256" t="s">
        <v>1807</v>
      </c>
      <c r="C256">
        <v>1670</v>
      </c>
      <c r="E256" s="69">
        <f t="shared" si="19"/>
        <v>0.59880239520958078</v>
      </c>
      <c r="F256" s="70">
        <f t="shared" si="15"/>
        <v>1.8429678873491805E-6</v>
      </c>
      <c r="G256" s="70">
        <f t="shared" si="16"/>
        <v>1.7552075117611241E-7</v>
      </c>
      <c r="M256" s="70">
        <f t="shared" si="17"/>
        <v>2.4520248939302904E-14</v>
      </c>
      <c r="N256" s="206">
        <f t="shared" si="18"/>
        <v>9.8787150843343358E-2</v>
      </c>
      <c r="O256" s="136"/>
      <c r="P256" s="80"/>
      <c r="Q256" s="77"/>
      <c r="R256" s="77"/>
      <c r="S256" s="80"/>
      <c r="T256" s="80"/>
    </row>
    <row r="257" spans="1:20">
      <c r="A257" t="s">
        <v>1336</v>
      </c>
      <c r="B257" t="s">
        <v>1808</v>
      </c>
      <c r="C257">
        <v>1012</v>
      </c>
      <c r="E257" s="69">
        <f t="shared" si="19"/>
        <v>0.98814229249011853</v>
      </c>
      <c r="F257" s="70">
        <f t="shared" si="15"/>
        <v>3.0412612370287863E-6</v>
      </c>
      <c r="G257" s="70">
        <f t="shared" si="16"/>
        <v>2.8964392733607488E-7</v>
      </c>
      <c r="M257" s="70">
        <f t="shared" si="17"/>
        <v>4.0463256648849662E-14</v>
      </c>
      <c r="N257" s="206">
        <f t="shared" si="18"/>
        <v>0.16301832204385713</v>
      </c>
      <c r="O257" s="136"/>
      <c r="P257" s="80"/>
      <c r="Q257" s="77"/>
      <c r="R257" s="77"/>
      <c r="S257" s="80"/>
      <c r="T257" s="80"/>
    </row>
    <row r="258" spans="1:20">
      <c r="A258" t="s">
        <v>1337</v>
      </c>
      <c r="B258" s="45" t="s">
        <v>1847</v>
      </c>
      <c r="C258">
        <v>816</v>
      </c>
      <c r="E258" s="69">
        <f t="shared" si="19"/>
        <v>1.2254901960784315</v>
      </c>
      <c r="F258" s="70">
        <f t="shared" ref="F258:F303" si="20">18000/2360000000*35*E258/averagepesticidepotency</f>
        <v>3.7717602596484461E-6</v>
      </c>
      <c r="G258" s="70">
        <f t="shared" ref="G258:G303" si="21">3000000*0.02/2360000000*E258/averagepesticidepotency</f>
        <v>3.5921526282366154E-7</v>
      </c>
      <c r="M258" s="70">
        <f t="shared" ref="M258:M303" si="22">0.008382/2360000000*E258/averagepesticidepotency</f>
        <v>5.0182372216465518E-14</v>
      </c>
      <c r="N258" s="206">
        <f t="shared" ref="N258:N303" si="23">F258*YOLLvalue+G258*poisoningvalue+H258*As_orevalue+I258*Cu_orevalue+J258*Hg_orevalue+K258*Pb_orevalue+L258*Zn_orevalue+M258*speciesvalue</f>
        <v>0.20217468371125422</v>
      </c>
      <c r="O258" s="136"/>
      <c r="P258" s="80"/>
      <c r="Q258" s="77"/>
      <c r="R258" s="77"/>
      <c r="S258" s="80"/>
      <c r="T258" s="80"/>
    </row>
    <row r="259" spans="1:20">
      <c r="A259" t="s">
        <v>1338</v>
      </c>
      <c r="B259" t="s">
        <v>1809</v>
      </c>
      <c r="C259">
        <v>1830</v>
      </c>
      <c r="E259" s="69">
        <f t="shared" ref="E259:E303" si="24">1/C259*1000</f>
        <v>0.54644808743169404</v>
      </c>
      <c r="F259" s="70">
        <f t="shared" si="20"/>
        <v>1.6818340829907824E-6</v>
      </c>
      <c r="G259" s="70">
        <f t="shared" si="21"/>
        <v>1.6017467457055072E-7</v>
      </c>
      <c r="M259" s="70">
        <f t="shared" si="22"/>
        <v>2.2376402037505937E-14</v>
      </c>
      <c r="N259" s="206">
        <f t="shared" si="23"/>
        <v>9.015002290075598E-2</v>
      </c>
      <c r="O259" s="136"/>
      <c r="P259" s="80"/>
      <c r="Q259" s="77"/>
      <c r="R259" s="77"/>
      <c r="S259" s="80"/>
      <c r="T259" s="80"/>
    </row>
    <row r="260" spans="1:20">
      <c r="A260" t="s">
        <v>1131</v>
      </c>
      <c r="B260" t="s">
        <v>1810</v>
      </c>
      <c r="C260">
        <v>10</v>
      </c>
      <c r="D260" t="s">
        <v>1090</v>
      </c>
      <c r="E260" s="69">
        <f t="shared" si="24"/>
        <v>100</v>
      </c>
      <c r="F260" s="70">
        <f t="shared" si="20"/>
        <v>3.0777563718731315E-4</v>
      </c>
      <c r="G260" s="70">
        <f t="shared" si="21"/>
        <v>2.9311965446410776E-5</v>
      </c>
      <c r="M260" s="70">
        <f t="shared" si="22"/>
        <v>4.0948815728635857E-12</v>
      </c>
      <c r="N260" s="206">
        <f t="shared" si="23"/>
        <v>16.497454190838344</v>
      </c>
      <c r="O260" s="136"/>
      <c r="P260" s="80"/>
      <c r="Q260" s="77"/>
      <c r="R260" s="77"/>
      <c r="S260" s="80"/>
      <c r="T260" s="80"/>
    </row>
    <row r="261" spans="1:20">
      <c r="A261" t="s">
        <v>1339</v>
      </c>
      <c r="B261" s="77" t="s">
        <v>1562</v>
      </c>
      <c r="C261">
        <v>1200</v>
      </c>
      <c r="E261" s="69">
        <f t="shared" si="24"/>
        <v>0.83333333333333337</v>
      </c>
      <c r="F261" s="70">
        <f t="shared" si="20"/>
        <v>2.5647969765609434E-6</v>
      </c>
      <c r="G261" s="70">
        <f t="shared" si="21"/>
        <v>2.4426637872008986E-7</v>
      </c>
      <c r="M261" s="70">
        <f t="shared" si="22"/>
        <v>3.4124013107196548E-14</v>
      </c>
      <c r="N261" s="206">
        <f t="shared" si="23"/>
        <v>0.13747878492365287</v>
      </c>
      <c r="O261" s="136"/>
      <c r="P261" s="80"/>
      <c r="Q261" s="77"/>
      <c r="R261" s="77"/>
      <c r="S261" s="80"/>
      <c r="T261" s="80"/>
    </row>
    <row r="262" spans="1:20">
      <c r="A262" t="s">
        <v>1132</v>
      </c>
      <c r="B262" t="s">
        <v>1811</v>
      </c>
      <c r="C262">
        <v>6</v>
      </c>
      <c r="E262" s="69">
        <f t="shared" si="24"/>
        <v>166.66666666666666</v>
      </c>
      <c r="F262" s="70">
        <f t="shared" si="20"/>
        <v>5.1295939531218859E-4</v>
      </c>
      <c r="G262" s="70">
        <f t="shared" si="21"/>
        <v>4.8853275744017966E-5</v>
      </c>
      <c r="M262" s="70">
        <f t="shared" si="22"/>
        <v>6.8248026214393094E-12</v>
      </c>
      <c r="N262" s="206">
        <f t="shared" si="23"/>
        <v>27.495756984730566</v>
      </c>
      <c r="O262" s="136"/>
      <c r="P262" s="80"/>
      <c r="Q262" s="77"/>
      <c r="R262" s="77"/>
      <c r="S262" s="80"/>
      <c r="T262" s="80"/>
    </row>
    <row r="263" spans="1:20">
      <c r="A263" t="s">
        <v>1075</v>
      </c>
      <c r="B263" t="s">
        <v>1812</v>
      </c>
      <c r="C263">
        <v>0.2</v>
      </c>
      <c r="E263" s="69">
        <f t="shared" si="24"/>
        <v>5000</v>
      </c>
      <c r="F263" s="70">
        <f t="shared" si="20"/>
        <v>1.5388781859365659E-2</v>
      </c>
      <c r="G263" s="70">
        <f t="shared" si="21"/>
        <v>1.4655982723205388E-3</v>
      </c>
      <c r="M263" s="70">
        <f t="shared" si="22"/>
        <v>2.047440786431793E-10</v>
      </c>
      <c r="N263" s="206">
        <f t="shared" si="23"/>
        <v>824.87270954191717</v>
      </c>
      <c r="O263" s="136"/>
      <c r="P263" s="80"/>
      <c r="Q263" s="77"/>
      <c r="R263" s="77"/>
      <c r="S263" s="80"/>
      <c r="T263" s="80"/>
    </row>
    <row r="264" spans="1:20">
      <c r="A264" t="s">
        <v>1340</v>
      </c>
      <c r="B264" t="s">
        <v>1341</v>
      </c>
      <c r="C264">
        <v>500</v>
      </c>
      <c r="E264" s="69">
        <f t="shared" si="24"/>
        <v>2</v>
      </c>
      <c r="F264" s="70">
        <f t="shared" si="20"/>
        <v>6.1555127437462631E-6</v>
      </c>
      <c r="G264" s="70">
        <f t="shared" si="21"/>
        <v>5.8623930892821551E-7</v>
      </c>
      <c r="M264" s="70">
        <f t="shared" si="22"/>
        <v>8.1897631457271719E-14</v>
      </c>
      <c r="N264" s="206">
        <f t="shared" si="23"/>
        <v>0.32994908381676685</v>
      </c>
      <c r="O264" s="136"/>
      <c r="P264" s="80"/>
      <c r="Q264" s="77"/>
      <c r="R264" s="77"/>
      <c r="S264" s="80"/>
      <c r="T264" s="80"/>
    </row>
    <row r="265" spans="1:20">
      <c r="A265" t="s">
        <v>1133</v>
      </c>
      <c r="B265" t="s">
        <v>1813</v>
      </c>
      <c r="C265">
        <v>16</v>
      </c>
      <c r="E265" s="69">
        <f t="shared" si="24"/>
        <v>62.5</v>
      </c>
      <c r="F265" s="70">
        <f t="shared" si="20"/>
        <v>1.9235977324207073E-4</v>
      </c>
      <c r="G265" s="70">
        <f t="shared" si="21"/>
        <v>1.8319978404006734E-5</v>
      </c>
      <c r="M265" s="70">
        <f t="shared" si="22"/>
        <v>2.5593009830397411E-12</v>
      </c>
      <c r="N265" s="206">
        <f t="shared" si="23"/>
        <v>10.310908869273964</v>
      </c>
      <c r="O265" s="136"/>
      <c r="P265" s="80"/>
      <c r="Q265" s="77"/>
      <c r="R265" s="77"/>
      <c r="S265" s="80"/>
      <c r="T265" s="80"/>
    </row>
    <row r="266" spans="1:20">
      <c r="A266" t="s">
        <v>1342</v>
      </c>
      <c r="B266" t="s">
        <v>1814</v>
      </c>
      <c r="C266">
        <v>543</v>
      </c>
      <c r="E266" s="69">
        <f t="shared" si="24"/>
        <v>1.8416206261510129</v>
      </c>
      <c r="F266" s="70">
        <f t="shared" si="20"/>
        <v>5.6680596167092665E-6</v>
      </c>
      <c r="G266" s="70">
        <f t="shared" si="21"/>
        <v>5.3981520159135868E-7</v>
      </c>
      <c r="M266" s="70">
        <f t="shared" si="22"/>
        <v>7.5412183662312819E-14</v>
      </c>
      <c r="N266" s="206">
        <f t="shared" si="23"/>
        <v>0.30382051916829361</v>
      </c>
      <c r="O266" s="136"/>
      <c r="P266" s="80"/>
      <c r="Q266" s="77"/>
      <c r="R266" s="77"/>
      <c r="S266" s="80"/>
      <c r="T266" s="80"/>
    </row>
    <row r="267" spans="1:20">
      <c r="A267" t="s">
        <v>1076</v>
      </c>
      <c r="B267" t="s">
        <v>1815</v>
      </c>
      <c r="C267">
        <v>5</v>
      </c>
      <c r="E267" s="69">
        <f t="shared" si="24"/>
        <v>200</v>
      </c>
      <c r="F267" s="70">
        <f t="shared" si="20"/>
        <v>6.1555127437462631E-4</v>
      </c>
      <c r="G267" s="70">
        <f t="shared" si="21"/>
        <v>5.8623930892821551E-5</v>
      </c>
      <c r="M267" s="70">
        <f t="shared" si="22"/>
        <v>8.1897631457271713E-12</v>
      </c>
      <c r="N267" s="206">
        <f t="shared" si="23"/>
        <v>32.994908381676687</v>
      </c>
      <c r="O267" s="136"/>
      <c r="P267" s="80"/>
      <c r="Q267" s="77"/>
      <c r="R267" s="77"/>
      <c r="S267" s="80"/>
      <c r="T267" s="80"/>
    </row>
    <row r="268" spans="1:20">
      <c r="A268" t="s">
        <v>1344</v>
      </c>
      <c r="B268" s="79" t="s">
        <v>1563</v>
      </c>
      <c r="C268">
        <v>400</v>
      </c>
      <c r="E268" s="69">
        <f t="shared" si="24"/>
        <v>2.5</v>
      </c>
      <c r="F268" s="70">
        <f t="shared" si="20"/>
        <v>7.6943909296828288E-6</v>
      </c>
      <c r="G268" s="70">
        <f t="shared" si="21"/>
        <v>7.3279913616026947E-7</v>
      </c>
      <c r="M268" s="70">
        <f t="shared" si="22"/>
        <v>1.0237203932158965E-13</v>
      </c>
      <c r="N268" s="206">
        <f t="shared" si="23"/>
        <v>0.41243635477095852</v>
      </c>
      <c r="O268" s="136"/>
      <c r="P268" s="80"/>
      <c r="Q268" s="77"/>
      <c r="R268" s="77"/>
      <c r="S268" s="80"/>
      <c r="T268" s="80"/>
    </row>
    <row r="269" spans="1:20">
      <c r="A269" t="s">
        <v>1345</v>
      </c>
      <c r="B269" t="s">
        <v>1816</v>
      </c>
      <c r="C269">
        <v>1700</v>
      </c>
      <c r="E269" s="69">
        <f t="shared" si="24"/>
        <v>0.58823529411764697</v>
      </c>
      <c r="F269" s="70">
        <f t="shared" si="20"/>
        <v>1.8104449246312538E-6</v>
      </c>
      <c r="G269" s="70">
        <f t="shared" si="21"/>
        <v>1.7242332615535749E-7</v>
      </c>
      <c r="M269" s="70">
        <f t="shared" si="22"/>
        <v>2.4087538663903444E-14</v>
      </c>
      <c r="N269" s="206">
        <f t="shared" si="23"/>
        <v>9.7043848181402007E-2</v>
      </c>
      <c r="O269" s="136"/>
      <c r="P269" s="80"/>
      <c r="Q269" s="77"/>
      <c r="R269" s="77"/>
      <c r="S269" s="80"/>
      <c r="T269" s="80"/>
    </row>
    <row r="270" spans="1:20">
      <c r="A270" t="s">
        <v>1346</v>
      </c>
      <c r="B270" t="s">
        <v>1817</v>
      </c>
      <c r="C270">
        <v>595</v>
      </c>
      <c r="E270" s="69">
        <f t="shared" si="24"/>
        <v>1.680672268907563</v>
      </c>
      <c r="F270" s="70">
        <f t="shared" si="20"/>
        <v>5.1726997846607252E-6</v>
      </c>
      <c r="G270" s="70">
        <f t="shared" si="21"/>
        <v>4.9263807472959289E-7</v>
      </c>
      <c r="M270" s="70">
        <f t="shared" si="22"/>
        <v>6.8821539039724143E-14</v>
      </c>
      <c r="N270" s="206">
        <f t="shared" si="23"/>
        <v>0.27726813766114861</v>
      </c>
      <c r="O270" s="136"/>
      <c r="P270" s="80"/>
      <c r="Q270" s="77"/>
      <c r="R270" s="77"/>
      <c r="S270" s="80"/>
      <c r="T270" s="80"/>
    </row>
    <row r="271" spans="1:20">
      <c r="A271" t="s">
        <v>1077</v>
      </c>
      <c r="B271" t="s">
        <v>1818</v>
      </c>
      <c r="C271">
        <v>1.3</v>
      </c>
      <c r="E271" s="69">
        <f t="shared" si="24"/>
        <v>769.23076923076917</v>
      </c>
      <c r="F271" s="70">
        <f t="shared" si="20"/>
        <v>2.3675049014408702E-3</v>
      </c>
      <c r="G271" s="70">
        <f t="shared" si="21"/>
        <v>2.2547665728008288E-4</v>
      </c>
      <c r="M271" s="70">
        <f t="shared" si="22"/>
        <v>3.1499089022027579E-11</v>
      </c>
      <c r="N271" s="206">
        <f t="shared" si="23"/>
        <v>126.90349377567954</v>
      </c>
      <c r="O271" s="136"/>
      <c r="P271" s="80"/>
      <c r="Q271" s="77"/>
      <c r="R271" s="77"/>
      <c r="S271" s="80"/>
      <c r="T271" s="80"/>
    </row>
    <row r="272" spans="1:20">
      <c r="A272" t="s">
        <v>1347</v>
      </c>
      <c r="B272" t="s">
        <v>1819</v>
      </c>
      <c r="C272">
        <v>644</v>
      </c>
      <c r="E272" s="69">
        <f t="shared" si="24"/>
        <v>1.5527950310559004</v>
      </c>
      <c r="F272" s="70">
        <f t="shared" si="20"/>
        <v>4.7791248010452351E-6</v>
      </c>
      <c r="G272" s="70">
        <f t="shared" si="21"/>
        <v>4.5515474295668903E-7</v>
      </c>
      <c r="M272" s="70">
        <f t="shared" si="22"/>
        <v>6.3585117591049463E-14</v>
      </c>
      <c r="N272" s="206">
        <f t="shared" si="23"/>
        <v>0.25617164892606126</v>
      </c>
      <c r="O272" s="136"/>
      <c r="P272" s="80"/>
      <c r="Q272" s="77"/>
      <c r="R272" s="77"/>
      <c r="S272" s="80"/>
      <c r="T272" s="80"/>
    </row>
    <row r="273" spans="1:20">
      <c r="A273" t="s">
        <v>1134</v>
      </c>
      <c r="B273" t="s">
        <v>1820</v>
      </c>
      <c r="C273">
        <v>22</v>
      </c>
      <c r="E273" s="69">
        <f t="shared" si="24"/>
        <v>45.454545454545453</v>
      </c>
      <c r="F273" s="70">
        <f t="shared" si="20"/>
        <v>1.3989801690332415E-4</v>
      </c>
      <c r="G273" s="70">
        <f t="shared" si="21"/>
        <v>1.3323620657459444E-5</v>
      </c>
      <c r="M273" s="70">
        <f t="shared" si="22"/>
        <v>1.8613098058470846E-12</v>
      </c>
      <c r="N273" s="206">
        <f t="shared" si="23"/>
        <v>7.4988428140174275</v>
      </c>
      <c r="O273" s="136"/>
      <c r="P273" s="80"/>
      <c r="Q273" s="77"/>
      <c r="R273" s="77"/>
      <c r="S273" s="80"/>
      <c r="T273" s="80"/>
    </row>
    <row r="274" spans="1:20">
      <c r="A274" t="s">
        <v>1078</v>
      </c>
      <c r="B274" t="s">
        <v>1821</v>
      </c>
      <c r="C274">
        <v>2</v>
      </c>
      <c r="E274" s="69">
        <f t="shared" si="24"/>
        <v>500</v>
      </c>
      <c r="F274" s="70">
        <f t="shared" si="20"/>
        <v>1.5388781859365659E-3</v>
      </c>
      <c r="G274" s="70">
        <f t="shared" si="21"/>
        <v>1.4655982723205387E-4</v>
      </c>
      <c r="M274" s="70">
        <f t="shared" si="22"/>
        <v>2.0474407864317929E-11</v>
      </c>
      <c r="N274" s="206">
        <f t="shared" si="23"/>
        <v>82.487270954191715</v>
      </c>
      <c r="O274" s="136"/>
      <c r="P274" s="80"/>
      <c r="Q274" s="77"/>
      <c r="R274" s="77"/>
      <c r="S274" s="80"/>
      <c r="T274" s="80"/>
    </row>
    <row r="275" spans="1:20">
      <c r="A275" t="s">
        <v>1348</v>
      </c>
      <c r="B275" t="s">
        <v>1822</v>
      </c>
      <c r="C275">
        <v>483</v>
      </c>
      <c r="E275" s="69">
        <f t="shared" si="24"/>
        <v>2.0703933747412009</v>
      </c>
      <c r="F275" s="70">
        <f t="shared" si="20"/>
        <v>6.3721664013936477E-6</v>
      </c>
      <c r="G275" s="70">
        <f t="shared" si="21"/>
        <v>6.0687299060891888E-7</v>
      </c>
      <c r="M275" s="70">
        <f t="shared" si="22"/>
        <v>8.4780156788065951E-14</v>
      </c>
      <c r="N275" s="206">
        <f t="shared" si="23"/>
        <v>0.34156219856808162</v>
      </c>
      <c r="O275" s="136"/>
      <c r="P275" s="80"/>
      <c r="Q275" s="77"/>
      <c r="R275" s="77"/>
      <c r="S275" s="80"/>
      <c r="T275" s="80"/>
    </row>
    <row r="276" spans="1:20">
      <c r="A276" t="s">
        <v>1349</v>
      </c>
      <c r="B276" t="s">
        <v>1823</v>
      </c>
      <c r="C276">
        <v>1031</v>
      </c>
      <c r="E276" s="69">
        <f t="shared" si="24"/>
        <v>0.96993210475266733</v>
      </c>
      <c r="F276" s="70">
        <f t="shared" si="20"/>
        <v>2.9852147156868399E-6</v>
      </c>
      <c r="G276" s="70">
        <f t="shared" si="21"/>
        <v>2.8430616339874662E-7</v>
      </c>
      <c r="M276" s="70">
        <f t="shared" si="22"/>
        <v>3.9717571026804909E-14</v>
      </c>
      <c r="N276" s="206">
        <f t="shared" si="23"/>
        <v>0.16001410466380545</v>
      </c>
      <c r="O276" s="136"/>
      <c r="P276" s="80"/>
      <c r="Q276" s="77"/>
      <c r="R276" s="77"/>
      <c r="S276" s="80"/>
      <c r="T276" s="80"/>
    </row>
    <row r="277" spans="1:20">
      <c r="A277" t="s">
        <v>1135</v>
      </c>
      <c r="B277" t="s">
        <v>1824</v>
      </c>
      <c r="C277">
        <v>11</v>
      </c>
      <c r="E277" s="69">
        <f t="shared" si="24"/>
        <v>90.909090909090907</v>
      </c>
      <c r="F277" s="70">
        <f t="shared" si="20"/>
        <v>2.7979603380664831E-4</v>
      </c>
      <c r="G277" s="70">
        <f t="shared" si="21"/>
        <v>2.6647241314918888E-5</v>
      </c>
      <c r="M277" s="70">
        <f t="shared" si="22"/>
        <v>3.7226196116941693E-12</v>
      </c>
      <c r="N277" s="206">
        <f t="shared" si="23"/>
        <v>14.997685628034855</v>
      </c>
      <c r="O277" s="136"/>
      <c r="P277" s="80"/>
      <c r="Q277" s="77"/>
      <c r="R277" s="77"/>
      <c r="S277" s="80"/>
      <c r="T277" s="80"/>
    </row>
    <row r="278" spans="1:20">
      <c r="A278" t="s">
        <v>1350</v>
      </c>
      <c r="B278" t="s">
        <v>1351</v>
      </c>
      <c r="C278">
        <v>396</v>
      </c>
      <c r="E278" s="69">
        <f t="shared" si="24"/>
        <v>2.5252525252525255</v>
      </c>
      <c r="F278" s="70">
        <f t="shared" si="20"/>
        <v>7.7721120501846769E-6</v>
      </c>
      <c r="G278" s="70">
        <f t="shared" si="21"/>
        <v>7.4020114763663584E-7</v>
      </c>
      <c r="M278" s="70">
        <f t="shared" si="22"/>
        <v>1.0340610032483805E-13</v>
      </c>
      <c r="N278" s="206">
        <f t="shared" si="23"/>
        <v>0.41660237855652382</v>
      </c>
      <c r="O278" s="136"/>
      <c r="P278" s="80"/>
      <c r="Q278" s="77"/>
      <c r="R278" s="77"/>
      <c r="S278" s="80"/>
      <c r="T278" s="80"/>
    </row>
    <row r="279" spans="1:20">
      <c r="A279" t="s">
        <v>1352</v>
      </c>
      <c r="B279" t="s">
        <v>1825</v>
      </c>
      <c r="C279">
        <v>1300</v>
      </c>
      <c r="E279" s="69">
        <f t="shared" si="24"/>
        <v>0.76923076923076927</v>
      </c>
      <c r="F279" s="70">
        <f t="shared" si="20"/>
        <v>2.3675049014408706E-6</v>
      </c>
      <c r="G279" s="70">
        <f t="shared" si="21"/>
        <v>2.2547665728008291E-7</v>
      </c>
      <c r="M279" s="70">
        <f t="shared" si="22"/>
        <v>3.1499089022027588E-14</v>
      </c>
      <c r="N279" s="206">
        <f t="shared" si="23"/>
        <v>0.12690349377567955</v>
      </c>
      <c r="O279" s="136"/>
      <c r="P279" s="80"/>
      <c r="Q279" s="77"/>
      <c r="R279" s="77"/>
      <c r="S279" s="80"/>
      <c r="T279" s="80"/>
    </row>
    <row r="280" spans="1:20">
      <c r="A280" t="s">
        <v>1353</v>
      </c>
      <c r="B280" t="s">
        <v>1826</v>
      </c>
      <c r="C280">
        <v>310</v>
      </c>
      <c r="E280" s="69">
        <f t="shared" si="24"/>
        <v>3.225806451612903</v>
      </c>
      <c r="F280" s="70">
        <f t="shared" si="20"/>
        <v>9.928246360881069E-6</v>
      </c>
      <c r="G280" s="70">
        <f t="shared" si="21"/>
        <v>9.455472724648637E-7</v>
      </c>
      <c r="M280" s="70">
        <f t="shared" si="22"/>
        <v>1.3209295396334145E-13</v>
      </c>
      <c r="N280" s="206">
        <f t="shared" si="23"/>
        <v>0.53217594163994641</v>
      </c>
      <c r="O280" s="136"/>
      <c r="P280" s="80"/>
      <c r="Q280" s="77"/>
      <c r="R280" s="77"/>
      <c r="S280" s="80"/>
      <c r="T280" s="80"/>
    </row>
    <row r="281" spans="1:20">
      <c r="A281" t="s">
        <v>1354</v>
      </c>
      <c r="B281" t="s">
        <v>1827</v>
      </c>
      <c r="C281">
        <v>66</v>
      </c>
      <c r="E281" s="69">
        <f t="shared" si="24"/>
        <v>15.151515151515152</v>
      </c>
      <c r="F281" s="70">
        <f t="shared" si="20"/>
        <v>4.6632672301108051E-5</v>
      </c>
      <c r="G281" s="70">
        <f t="shared" si="21"/>
        <v>4.4412068858198146E-6</v>
      </c>
      <c r="M281" s="70">
        <f t="shared" si="22"/>
        <v>6.2043660194902815E-13</v>
      </c>
      <c r="N281" s="206">
        <f t="shared" si="23"/>
        <v>2.4996142713391425</v>
      </c>
      <c r="O281" s="136"/>
      <c r="P281" s="80"/>
      <c r="Q281" s="77"/>
      <c r="R281" s="77"/>
      <c r="S281" s="80"/>
      <c r="T281" s="80"/>
    </row>
    <row r="282" spans="1:20">
      <c r="A282" t="s">
        <v>1136</v>
      </c>
      <c r="B282" t="s">
        <v>1828</v>
      </c>
      <c r="C282">
        <v>8</v>
      </c>
      <c r="E282" s="69">
        <f t="shared" si="24"/>
        <v>125</v>
      </c>
      <c r="F282" s="70">
        <f t="shared" si="20"/>
        <v>3.8471954648414147E-4</v>
      </c>
      <c r="G282" s="70">
        <f t="shared" si="21"/>
        <v>3.6639956808013468E-5</v>
      </c>
      <c r="M282" s="70">
        <f t="shared" si="22"/>
        <v>5.1186019660794823E-12</v>
      </c>
      <c r="N282" s="206">
        <f t="shared" si="23"/>
        <v>20.621817738547929</v>
      </c>
      <c r="O282" s="136"/>
      <c r="P282" s="80"/>
      <c r="Q282" s="77"/>
      <c r="R282" s="77"/>
      <c r="S282" s="80"/>
      <c r="T282" s="80"/>
    </row>
    <row r="283" spans="1:20">
      <c r="A283" t="s">
        <v>1137</v>
      </c>
      <c r="B283" t="s">
        <v>1829</v>
      </c>
      <c r="C283">
        <v>120</v>
      </c>
      <c r="E283" s="69">
        <f t="shared" si="24"/>
        <v>8.3333333333333339</v>
      </c>
      <c r="F283" s="70">
        <f t="shared" si="20"/>
        <v>2.5647969765609433E-5</v>
      </c>
      <c r="G283" s="70">
        <f t="shared" si="21"/>
        <v>2.4426637872008984E-6</v>
      </c>
      <c r="M283" s="70">
        <f t="shared" si="22"/>
        <v>3.4124013107196547E-13</v>
      </c>
      <c r="N283" s="206">
        <f t="shared" si="23"/>
        <v>1.3747878492365286</v>
      </c>
      <c r="O283" s="136"/>
      <c r="P283" s="80"/>
      <c r="Q283" s="77"/>
      <c r="R283" s="77"/>
      <c r="S283" s="80"/>
      <c r="T283" s="80"/>
    </row>
    <row r="284" spans="1:20">
      <c r="A284" t="s">
        <v>1355</v>
      </c>
      <c r="B284" t="s">
        <v>1830</v>
      </c>
      <c r="C284">
        <v>560</v>
      </c>
      <c r="D284" t="s">
        <v>1356</v>
      </c>
      <c r="E284" s="69">
        <f t="shared" si="24"/>
        <v>1.7857142857142856</v>
      </c>
      <c r="F284" s="70">
        <f t="shared" si="20"/>
        <v>5.4959935212020208E-6</v>
      </c>
      <c r="G284" s="70">
        <f t="shared" si="21"/>
        <v>5.2342795440019248E-7</v>
      </c>
      <c r="M284" s="70">
        <f t="shared" si="22"/>
        <v>7.3122885229706892E-14</v>
      </c>
      <c r="N284" s="206">
        <f t="shared" si="23"/>
        <v>0.29459739626497039</v>
      </c>
      <c r="O284" s="136"/>
      <c r="P284" s="80"/>
      <c r="Q284" s="77"/>
      <c r="R284" s="77"/>
      <c r="S284" s="80"/>
      <c r="T284" s="80"/>
    </row>
    <row r="285" spans="1:20">
      <c r="A285" t="s">
        <v>1357</v>
      </c>
      <c r="B285" t="s">
        <v>1831</v>
      </c>
      <c r="C285">
        <v>934</v>
      </c>
      <c r="E285" s="69">
        <f t="shared" si="24"/>
        <v>1.0706638115631693</v>
      </c>
      <c r="F285" s="70">
        <f t="shared" si="20"/>
        <v>3.2952423681725183E-6</v>
      </c>
      <c r="G285" s="70">
        <f t="shared" si="21"/>
        <v>3.1383260649262079E-7</v>
      </c>
      <c r="M285" s="70">
        <f t="shared" si="22"/>
        <v>4.384241512701912E-14</v>
      </c>
      <c r="N285" s="206">
        <f t="shared" si="23"/>
        <v>0.17663227185051764</v>
      </c>
      <c r="O285" s="136"/>
      <c r="P285" s="80"/>
      <c r="Q285" s="77"/>
      <c r="R285" s="77"/>
      <c r="S285" s="80"/>
      <c r="T285" s="80"/>
    </row>
    <row r="286" spans="1:20">
      <c r="A286" t="s">
        <v>1358</v>
      </c>
      <c r="B286" t="s">
        <v>1832</v>
      </c>
      <c r="C286">
        <v>85</v>
      </c>
      <c r="E286" s="69">
        <f t="shared" si="24"/>
        <v>11.76470588235294</v>
      </c>
      <c r="F286" s="70">
        <f t="shared" si="20"/>
        <v>3.6208898492625071E-5</v>
      </c>
      <c r="G286" s="70">
        <f t="shared" si="21"/>
        <v>3.4484665231071504E-6</v>
      </c>
      <c r="M286" s="70">
        <f t="shared" si="22"/>
        <v>4.8175077327806885E-13</v>
      </c>
      <c r="N286" s="206">
        <f t="shared" si="23"/>
        <v>1.9408769636280399</v>
      </c>
      <c r="O286" s="136"/>
      <c r="P286" s="80"/>
      <c r="Q286" s="77"/>
      <c r="R286" s="77"/>
      <c r="S286" s="80"/>
      <c r="T286" s="80"/>
    </row>
    <row r="287" spans="1:20">
      <c r="A287" t="s">
        <v>1359</v>
      </c>
      <c r="B287" t="s">
        <v>1833</v>
      </c>
      <c r="C287">
        <v>602</v>
      </c>
      <c r="E287" s="69">
        <f t="shared" si="24"/>
        <v>1.6611295681063123</v>
      </c>
      <c r="F287" s="70">
        <f t="shared" si="20"/>
        <v>5.1125521127460657E-6</v>
      </c>
      <c r="G287" s="70">
        <f t="shared" si="21"/>
        <v>4.8690972502343483E-7</v>
      </c>
      <c r="M287" s="70">
        <f t="shared" si="22"/>
        <v>6.8021288585773858E-14</v>
      </c>
      <c r="N287" s="206">
        <f t="shared" si="23"/>
        <v>0.27404408954880966</v>
      </c>
      <c r="O287" s="136"/>
      <c r="P287" s="80"/>
      <c r="Q287" s="77"/>
      <c r="R287" s="77"/>
      <c r="S287" s="80"/>
      <c r="T287" s="80"/>
    </row>
    <row r="288" spans="1:20">
      <c r="A288" t="s">
        <v>1360</v>
      </c>
      <c r="B288" t="s">
        <v>1834</v>
      </c>
      <c r="C288">
        <v>900</v>
      </c>
      <c r="E288" s="69">
        <f t="shared" si="24"/>
        <v>1.1111111111111112</v>
      </c>
      <c r="F288" s="70">
        <f t="shared" si="20"/>
        <v>3.4197293020812574E-6</v>
      </c>
      <c r="G288" s="70">
        <f t="shared" si="21"/>
        <v>3.2568850496011976E-7</v>
      </c>
      <c r="M288" s="70">
        <f t="shared" si="22"/>
        <v>4.5498684142928733E-14</v>
      </c>
      <c r="N288" s="206">
        <f t="shared" si="23"/>
        <v>0.18330504656487048</v>
      </c>
      <c r="O288" s="136"/>
      <c r="P288" s="80"/>
      <c r="Q288" s="77"/>
      <c r="R288" s="77"/>
      <c r="S288" s="80"/>
      <c r="T288" s="80"/>
    </row>
    <row r="289" spans="1:24">
      <c r="A289" t="s">
        <v>1361</v>
      </c>
      <c r="B289" t="s">
        <v>1362</v>
      </c>
      <c r="C289">
        <v>75</v>
      </c>
      <c r="E289" s="69">
        <f t="shared" si="24"/>
        <v>13.333333333333334</v>
      </c>
      <c r="F289" s="70">
        <f t="shared" si="20"/>
        <v>4.1036751624975094E-5</v>
      </c>
      <c r="G289" s="70">
        <f t="shared" si="21"/>
        <v>3.9082620595214378E-6</v>
      </c>
      <c r="M289" s="70">
        <f t="shared" si="22"/>
        <v>5.4598420971514477E-13</v>
      </c>
      <c r="N289" s="206">
        <f t="shared" si="23"/>
        <v>2.1996605587784459</v>
      </c>
      <c r="O289" s="136"/>
      <c r="P289" s="80"/>
      <c r="Q289" s="77"/>
      <c r="R289" s="77"/>
      <c r="S289" s="80"/>
      <c r="T289" s="80"/>
    </row>
    <row r="290" spans="1:24">
      <c r="A290" t="s">
        <v>1138</v>
      </c>
      <c r="B290" t="s">
        <v>1835</v>
      </c>
      <c r="C290">
        <v>82</v>
      </c>
      <c r="E290" s="69">
        <f t="shared" si="24"/>
        <v>12.195121951219512</v>
      </c>
      <c r="F290" s="70">
        <f t="shared" si="20"/>
        <v>3.7533614291135755E-5</v>
      </c>
      <c r="G290" s="70">
        <f t="shared" si="21"/>
        <v>3.5746299324891194E-6</v>
      </c>
      <c r="M290" s="70">
        <f t="shared" si="22"/>
        <v>4.9937580156873E-13</v>
      </c>
      <c r="N290" s="206">
        <f t="shared" si="23"/>
        <v>2.0118846574193103</v>
      </c>
      <c r="O290" s="136"/>
      <c r="P290" s="80"/>
      <c r="Q290" s="77"/>
      <c r="R290" s="77"/>
      <c r="S290" s="80"/>
      <c r="T290" s="80"/>
    </row>
    <row r="291" spans="1:24">
      <c r="A291" t="s">
        <v>1363</v>
      </c>
      <c r="B291" t="s">
        <v>1836</v>
      </c>
      <c r="C291">
        <v>250</v>
      </c>
      <c r="D291" t="s">
        <v>1364</v>
      </c>
      <c r="E291" s="69">
        <f t="shared" si="24"/>
        <v>4</v>
      </c>
      <c r="F291" s="70">
        <f t="shared" si="20"/>
        <v>1.2311025487492526E-5</v>
      </c>
      <c r="G291" s="70">
        <f t="shared" si="21"/>
        <v>1.172478617856431E-6</v>
      </c>
      <c r="M291" s="70">
        <f t="shared" si="22"/>
        <v>1.6379526291454344E-13</v>
      </c>
      <c r="N291" s="206">
        <f t="shared" si="23"/>
        <v>0.65989816763353371</v>
      </c>
      <c r="O291" s="136"/>
      <c r="P291" s="80"/>
      <c r="Q291" s="77"/>
      <c r="R291" s="77"/>
      <c r="S291" s="80"/>
      <c r="T291" s="80"/>
    </row>
    <row r="292" spans="1:24">
      <c r="A292" t="s">
        <v>1365</v>
      </c>
      <c r="B292" t="s">
        <v>1837</v>
      </c>
      <c r="C292">
        <v>710</v>
      </c>
      <c r="E292" s="69">
        <f t="shared" si="24"/>
        <v>1.4084507042253522</v>
      </c>
      <c r="F292" s="70">
        <f t="shared" si="20"/>
        <v>4.3348681293987777E-6</v>
      </c>
      <c r="G292" s="70">
        <f t="shared" si="21"/>
        <v>4.1284458375226456E-7</v>
      </c>
      <c r="M292" s="70">
        <f t="shared" si="22"/>
        <v>5.7674388350191348E-14</v>
      </c>
      <c r="N292" s="206">
        <f t="shared" si="23"/>
        <v>0.23235850973011754</v>
      </c>
      <c r="O292" s="136"/>
      <c r="P292" s="80"/>
      <c r="Q292" s="77"/>
      <c r="R292" s="77"/>
      <c r="S292" s="80"/>
      <c r="T292" s="80"/>
    </row>
    <row r="293" spans="1:24">
      <c r="A293" t="s">
        <v>1366</v>
      </c>
      <c r="B293" t="s">
        <v>1838</v>
      </c>
      <c r="C293">
        <v>305</v>
      </c>
      <c r="E293" s="69">
        <f t="shared" si="24"/>
        <v>3.278688524590164</v>
      </c>
      <c r="F293" s="70">
        <f t="shared" si="20"/>
        <v>1.0091004497944694E-5</v>
      </c>
      <c r="G293" s="70">
        <f t="shared" si="21"/>
        <v>9.6104804742330419E-7</v>
      </c>
      <c r="M293" s="70">
        <f t="shared" si="22"/>
        <v>1.3425841222503559E-13</v>
      </c>
      <c r="N293" s="206">
        <f t="shared" si="23"/>
        <v>0.5409001374045358</v>
      </c>
      <c r="O293" s="136"/>
      <c r="P293" s="80"/>
      <c r="Q293" s="77"/>
      <c r="R293" s="77"/>
      <c r="S293" s="80"/>
      <c r="T293" s="80"/>
    </row>
    <row r="294" spans="1:24">
      <c r="A294" t="s">
        <v>1367</v>
      </c>
      <c r="B294" t="s">
        <v>1839</v>
      </c>
      <c r="C294">
        <v>650</v>
      </c>
      <c r="E294" s="69">
        <f t="shared" si="24"/>
        <v>1.5384615384615385</v>
      </c>
      <c r="F294" s="70">
        <f t="shared" si="20"/>
        <v>4.7350098028817411E-6</v>
      </c>
      <c r="G294" s="70">
        <f t="shared" si="21"/>
        <v>4.5095331456016581E-7</v>
      </c>
      <c r="M294" s="70">
        <f t="shared" si="22"/>
        <v>6.2998178044055177E-14</v>
      </c>
      <c r="N294" s="206">
        <f t="shared" si="23"/>
        <v>0.25380698755135911</v>
      </c>
      <c r="O294" s="136"/>
      <c r="P294" s="80"/>
      <c r="Q294" s="77"/>
      <c r="R294" s="77"/>
      <c r="S294" s="80"/>
      <c r="T294" s="80"/>
    </row>
    <row r="295" spans="1:24">
      <c r="A295" t="s">
        <v>1368</v>
      </c>
      <c r="B295" t="s">
        <v>1840</v>
      </c>
      <c r="C295">
        <v>695</v>
      </c>
      <c r="E295" s="69">
        <f t="shared" si="24"/>
        <v>1.4388489208633093</v>
      </c>
      <c r="F295" s="70">
        <f t="shared" si="20"/>
        <v>4.4284264343498295E-6</v>
      </c>
      <c r="G295" s="70">
        <f t="shared" si="21"/>
        <v>4.2175489850950758E-7</v>
      </c>
      <c r="M295" s="70">
        <f t="shared" si="22"/>
        <v>5.8919159321778215E-14</v>
      </c>
      <c r="N295" s="206">
        <f t="shared" si="23"/>
        <v>0.23737344159479629</v>
      </c>
      <c r="O295" s="136"/>
      <c r="P295" s="80"/>
      <c r="Q295" s="77"/>
      <c r="R295" s="77"/>
      <c r="S295" s="80"/>
      <c r="T295" s="80"/>
    </row>
    <row r="296" spans="1:24">
      <c r="A296" t="s">
        <v>1369</v>
      </c>
      <c r="B296" t="s">
        <v>1841</v>
      </c>
      <c r="C296">
        <v>1790</v>
      </c>
      <c r="E296" s="69">
        <f t="shared" si="24"/>
        <v>0.55865921787709494</v>
      </c>
      <c r="F296" s="70">
        <f t="shared" si="20"/>
        <v>1.719416967526889E-6</v>
      </c>
      <c r="G296" s="70">
        <f t="shared" si="21"/>
        <v>1.6375399690732278E-7</v>
      </c>
      <c r="M296" s="70">
        <f t="shared" si="22"/>
        <v>2.2876433367952994E-14</v>
      </c>
      <c r="N296" s="206">
        <f t="shared" si="23"/>
        <v>9.2164548552169503E-2</v>
      </c>
      <c r="O296" s="136"/>
      <c r="P296" s="80"/>
      <c r="Q296" s="77"/>
      <c r="R296" s="77"/>
      <c r="S296" s="80"/>
      <c r="T296" s="80"/>
    </row>
    <row r="297" spans="1:24">
      <c r="A297" t="s">
        <v>1139</v>
      </c>
      <c r="B297" t="s">
        <v>1842</v>
      </c>
      <c r="C297">
        <v>103</v>
      </c>
      <c r="E297" s="69">
        <f t="shared" si="24"/>
        <v>9.7087378640776691</v>
      </c>
      <c r="F297" s="70">
        <f t="shared" si="20"/>
        <v>2.9881129824010985E-5</v>
      </c>
      <c r="G297" s="70">
        <f t="shared" si="21"/>
        <v>2.8458218880010462E-6</v>
      </c>
      <c r="M297" s="70">
        <f t="shared" si="22"/>
        <v>3.9756131775374615E-13</v>
      </c>
      <c r="N297" s="206">
        <f t="shared" si="23"/>
        <v>1.6016945816347903</v>
      </c>
      <c r="O297" s="136"/>
      <c r="P297" s="80"/>
      <c r="Q297" s="77"/>
      <c r="R297" s="77"/>
      <c r="S297" s="80"/>
      <c r="T297" s="80"/>
    </row>
    <row r="298" spans="1:24">
      <c r="A298" t="s">
        <v>1140</v>
      </c>
      <c r="B298" t="s">
        <v>1843</v>
      </c>
      <c r="C298">
        <v>10</v>
      </c>
      <c r="E298" s="69">
        <f t="shared" si="24"/>
        <v>100</v>
      </c>
      <c r="F298" s="70">
        <f t="shared" si="20"/>
        <v>3.0777563718731315E-4</v>
      </c>
      <c r="G298" s="70">
        <f t="shared" si="21"/>
        <v>2.9311965446410776E-5</v>
      </c>
      <c r="M298" s="70">
        <f t="shared" si="22"/>
        <v>4.0948815728635857E-12</v>
      </c>
      <c r="N298" s="206">
        <f t="shared" si="23"/>
        <v>16.497454190838344</v>
      </c>
      <c r="O298" s="136"/>
      <c r="P298" s="80"/>
      <c r="Q298" s="77"/>
      <c r="R298" s="77"/>
      <c r="S298" s="80"/>
      <c r="T298" s="80"/>
    </row>
    <row r="299" spans="1:24">
      <c r="A299" t="s">
        <v>1370</v>
      </c>
      <c r="B299" t="s">
        <v>1844</v>
      </c>
      <c r="C299">
        <v>542</v>
      </c>
      <c r="E299" s="69">
        <f t="shared" si="24"/>
        <v>1.8450184501845017</v>
      </c>
      <c r="F299" s="70">
        <f t="shared" si="20"/>
        <v>5.6785172912788399E-6</v>
      </c>
      <c r="G299" s="70">
        <f t="shared" si="21"/>
        <v>5.4081117059798487E-7</v>
      </c>
      <c r="M299" s="70">
        <f t="shared" si="22"/>
        <v>7.555132053253847E-14</v>
      </c>
      <c r="N299" s="206">
        <f t="shared" si="23"/>
        <v>0.30438107363170364</v>
      </c>
      <c r="O299" s="136"/>
      <c r="P299" s="80"/>
      <c r="Q299" s="77"/>
      <c r="R299" s="77"/>
      <c r="S299" s="80"/>
      <c r="T299" s="80"/>
    </row>
    <row r="300" spans="1:24">
      <c r="A300" t="s">
        <v>1371</v>
      </c>
      <c r="B300" s="79" t="s">
        <v>1564</v>
      </c>
      <c r="C300">
        <v>380</v>
      </c>
      <c r="E300" s="69">
        <f t="shared" si="24"/>
        <v>2.6315789473684208</v>
      </c>
      <c r="F300" s="70">
        <f t="shared" si="20"/>
        <v>8.0993588733503465E-6</v>
      </c>
      <c r="G300" s="70">
        <f t="shared" si="21"/>
        <v>7.7136751174765208E-7</v>
      </c>
      <c r="M300" s="70">
        <f t="shared" si="22"/>
        <v>1.0776004139114697E-13</v>
      </c>
      <c r="N300" s="206">
        <f t="shared" si="23"/>
        <v>0.43414353133785111</v>
      </c>
      <c r="O300" s="136"/>
      <c r="P300" s="80"/>
      <c r="Q300" s="77"/>
      <c r="R300" s="77"/>
      <c r="S300" s="80"/>
      <c r="T300" s="80"/>
    </row>
    <row r="301" spans="1:24">
      <c r="A301" t="s">
        <v>1098</v>
      </c>
      <c r="B301" t="s">
        <v>1637</v>
      </c>
      <c r="C301">
        <v>86</v>
      </c>
      <c r="E301" s="69">
        <f t="shared" si="24"/>
        <v>11.627906976744185</v>
      </c>
      <c r="F301" s="70">
        <f t="shared" si="20"/>
        <v>3.5787864789222459E-5</v>
      </c>
      <c r="G301" s="70">
        <f t="shared" si="21"/>
        <v>3.4083680751640438E-6</v>
      </c>
      <c r="M301" s="70">
        <f t="shared" si="22"/>
        <v>4.7614902010041697E-13</v>
      </c>
      <c r="N301" s="206">
        <f t="shared" si="23"/>
        <v>1.9183086268416676</v>
      </c>
      <c r="O301" s="136"/>
      <c r="P301" s="80"/>
      <c r="Q301" s="77"/>
      <c r="R301" s="77"/>
      <c r="S301" s="80"/>
      <c r="T301" s="80"/>
    </row>
    <row r="302" spans="1:24">
      <c r="A302" t="s">
        <v>1141</v>
      </c>
      <c r="B302" t="s">
        <v>1845</v>
      </c>
      <c r="C302">
        <v>45</v>
      </c>
      <c r="E302" s="69">
        <f t="shared" si="24"/>
        <v>22.222222222222221</v>
      </c>
      <c r="F302" s="70">
        <f t="shared" si="20"/>
        <v>6.839458604162515E-5</v>
      </c>
      <c r="G302" s="70">
        <f t="shared" si="21"/>
        <v>6.5137700992023954E-6</v>
      </c>
      <c r="M302" s="70">
        <f t="shared" si="22"/>
        <v>9.0997368285857459E-13</v>
      </c>
      <c r="N302" s="206">
        <f t="shared" si="23"/>
        <v>3.6661009312974095</v>
      </c>
      <c r="O302" s="136"/>
      <c r="P302" s="80"/>
      <c r="Q302" s="77"/>
      <c r="R302" s="77"/>
      <c r="S302" s="80"/>
      <c r="T302" s="80"/>
    </row>
    <row r="303" spans="1:24">
      <c r="A303" t="s">
        <v>1372</v>
      </c>
      <c r="B303" t="s">
        <v>1846</v>
      </c>
      <c r="C303">
        <v>1400</v>
      </c>
      <c r="D303" t="s">
        <v>1356</v>
      </c>
      <c r="E303" s="69">
        <f t="shared" si="24"/>
        <v>0.7142857142857143</v>
      </c>
      <c r="F303" s="70">
        <f t="shared" si="20"/>
        <v>2.1983974084808084E-6</v>
      </c>
      <c r="G303" s="70">
        <f t="shared" si="21"/>
        <v>2.0937118176007699E-7</v>
      </c>
      <c r="M303" s="70">
        <f t="shared" si="22"/>
        <v>2.9249154091882759E-14</v>
      </c>
      <c r="N303" s="206">
        <f t="shared" si="23"/>
        <v>0.11783895850598816</v>
      </c>
      <c r="O303" s="136"/>
      <c r="P303" s="80"/>
      <c r="Q303" s="77"/>
      <c r="R303" s="77"/>
      <c r="S303" s="80"/>
      <c r="T303" s="80"/>
      <c r="V303" s="45"/>
      <c r="W303" s="45" t="s">
        <v>1565</v>
      </c>
      <c r="X303" s="45" t="s">
        <v>1565</v>
      </c>
    </row>
    <row r="304" spans="1:24">
      <c r="D304" s="45" t="s">
        <v>250</v>
      </c>
      <c r="E304" s="69">
        <f>AVERAGE(E2:E303)</f>
        <v>86.734984933166373</v>
      </c>
    </row>
  </sheetData>
  <autoFilter ref="A1:O304" xr:uid="{00000000-0009-0000-0000-00000B000000}"/>
  <phoneticPr fontId="0" type="noConversion"/>
  <pageMargins left="0.75" right="0.75" top="1" bottom="1" header="0.5" footer="0.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workbookViewId="0">
      <selection activeCell="L190" sqref="L190"/>
    </sheetView>
  </sheetViews>
  <sheetFormatPr baseColWidth="10" defaultColWidth="8.83203125" defaultRowHeight="13"/>
  <cols>
    <col min="1" max="1" width="44.6640625" bestFit="1" customWidth="1"/>
    <col min="2" max="3" width="11" bestFit="1" customWidth="1"/>
    <col min="6" max="6" width="9.83203125" customWidth="1"/>
    <col min="7" max="7" width="11.83203125" customWidth="1"/>
    <col min="8" max="8" width="10.5" customWidth="1"/>
    <col min="9" max="9" width="11.1640625" customWidth="1"/>
    <col min="10" max="10" width="10.1640625" customWidth="1"/>
  </cols>
  <sheetData>
    <row r="1" spans="1:13" ht="70">
      <c r="A1" s="6" t="s">
        <v>499</v>
      </c>
      <c r="B1" t="s">
        <v>665</v>
      </c>
      <c r="C1" s="5" t="s">
        <v>293</v>
      </c>
      <c r="D1" t="s">
        <v>1</v>
      </c>
      <c r="E1" s="7" t="s">
        <v>500</v>
      </c>
      <c r="F1" s="46" t="s">
        <v>556</v>
      </c>
      <c r="G1" s="75" t="s">
        <v>1549</v>
      </c>
      <c r="H1" s="6" t="s">
        <v>501</v>
      </c>
      <c r="I1" s="6" t="s">
        <v>502</v>
      </c>
      <c r="J1" s="46" t="s">
        <v>1482</v>
      </c>
      <c r="K1" s="46"/>
    </row>
    <row r="2" spans="1:13">
      <c r="E2" t="s">
        <v>4</v>
      </c>
      <c r="G2" t="s">
        <v>1550</v>
      </c>
      <c r="I2" s="45" t="s">
        <v>1480</v>
      </c>
      <c r="M2" s="55"/>
    </row>
    <row r="4" spans="1:13">
      <c r="A4" s="45" t="s">
        <v>1479</v>
      </c>
      <c r="B4" t="s">
        <v>4</v>
      </c>
      <c r="C4" t="s">
        <v>5</v>
      </c>
      <c r="D4" t="s">
        <v>1478</v>
      </c>
      <c r="E4" s="1">
        <f>6/1000*7200000000*0.3*0.1</f>
        <v>1296000</v>
      </c>
      <c r="G4">
        <f>1/58300000000000000</f>
        <v>1.7152658662092623E-17</v>
      </c>
      <c r="I4" s="70">
        <f>E4*G4</f>
        <v>2.222984562607204E-11</v>
      </c>
      <c r="J4" s="70">
        <f>I4*YOLLvalue</f>
        <v>1.1114922813036019E-6</v>
      </c>
    </row>
    <row r="8" spans="1:13">
      <c r="A8" s="56"/>
    </row>
    <row r="9" spans="1:13">
      <c r="A9" s="56"/>
      <c r="B9" s="45"/>
      <c r="C9" s="45"/>
      <c r="G9" s="1"/>
    </row>
    <row r="10" spans="1:13">
      <c r="A10" s="56"/>
    </row>
    <row r="11" spans="1:13">
      <c r="A11" s="56"/>
      <c r="B11" s="45"/>
      <c r="C11" s="45"/>
    </row>
    <row r="12" spans="1:13">
      <c r="A12" s="56"/>
      <c r="B12" s="45"/>
      <c r="C12" s="45"/>
      <c r="D12" s="45"/>
    </row>
    <row r="13" spans="1:13">
      <c r="A13" s="45" t="s">
        <v>1481</v>
      </c>
    </row>
    <row r="14" spans="1:13">
      <c r="A14" s="56"/>
    </row>
    <row r="15" spans="1:13">
      <c r="A15" s="56"/>
    </row>
    <row r="16" spans="1:13">
      <c r="A16" s="56"/>
    </row>
    <row r="17" spans="1:1">
      <c r="A17" s="56"/>
    </row>
    <row r="18" spans="1:1">
      <c r="A18" s="56"/>
    </row>
    <row r="19" spans="1:1">
      <c r="A19" s="56"/>
    </row>
    <row r="20" spans="1:1">
      <c r="A20" s="56"/>
    </row>
    <row r="21" spans="1:1">
      <c r="A21" s="56"/>
    </row>
    <row r="22" spans="1:1">
      <c r="A22" s="56"/>
    </row>
    <row r="23" spans="1:1">
      <c r="A23" s="56"/>
    </row>
    <row r="24" spans="1:1">
      <c r="A24" s="56"/>
    </row>
    <row r="25" spans="1:1">
      <c r="A25" s="56"/>
    </row>
    <row r="26" spans="1:1">
      <c r="A26" s="56"/>
    </row>
    <row r="27" spans="1:1">
      <c r="A27" s="56"/>
    </row>
    <row r="28" spans="1:1">
      <c r="A28" s="56"/>
    </row>
  </sheetData>
  <pageMargins left="0.7" right="0.7" top="0.75" bottom="0.75" header="0.3" footer="0.3"/>
  <pageSetup paperSize="0" orientation="portrait"/>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3"/>
  <sheetViews>
    <sheetView workbookViewId="0">
      <selection activeCell="K8" sqref="K8"/>
    </sheetView>
  </sheetViews>
  <sheetFormatPr baseColWidth="10" defaultColWidth="8.83203125" defaultRowHeight="13"/>
  <cols>
    <col min="3" max="3" width="10.5" customWidth="1"/>
    <col min="15" max="15" width="12" bestFit="1" customWidth="1"/>
  </cols>
  <sheetData>
    <row r="1" spans="1:24" ht="18">
      <c r="A1" s="2" t="s">
        <v>1430</v>
      </c>
      <c r="H1" s="8"/>
      <c r="I1" s="8"/>
      <c r="J1" s="218"/>
      <c r="K1" s="218"/>
      <c r="L1" s="218"/>
      <c r="M1" s="218"/>
      <c r="N1" s="8"/>
      <c r="O1" s="8"/>
      <c r="P1" s="8"/>
      <c r="Q1" s="8"/>
      <c r="R1" s="8"/>
      <c r="S1" s="8"/>
      <c r="T1" s="8"/>
      <c r="U1" s="8"/>
      <c r="V1" s="8"/>
      <c r="W1" s="8"/>
      <c r="X1" s="8"/>
    </row>
    <row r="2" spans="1:24" ht="42">
      <c r="C2" s="46" t="s">
        <v>1426</v>
      </c>
      <c r="E2" s="45" t="s">
        <v>4</v>
      </c>
      <c r="F2" s="46" t="s">
        <v>1432</v>
      </c>
      <c r="G2" s="202" t="s">
        <v>1433</v>
      </c>
      <c r="H2" s="8"/>
      <c r="I2" s="8"/>
      <c r="J2" s="8"/>
      <c r="K2" s="8"/>
      <c r="L2" s="8"/>
      <c r="M2" s="8"/>
      <c r="N2" s="8"/>
      <c r="O2" s="87"/>
      <c r="P2" s="178"/>
      <c r="Q2" s="179"/>
      <c r="R2" s="179"/>
      <c r="S2" s="179"/>
      <c r="T2" s="8"/>
      <c r="U2" s="8"/>
      <c r="V2" s="8"/>
      <c r="W2" s="8"/>
      <c r="X2" s="8"/>
    </row>
    <row r="3" spans="1:24">
      <c r="C3" s="45" t="s">
        <v>1428</v>
      </c>
      <c r="G3" s="48"/>
      <c r="H3" s="8"/>
      <c r="I3" s="8"/>
      <c r="J3" s="8"/>
      <c r="K3" s="48"/>
      <c r="L3" s="8"/>
      <c r="M3" s="8"/>
      <c r="N3" s="8"/>
      <c r="O3" s="8"/>
      <c r="P3" s="8"/>
      <c r="Q3" s="8"/>
      <c r="R3" s="8"/>
      <c r="S3" s="8"/>
      <c r="T3" s="8"/>
      <c r="U3" s="48"/>
      <c r="V3" s="8"/>
      <c r="W3" s="8"/>
      <c r="X3" s="8"/>
    </row>
    <row r="4" spans="1:24">
      <c r="A4" s="45" t="s">
        <v>1423</v>
      </c>
      <c r="C4">
        <v>85</v>
      </c>
      <c r="E4">
        <f>0.05*C4*24</f>
        <v>102</v>
      </c>
      <c r="F4">
        <f>C4*0.12*5</f>
        <v>51</v>
      </c>
      <c r="G4" s="180">
        <f t="shared" ref="G4:G14" si="0">E4*YOLLvalue+F4*cancervalue</f>
        <v>5610000</v>
      </c>
      <c r="H4" s="8"/>
      <c r="I4" s="8"/>
      <c r="J4" s="8"/>
      <c r="K4" s="180"/>
      <c r="L4" s="8"/>
      <c r="M4" s="8"/>
      <c r="N4" s="87"/>
      <c r="O4" s="8"/>
      <c r="P4" s="8"/>
      <c r="Q4" s="8"/>
      <c r="R4" s="8"/>
      <c r="S4" s="8"/>
      <c r="T4" s="8"/>
      <c r="U4" s="8"/>
      <c r="V4" s="8"/>
      <c r="W4" s="8"/>
      <c r="X4" s="8"/>
    </row>
    <row r="5" spans="1:24">
      <c r="A5" s="45" t="s">
        <v>1422</v>
      </c>
      <c r="C5">
        <v>1.1999999999999999E-3</v>
      </c>
      <c r="E5">
        <f t="shared" ref="E5:E14" si="1">0.05*C5*24</f>
        <v>1.4399999999999999E-3</v>
      </c>
      <c r="F5">
        <f t="shared" ref="F5:F14" si="2">C5*0.12*5</f>
        <v>7.1999999999999994E-4</v>
      </c>
      <c r="G5" s="180">
        <f t="shared" si="0"/>
        <v>79.2</v>
      </c>
      <c r="H5" s="8"/>
      <c r="I5" s="8"/>
      <c r="J5" s="8"/>
      <c r="K5" s="180"/>
      <c r="L5" s="8"/>
      <c r="M5" s="8"/>
      <c r="N5" s="87"/>
      <c r="O5" s="8"/>
      <c r="P5" s="8"/>
      <c r="Q5" s="8"/>
      <c r="R5" s="8"/>
      <c r="S5" s="8"/>
      <c r="T5" s="8"/>
      <c r="U5" s="8"/>
      <c r="V5" s="8"/>
      <c r="W5" s="8"/>
      <c r="X5" s="8"/>
    </row>
    <row r="6" spans="1:24">
      <c r="A6" s="45" t="s">
        <v>1425</v>
      </c>
      <c r="C6">
        <v>4</v>
      </c>
      <c r="E6">
        <f t="shared" si="1"/>
        <v>4.8000000000000007</v>
      </c>
      <c r="F6">
        <f t="shared" si="2"/>
        <v>2.4</v>
      </c>
      <c r="G6" s="180">
        <f t="shared" si="0"/>
        <v>264000</v>
      </c>
      <c r="H6" s="4"/>
      <c r="I6" s="8"/>
      <c r="J6" s="8"/>
      <c r="K6" s="4"/>
      <c r="L6" s="8"/>
      <c r="M6" s="8"/>
      <c r="N6" s="8"/>
      <c r="O6" s="8"/>
      <c r="P6" s="8"/>
      <c r="Q6" s="8"/>
      <c r="R6" s="8"/>
      <c r="S6" s="8"/>
      <c r="T6" s="8"/>
      <c r="U6" s="8"/>
      <c r="V6" s="8"/>
      <c r="W6" s="8"/>
      <c r="X6" s="8"/>
    </row>
    <row r="7" spans="1:24">
      <c r="A7" s="45" t="s">
        <v>1424</v>
      </c>
      <c r="C7" s="1">
        <v>2E-3</v>
      </c>
      <c r="E7" s="1">
        <f>0.05*C7*24</f>
        <v>2.4000000000000002E-3</v>
      </c>
      <c r="F7">
        <f t="shared" si="2"/>
        <v>1.2000000000000001E-3</v>
      </c>
      <c r="G7" s="180">
        <f>E7*YOLLvalue+F7*cancervalue</f>
        <v>132.00000000000003</v>
      </c>
      <c r="H7" s="181"/>
      <c r="I7" s="8"/>
      <c r="J7" s="8"/>
      <c r="K7" s="4"/>
      <c r="L7" s="8"/>
      <c r="M7" s="8"/>
      <c r="N7" s="8"/>
      <c r="O7" s="8"/>
      <c r="P7" s="8"/>
      <c r="Q7" s="8"/>
      <c r="R7" s="8"/>
      <c r="S7" s="8"/>
      <c r="T7" s="8"/>
      <c r="U7" s="8"/>
      <c r="V7" s="8"/>
      <c r="W7" s="8"/>
      <c r="X7" s="8"/>
    </row>
    <row r="8" spans="1:24">
      <c r="A8" s="45" t="s">
        <v>1415</v>
      </c>
      <c r="C8">
        <v>1</v>
      </c>
      <c r="E8">
        <f t="shared" si="1"/>
        <v>1.2000000000000002</v>
      </c>
      <c r="F8">
        <f t="shared" si="2"/>
        <v>0.6</v>
      </c>
      <c r="G8" s="180">
        <f t="shared" si="0"/>
        <v>66000</v>
      </c>
      <c r="H8" s="8"/>
      <c r="I8" s="48"/>
      <c r="J8" s="8"/>
      <c r="K8" s="4"/>
      <c r="L8" s="8"/>
      <c r="M8" s="8"/>
      <c r="N8" s="8"/>
      <c r="O8" s="8"/>
      <c r="P8" s="8"/>
      <c r="Q8" s="8"/>
      <c r="R8" s="8"/>
      <c r="S8" s="8"/>
      <c r="T8" s="8"/>
      <c r="U8" s="8"/>
      <c r="V8" s="8"/>
      <c r="W8" s="8"/>
      <c r="X8" s="8"/>
    </row>
    <row r="9" spans="1:24">
      <c r="A9" s="45" t="s">
        <v>1416</v>
      </c>
      <c r="C9">
        <v>1</v>
      </c>
      <c r="E9">
        <f t="shared" si="1"/>
        <v>1.2000000000000002</v>
      </c>
      <c r="F9">
        <f t="shared" si="2"/>
        <v>0.6</v>
      </c>
      <c r="G9" s="180">
        <f t="shared" si="0"/>
        <v>66000</v>
      </c>
      <c r="H9" s="8"/>
      <c r="I9" s="8"/>
      <c r="J9" s="8"/>
      <c r="K9" s="4"/>
      <c r="L9" s="8"/>
      <c r="M9" s="8"/>
      <c r="N9" s="8"/>
      <c r="O9" s="8"/>
      <c r="P9" s="8"/>
      <c r="Q9" s="8"/>
      <c r="R9" s="8"/>
      <c r="S9" s="8"/>
      <c r="T9" s="8"/>
      <c r="U9" s="8"/>
      <c r="V9" s="8"/>
      <c r="W9" s="8"/>
      <c r="X9" s="8"/>
    </row>
    <row r="10" spans="1:24">
      <c r="A10" s="45" t="s">
        <v>1418</v>
      </c>
      <c r="C10">
        <v>0.6</v>
      </c>
      <c r="E10">
        <f t="shared" si="1"/>
        <v>0.72</v>
      </c>
      <c r="F10">
        <f t="shared" si="2"/>
        <v>0.36</v>
      </c>
      <c r="G10" s="180">
        <f t="shared" si="0"/>
        <v>39600</v>
      </c>
      <c r="H10" s="8"/>
      <c r="I10" s="8"/>
      <c r="J10" s="8"/>
      <c r="K10" s="4"/>
      <c r="L10" s="8"/>
      <c r="M10" s="8"/>
      <c r="N10" s="8"/>
      <c r="O10" s="8"/>
      <c r="P10" s="8"/>
      <c r="Q10" s="8"/>
      <c r="R10" s="8"/>
      <c r="S10" s="8"/>
      <c r="T10" s="8"/>
      <c r="U10" s="8"/>
      <c r="V10" s="8"/>
      <c r="W10" s="8"/>
      <c r="X10" s="8"/>
    </row>
    <row r="11" spans="1:24">
      <c r="A11" s="45" t="s">
        <v>1417</v>
      </c>
      <c r="C11">
        <v>1.4999999999999999E-2</v>
      </c>
      <c r="E11">
        <f t="shared" si="1"/>
        <v>1.8000000000000002E-2</v>
      </c>
      <c r="F11">
        <f t="shared" si="2"/>
        <v>8.9999999999999993E-3</v>
      </c>
      <c r="G11" s="180">
        <f t="shared" si="0"/>
        <v>990.00000000000011</v>
      </c>
      <c r="H11" s="8"/>
      <c r="I11" s="8"/>
      <c r="J11" s="8"/>
      <c r="K11" s="4"/>
      <c r="L11" s="8"/>
      <c r="M11" s="8"/>
      <c r="N11" s="8"/>
      <c r="O11" s="8"/>
      <c r="P11" s="8"/>
      <c r="Q11" s="8"/>
      <c r="R11" s="8"/>
      <c r="S11" s="8"/>
      <c r="T11" s="8"/>
      <c r="U11" s="8"/>
      <c r="V11" s="8"/>
      <c r="W11" s="8"/>
      <c r="X11" s="8"/>
    </row>
    <row r="12" spans="1:24">
      <c r="A12" s="45" t="s">
        <v>1419</v>
      </c>
      <c r="C12">
        <v>30</v>
      </c>
      <c r="E12">
        <f t="shared" si="1"/>
        <v>36</v>
      </c>
      <c r="F12">
        <f t="shared" si="2"/>
        <v>18</v>
      </c>
      <c r="G12" s="180">
        <f t="shared" si="0"/>
        <v>1980000</v>
      </c>
      <c r="H12" s="8"/>
      <c r="I12" s="8"/>
      <c r="J12" s="8"/>
      <c r="K12" s="4"/>
      <c r="L12" s="8"/>
      <c r="M12" s="8"/>
      <c r="N12" s="8"/>
      <c r="O12" s="8"/>
      <c r="P12" s="8"/>
      <c r="Q12" s="8"/>
      <c r="R12" s="8"/>
      <c r="S12" s="8"/>
      <c r="T12" s="8"/>
      <c r="U12" s="8"/>
      <c r="V12" s="8"/>
      <c r="W12" s="8"/>
      <c r="X12" s="8"/>
    </row>
    <row r="13" spans="1:24">
      <c r="A13" s="45" t="s">
        <v>1420</v>
      </c>
      <c r="C13">
        <v>8</v>
      </c>
      <c r="E13">
        <f t="shared" si="1"/>
        <v>9.6000000000000014</v>
      </c>
      <c r="F13">
        <f t="shared" si="2"/>
        <v>4.8</v>
      </c>
      <c r="G13" s="180">
        <f t="shared" si="0"/>
        <v>528000</v>
      </c>
      <c r="H13" s="8"/>
      <c r="I13" s="8"/>
      <c r="J13" s="8"/>
      <c r="K13" s="4"/>
      <c r="L13" s="8"/>
      <c r="M13" s="8"/>
      <c r="N13" s="8"/>
      <c r="O13" s="8"/>
      <c r="P13" s="8"/>
      <c r="Q13" s="8"/>
      <c r="R13" s="8"/>
      <c r="S13" s="8"/>
      <c r="T13" s="8"/>
      <c r="U13" s="8"/>
      <c r="V13" s="8"/>
      <c r="W13" s="8"/>
      <c r="X13" s="8"/>
    </row>
    <row r="14" spans="1:24">
      <c r="A14" s="45" t="s">
        <v>1421</v>
      </c>
      <c r="C14">
        <v>7</v>
      </c>
      <c r="E14">
        <f t="shared" si="1"/>
        <v>8.4</v>
      </c>
      <c r="F14">
        <f t="shared" si="2"/>
        <v>4.2</v>
      </c>
      <c r="G14" s="180">
        <f t="shared" si="0"/>
        <v>462000</v>
      </c>
      <c r="H14" s="8"/>
      <c r="I14" s="8"/>
      <c r="J14" s="8"/>
      <c r="K14" s="4"/>
      <c r="L14" s="8"/>
      <c r="M14" s="8"/>
      <c r="N14" s="8"/>
      <c r="O14" s="8"/>
      <c r="P14" s="8"/>
      <c r="Q14" s="8"/>
      <c r="R14" s="8"/>
      <c r="S14" s="8"/>
      <c r="T14" s="8"/>
      <c r="U14" s="8"/>
      <c r="V14" s="8"/>
      <c r="W14" s="8"/>
      <c r="X14" s="8"/>
    </row>
    <row r="15" spans="1:24">
      <c r="H15" s="8"/>
      <c r="I15" s="8"/>
      <c r="J15" s="8"/>
      <c r="K15" s="8"/>
      <c r="L15" s="8"/>
      <c r="M15" s="8"/>
      <c r="N15" s="8"/>
      <c r="O15" s="8"/>
      <c r="P15" s="8"/>
      <c r="Q15" s="8"/>
      <c r="R15" s="8"/>
      <c r="S15" s="8"/>
      <c r="T15" s="8"/>
      <c r="U15" s="8"/>
      <c r="V15" s="8"/>
      <c r="W15" s="8"/>
      <c r="X15" s="8"/>
    </row>
    <row r="16" spans="1:24">
      <c r="A16" s="2" t="s">
        <v>1431</v>
      </c>
      <c r="H16" s="8"/>
      <c r="I16" s="8"/>
      <c r="J16" s="8"/>
      <c r="K16" s="8"/>
      <c r="L16" s="8"/>
      <c r="M16" s="8"/>
      <c r="N16" s="8"/>
      <c r="O16" s="8"/>
      <c r="P16" s="8"/>
      <c r="Q16" s="8"/>
      <c r="R16" s="8"/>
      <c r="S16" s="8"/>
      <c r="T16" s="8"/>
      <c r="U16" s="8"/>
      <c r="V16" s="8"/>
      <c r="W16" s="8"/>
      <c r="X16" s="8"/>
    </row>
    <row r="17" spans="1:24">
      <c r="A17" s="45" t="s">
        <v>1415</v>
      </c>
      <c r="D17" s="45" t="s">
        <v>1429</v>
      </c>
      <c r="H17" s="8"/>
      <c r="I17" s="8"/>
      <c r="J17" s="8"/>
      <c r="K17" s="8"/>
      <c r="L17" s="8"/>
      <c r="M17" s="8"/>
      <c r="N17" s="8"/>
      <c r="O17" s="8"/>
      <c r="P17" s="8"/>
      <c r="Q17" s="8"/>
      <c r="R17" s="8"/>
      <c r="S17" s="8"/>
      <c r="T17" s="8"/>
      <c r="U17" s="8"/>
      <c r="V17" s="8"/>
      <c r="W17" s="8"/>
      <c r="X17" s="8"/>
    </row>
    <row r="18" spans="1:24">
      <c r="A18" s="45" t="s">
        <v>1416</v>
      </c>
      <c r="D18" s="45" t="s">
        <v>1429</v>
      </c>
      <c r="H18" s="8"/>
      <c r="I18" s="8"/>
      <c r="J18" s="8"/>
      <c r="K18" s="8"/>
      <c r="L18" s="8"/>
      <c r="M18" s="8"/>
      <c r="N18" s="8"/>
      <c r="O18" s="8"/>
      <c r="P18" s="8"/>
      <c r="Q18" s="8"/>
      <c r="R18" s="8"/>
      <c r="S18" s="8"/>
      <c r="T18" s="8"/>
      <c r="U18" s="8"/>
      <c r="V18" s="8"/>
      <c r="W18" s="8"/>
      <c r="X18" s="8"/>
    </row>
    <row r="19" spans="1:24">
      <c r="A19" s="45" t="s">
        <v>1418</v>
      </c>
      <c r="D19" s="45" t="s">
        <v>1429</v>
      </c>
      <c r="H19" s="8"/>
      <c r="I19" s="8"/>
      <c r="J19" s="8"/>
      <c r="K19" s="8"/>
      <c r="L19" s="8"/>
      <c r="M19" s="8"/>
      <c r="N19" s="8"/>
      <c r="O19" s="8"/>
      <c r="P19" s="8"/>
      <c r="Q19" s="8"/>
      <c r="R19" s="8"/>
      <c r="S19" s="8"/>
      <c r="T19" s="8"/>
      <c r="U19" s="8"/>
      <c r="V19" s="8"/>
      <c r="W19" s="8"/>
      <c r="X19" s="8"/>
    </row>
    <row r="20" spans="1:24">
      <c r="A20" s="45" t="s">
        <v>1419</v>
      </c>
      <c r="D20" s="45" t="s">
        <v>1429</v>
      </c>
    </row>
    <row r="21" spans="1:24">
      <c r="A21" s="45" t="s">
        <v>1420</v>
      </c>
      <c r="D21" s="45" t="s">
        <v>1429</v>
      </c>
    </row>
    <row r="22" spans="1:24">
      <c r="A22" s="45" t="s">
        <v>1427</v>
      </c>
      <c r="D22" s="45" t="s">
        <v>1429</v>
      </c>
    </row>
    <row r="23" spans="1:24">
      <c r="A23" s="45" t="s">
        <v>1421</v>
      </c>
      <c r="D23" s="45" t="s">
        <v>1429</v>
      </c>
    </row>
  </sheetData>
  <mergeCells count="1">
    <mergeCell ref="J1:M1"/>
  </mergeCells>
  <pageMargins left="0.7" right="0.7" top="0.75" bottom="0.75" header="0.3" footer="0.3"/>
  <pageSetup paperSize="0" orientation="portrait"/>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T102"/>
  <sheetViews>
    <sheetView zoomScaleNormal="100" workbookViewId="0">
      <selection activeCell="E62" sqref="E62:E102"/>
    </sheetView>
  </sheetViews>
  <sheetFormatPr baseColWidth="10" defaultColWidth="8.83203125" defaultRowHeight="13"/>
  <cols>
    <col min="1" max="1" width="38" bestFit="1" customWidth="1"/>
    <col min="2" max="2" width="7.1640625" bestFit="1" customWidth="1"/>
    <col min="3" max="3" width="9" bestFit="1" customWidth="1"/>
    <col min="4" max="4" width="40.5" customWidth="1"/>
    <col min="5" max="5" width="18.5" customWidth="1"/>
    <col min="6" max="6" width="5.83203125" customWidth="1"/>
    <col min="7" max="7" width="10.5" customWidth="1"/>
    <col min="8" max="8" width="39.33203125" customWidth="1"/>
    <col min="9" max="9" width="10.5" customWidth="1"/>
    <col min="10" max="10" width="6.33203125" customWidth="1"/>
    <col min="11" max="11" width="12.5" bestFit="1" customWidth="1"/>
    <col min="12" max="12" width="6.5" customWidth="1"/>
    <col min="14" max="14" width="39" customWidth="1"/>
    <col min="15" max="16" width="12.5" bestFit="1" customWidth="1"/>
  </cols>
  <sheetData>
    <row r="2" spans="1:20" ht="16">
      <c r="C2" s="50"/>
      <c r="D2" s="50"/>
      <c r="E2" s="50"/>
      <c r="F2" s="50"/>
      <c r="G2" s="50"/>
      <c r="H2" s="50"/>
      <c r="I2" s="50"/>
      <c r="J2" s="50"/>
    </row>
    <row r="3" spans="1:20" ht="28">
      <c r="A3" s="2" t="s">
        <v>1038</v>
      </c>
      <c r="B3" t="s">
        <v>293</v>
      </c>
      <c r="C3" s="76" t="s">
        <v>1015</v>
      </c>
      <c r="E3" s="72" t="s">
        <v>1014</v>
      </c>
      <c r="F3" s="72"/>
      <c r="G3" t="s">
        <v>10</v>
      </c>
      <c r="I3" s="6" t="s">
        <v>1016</v>
      </c>
      <c r="J3" s="6"/>
      <c r="K3" t="s">
        <v>174</v>
      </c>
      <c r="M3" s="6" t="s">
        <v>1046</v>
      </c>
      <c r="T3" s="72"/>
    </row>
    <row r="4" spans="1:20" ht="28">
      <c r="A4" s="2"/>
      <c r="C4" s="76" t="s">
        <v>527</v>
      </c>
      <c r="D4" s="6" t="s">
        <v>1045</v>
      </c>
      <c r="E4" s="72" t="s">
        <v>7</v>
      </c>
      <c r="F4" s="6" t="s">
        <v>763</v>
      </c>
      <c r="G4" s="6" t="s">
        <v>7</v>
      </c>
      <c r="H4" s="6" t="s">
        <v>763</v>
      </c>
      <c r="I4" s="6" t="s">
        <v>7</v>
      </c>
      <c r="J4" s="6" t="s">
        <v>763</v>
      </c>
      <c r="L4" s="6" t="s">
        <v>763</v>
      </c>
      <c r="O4" s="45"/>
    </row>
    <row r="5" spans="1:20" ht="15">
      <c r="A5" s="84" t="s">
        <v>1551</v>
      </c>
      <c r="B5" s="8"/>
      <c r="C5" s="8"/>
      <c r="D5" s="8"/>
      <c r="K5" s="1"/>
      <c r="L5" s="1"/>
      <c r="M5" s="1"/>
    </row>
    <row r="6" spans="1:20">
      <c r="A6" t="s">
        <v>1040</v>
      </c>
      <c r="B6" t="s">
        <v>294</v>
      </c>
      <c r="C6" s="8">
        <f t="shared" ref="C6:C11" si="0">4400/1000000*0.0125</f>
        <v>5.5000000000000009E-5</v>
      </c>
      <c r="D6">
        <v>4</v>
      </c>
      <c r="E6">
        <f>0.6</f>
        <v>0.6</v>
      </c>
      <c r="F6">
        <v>1.5</v>
      </c>
      <c r="I6">
        <v>308</v>
      </c>
      <c r="J6">
        <v>2</v>
      </c>
      <c r="K6" s="1">
        <f>0.104/400000000000</f>
        <v>2.6E-13</v>
      </c>
      <c r="L6" s="1"/>
      <c r="M6" s="77">
        <f t="shared" ref="M6:M12" si="1">C6*working_capacity+E6*cropvalue+G6*woodvalue+I6*drinkingwatervalue+K6*speciesvalue</f>
        <v>3.9965600000000006</v>
      </c>
      <c r="Q6" s="1"/>
      <c r="R6" s="1"/>
    </row>
    <row r="7" spans="1:20">
      <c r="A7" t="s">
        <v>1039</v>
      </c>
      <c r="B7" t="s">
        <v>294</v>
      </c>
      <c r="C7" s="8">
        <f t="shared" si="0"/>
        <v>5.5000000000000009E-5</v>
      </c>
      <c r="D7">
        <v>4</v>
      </c>
      <c r="G7">
        <v>0.5</v>
      </c>
      <c r="I7">
        <v>308</v>
      </c>
      <c r="K7" s="1">
        <f>0.104/400000000000</f>
        <v>2.6E-13</v>
      </c>
      <c r="L7" s="1"/>
      <c r="M7" s="77">
        <f t="shared" si="1"/>
        <v>3.8845600000000005</v>
      </c>
    </row>
    <row r="8" spans="1:20">
      <c r="A8" t="s">
        <v>1041</v>
      </c>
      <c r="B8" t="s">
        <v>294</v>
      </c>
      <c r="C8" s="8">
        <f t="shared" si="0"/>
        <v>5.5000000000000009E-5</v>
      </c>
      <c r="D8">
        <v>4</v>
      </c>
      <c r="I8">
        <v>308</v>
      </c>
      <c r="K8" s="1">
        <f>0.104/400000000000</f>
        <v>2.6E-13</v>
      </c>
      <c r="L8" s="1"/>
      <c r="M8" s="77">
        <f t="shared" si="1"/>
        <v>3.8645600000000004</v>
      </c>
    </row>
    <row r="9" spans="1:20">
      <c r="A9" t="s">
        <v>1042</v>
      </c>
      <c r="B9" t="s">
        <v>294</v>
      </c>
      <c r="C9" s="8">
        <f t="shared" si="0"/>
        <v>5.5000000000000009E-5</v>
      </c>
      <c r="D9">
        <v>4</v>
      </c>
      <c r="E9">
        <f>0.6</f>
        <v>0.6</v>
      </c>
      <c r="F9">
        <v>1.5</v>
      </c>
      <c r="I9">
        <v>308</v>
      </c>
      <c r="K9" s="1">
        <f>0.026/200000000000</f>
        <v>1.3E-13</v>
      </c>
      <c r="L9" s="1"/>
      <c r="M9" s="77">
        <f t="shared" si="1"/>
        <v>3.9892800000000008</v>
      </c>
    </row>
    <row r="10" spans="1:20">
      <c r="A10" t="s">
        <v>1043</v>
      </c>
      <c r="B10" t="s">
        <v>294</v>
      </c>
      <c r="C10" s="8">
        <f t="shared" si="0"/>
        <v>5.5000000000000009E-5</v>
      </c>
      <c r="D10">
        <v>4</v>
      </c>
      <c r="G10">
        <v>0.5</v>
      </c>
      <c r="I10">
        <v>308</v>
      </c>
      <c r="K10" s="1">
        <f>0.026/200000000000</f>
        <v>1.3E-13</v>
      </c>
      <c r="L10" s="1"/>
      <c r="M10" s="77">
        <f t="shared" si="1"/>
        <v>3.8772800000000007</v>
      </c>
    </row>
    <row r="11" spans="1:20">
      <c r="A11" t="s">
        <v>1044</v>
      </c>
      <c r="B11" t="s">
        <v>294</v>
      </c>
      <c r="C11" s="8">
        <f t="shared" si="0"/>
        <v>5.5000000000000009E-5</v>
      </c>
      <c r="D11">
        <v>4</v>
      </c>
      <c r="I11">
        <v>308</v>
      </c>
      <c r="K11" s="1">
        <f>0.026/200000000000</f>
        <v>1.3E-13</v>
      </c>
      <c r="L11" s="1"/>
      <c r="M11" s="77">
        <f t="shared" si="1"/>
        <v>3.8572800000000007</v>
      </c>
    </row>
    <row r="12" spans="1:20">
      <c r="A12" t="s">
        <v>1023</v>
      </c>
      <c r="B12" t="s">
        <v>294</v>
      </c>
      <c r="K12" s="1">
        <f>0.037/400000000000</f>
        <v>9.2499999999999997E-14</v>
      </c>
      <c r="L12" s="1"/>
      <c r="M12" s="77">
        <f t="shared" si="1"/>
        <v>5.1799999999999997E-3</v>
      </c>
    </row>
    <row r="13" spans="1:20" ht="15">
      <c r="A13" s="84" t="s">
        <v>1552</v>
      </c>
      <c r="B13" s="8"/>
      <c r="C13" s="8"/>
      <c r="D13" s="8"/>
      <c r="K13" s="1"/>
      <c r="L13" s="1"/>
      <c r="M13" s="77"/>
    </row>
    <row r="14" spans="1:20">
      <c r="A14" t="s">
        <v>1040</v>
      </c>
      <c r="B14" t="s">
        <v>294</v>
      </c>
      <c r="C14" s="8">
        <f t="shared" ref="C14:C19" si="2">4400/1000000*0.01</f>
        <v>4.4000000000000006E-5</v>
      </c>
      <c r="D14">
        <v>4</v>
      </c>
      <c r="E14">
        <f>0.6</f>
        <v>0.6</v>
      </c>
      <c r="F14">
        <v>1.5</v>
      </c>
      <c r="I14">
        <v>308</v>
      </c>
      <c r="K14" s="1">
        <f>0.104/400000000000</f>
        <v>2.6E-13</v>
      </c>
      <c r="L14" s="1"/>
      <c r="M14" s="77">
        <f t="shared" ref="M14:M20" si="3">C14*working_capacity+E14*cropvalue+G14*woodvalue+I14*drinkingwatervalue+K14*speciesvalue</f>
        <v>3.3497600000000003</v>
      </c>
    </row>
    <row r="15" spans="1:20">
      <c r="A15" t="s">
        <v>1039</v>
      </c>
      <c r="B15" t="s">
        <v>294</v>
      </c>
      <c r="C15" s="8">
        <f t="shared" si="2"/>
        <v>4.4000000000000006E-5</v>
      </c>
      <c r="D15">
        <v>4</v>
      </c>
      <c r="G15">
        <v>0.5</v>
      </c>
      <c r="I15">
        <v>308</v>
      </c>
      <c r="K15" s="1">
        <f>0.104/400000000000</f>
        <v>2.6E-13</v>
      </c>
      <c r="L15" s="1"/>
      <c r="M15" s="77">
        <f t="shared" si="3"/>
        <v>3.2377600000000002</v>
      </c>
    </row>
    <row r="16" spans="1:20">
      <c r="A16" t="s">
        <v>1041</v>
      </c>
      <c r="B16" t="s">
        <v>294</v>
      </c>
      <c r="C16" s="8">
        <f t="shared" si="2"/>
        <v>4.4000000000000006E-5</v>
      </c>
      <c r="D16">
        <v>4</v>
      </c>
      <c r="I16">
        <v>308</v>
      </c>
      <c r="K16" s="1">
        <f>0.104/400000000000</f>
        <v>2.6E-13</v>
      </c>
      <c r="L16" s="1"/>
      <c r="M16" s="77">
        <f t="shared" si="3"/>
        <v>3.2177600000000002</v>
      </c>
    </row>
    <row r="17" spans="1:16">
      <c r="A17" t="s">
        <v>1042</v>
      </c>
      <c r="B17" t="s">
        <v>294</v>
      </c>
      <c r="C17" s="8">
        <f t="shared" si="2"/>
        <v>4.4000000000000006E-5</v>
      </c>
      <c r="D17">
        <v>4</v>
      </c>
      <c r="E17">
        <f>0.6</f>
        <v>0.6</v>
      </c>
      <c r="F17">
        <v>1.5</v>
      </c>
      <c r="I17">
        <v>308</v>
      </c>
      <c r="K17" s="1">
        <f>0.026/200000000000</f>
        <v>1.3E-13</v>
      </c>
      <c r="L17" s="1"/>
      <c r="M17" s="77">
        <f t="shared" si="3"/>
        <v>3.3424800000000006</v>
      </c>
    </row>
    <row r="18" spans="1:16">
      <c r="A18" t="s">
        <v>1043</v>
      </c>
      <c r="B18" t="s">
        <v>294</v>
      </c>
      <c r="C18" s="8">
        <f t="shared" si="2"/>
        <v>4.4000000000000006E-5</v>
      </c>
      <c r="D18">
        <v>4</v>
      </c>
      <c r="G18">
        <v>0.5</v>
      </c>
      <c r="I18">
        <v>308</v>
      </c>
      <c r="K18" s="1">
        <f>0.026/200000000000</f>
        <v>1.3E-13</v>
      </c>
      <c r="L18" s="1"/>
      <c r="M18" s="77">
        <f t="shared" si="3"/>
        <v>3.2304800000000005</v>
      </c>
    </row>
    <row r="19" spans="1:16">
      <c r="A19" t="s">
        <v>1044</v>
      </c>
      <c r="B19" t="s">
        <v>294</v>
      </c>
      <c r="C19" s="8">
        <f t="shared" si="2"/>
        <v>4.4000000000000006E-5</v>
      </c>
      <c r="D19">
        <v>4</v>
      </c>
      <c r="I19">
        <v>308</v>
      </c>
      <c r="K19" s="1">
        <f>0.026/200000000000</f>
        <v>1.3E-13</v>
      </c>
      <c r="L19" s="1"/>
      <c r="M19" s="77">
        <f t="shared" si="3"/>
        <v>3.2104800000000004</v>
      </c>
    </row>
    <row r="20" spans="1:16">
      <c r="A20" t="s">
        <v>1023</v>
      </c>
      <c r="B20" t="s">
        <v>294</v>
      </c>
      <c r="K20" s="1">
        <f>0.037/400000000000</f>
        <v>9.2499999999999997E-14</v>
      </c>
      <c r="L20" s="1"/>
      <c r="M20" s="77">
        <f t="shared" si="3"/>
        <v>5.1799999999999997E-3</v>
      </c>
    </row>
    <row r="21" spans="1:16" ht="15">
      <c r="A21" s="51" t="s">
        <v>1024</v>
      </c>
      <c r="K21" s="1"/>
      <c r="L21" s="1"/>
      <c r="M21" s="77"/>
    </row>
    <row r="22" spans="1:16">
      <c r="A22" t="s">
        <v>1025</v>
      </c>
      <c r="B22" t="s">
        <v>294</v>
      </c>
      <c r="K22" s="1">
        <f>0.164/15400000000000</f>
        <v>1.064935064935065E-14</v>
      </c>
      <c r="L22" s="1"/>
      <c r="M22" s="77">
        <f>C22*working_capacity+E22*cropvalue+G22*woodvalue+I22*drinkingwatervalue+K22*speciesvalue</f>
        <v>5.9636363636363641E-4</v>
      </c>
    </row>
    <row r="23" spans="1:16">
      <c r="A23" t="s">
        <v>1026</v>
      </c>
      <c r="B23" t="s">
        <v>294</v>
      </c>
      <c r="K23" s="1">
        <f>0.024/(120000000*10000)</f>
        <v>2E-14</v>
      </c>
      <c r="L23" s="1"/>
      <c r="M23" s="77">
        <f>C23*working_capacity+E23*cropvalue+G23*woodvalue+I23*drinkingwatervalue+K23*speciesvalue</f>
        <v>1.1199999999999999E-3</v>
      </c>
    </row>
    <row r="24" spans="1:16">
      <c r="A24" t="s">
        <v>1027</v>
      </c>
      <c r="B24" t="s">
        <v>294</v>
      </c>
      <c r="K24" s="1">
        <f>0.112/33600000000000</f>
        <v>3.3333333333333336E-15</v>
      </c>
      <c r="L24" s="1"/>
      <c r="M24" s="77">
        <f>C24*working_capacity+E24*cropvalue+G24*woodvalue+I24*drinkingwatervalue+K24*speciesvalue</f>
        <v>1.8666666666666669E-4</v>
      </c>
    </row>
    <row r="25" spans="1:16">
      <c r="A25" s="45" t="s">
        <v>1028</v>
      </c>
      <c r="B25" s="45" t="s">
        <v>1381</v>
      </c>
      <c r="C25" s="45"/>
      <c r="D25" s="88"/>
      <c r="K25" s="1">
        <f>0.0042/67000000000</f>
        <v>6.2686567164179097E-14</v>
      </c>
      <c r="L25" s="1"/>
      <c r="M25" s="77">
        <f>C25*working_capacity+E25*cropvalue+G25*woodvalue+I25*drinkingwatervalue+K25*speciesvalue</f>
        <v>3.5104477611940296E-3</v>
      </c>
      <c r="N25" s="1"/>
    </row>
    <row r="26" spans="1:16" ht="15">
      <c r="A26" s="51" t="s">
        <v>1029</v>
      </c>
      <c r="B26" s="72"/>
      <c r="K26" s="1"/>
      <c r="L26" s="1"/>
      <c r="M26" s="77"/>
      <c r="N26" s="1"/>
    </row>
    <row r="27" spans="1:16">
      <c r="A27" s="45" t="s">
        <v>1030</v>
      </c>
      <c r="B27" s="45" t="s">
        <v>1381</v>
      </c>
      <c r="D27" s="88"/>
      <c r="K27" s="1">
        <f>0.00176/3530000000000</f>
        <v>4.9858356940509914E-16</v>
      </c>
      <c r="L27" s="1"/>
      <c r="M27" s="77">
        <f>C27*working_capacity+E27*cropvalue+G27*woodvalue+I27*drinkingwatervalue+K27*speciesvalue</f>
        <v>2.7920679886685552E-5</v>
      </c>
      <c r="N27" s="1"/>
      <c r="P27" s="72"/>
    </row>
    <row r="28" spans="1:16">
      <c r="A28" s="72" t="s">
        <v>1031</v>
      </c>
      <c r="B28" t="s">
        <v>294</v>
      </c>
      <c r="C28" s="1"/>
      <c r="D28" s="1"/>
      <c r="E28" s="1"/>
      <c r="F28" s="1"/>
      <c r="G28">
        <v>0.5</v>
      </c>
      <c r="I28">
        <v>308</v>
      </c>
      <c r="K28">
        <f>0.0378/551078000000</f>
        <v>6.8592830778945993E-14</v>
      </c>
      <c r="M28" s="77">
        <f>C28*working_capacity+E28*cropvalue+G28*woodvalue+I28*drinkingwatervalue+K28*speciesvalue</f>
        <v>0.63984119852362098</v>
      </c>
    </row>
    <row r="29" spans="1:16">
      <c r="A29" t="s">
        <v>1032</v>
      </c>
      <c r="B29" t="s">
        <v>294</v>
      </c>
      <c r="K29">
        <f>0.00118/400000000000</f>
        <v>2.9500000000000002E-15</v>
      </c>
      <c r="M29" s="77">
        <f>C29*working_capacity+E29*cropvalue+G29*woodvalue+I29*drinkingwatervalue+K29*speciesvalue</f>
        <v>1.652E-4</v>
      </c>
    </row>
    <row r="30" spans="1:16" ht="15">
      <c r="A30" s="51" t="s">
        <v>1033</v>
      </c>
      <c r="M30" s="77"/>
    </row>
    <row r="31" spans="1:16">
      <c r="A31" t="s">
        <v>1034</v>
      </c>
      <c r="B31" t="s">
        <v>294</v>
      </c>
      <c r="E31">
        <v>0.6</v>
      </c>
      <c r="G31">
        <v>0.5</v>
      </c>
      <c r="I31">
        <v>308</v>
      </c>
      <c r="K31" s="1">
        <f>0.0245/6110000000</f>
        <v>4.0098199672667761E-12</v>
      </c>
      <c r="L31" s="1"/>
      <c r="M31" s="77">
        <f>C31*working_capacity+E31*cropvalue+G31*woodvalue+I31*drinkingwatervalue+K31*speciesvalue</f>
        <v>0.99254991816693949</v>
      </c>
    </row>
    <row r="32" spans="1:16">
      <c r="A32" t="s">
        <v>1035</v>
      </c>
      <c r="B32" t="s">
        <v>294</v>
      </c>
      <c r="K32" s="72">
        <f>0.0024/1400000000000</f>
        <v>1.7142857142857141E-15</v>
      </c>
      <c r="L32" s="72"/>
      <c r="M32" s="77">
        <f>C32*working_capacity+E32*cropvalue+G32*woodvalue+I32*drinkingwatervalue+K32*speciesvalue</f>
        <v>9.5999999999999989E-5</v>
      </c>
    </row>
    <row r="33" spans="1:13" ht="15">
      <c r="A33" s="51" t="s">
        <v>1036</v>
      </c>
      <c r="M33" s="77"/>
    </row>
    <row r="34" spans="1:13">
      <c r="A34" t="s">
        <v>1037</v>
      </c>
      <c r="B34" t="s">
        <v>294</v>
      </c>
      <c r="K34" s="1">
        <f>0.152/40400000000000</f>
        <v>3.7623762376237625E-15</v>
      </c>
      <c r="L34" s="1"/>
      <c r="M34" s="77">
        <f>C34*working_capacity+E34*cropvalue+G34*woodvalue+I34*drinkingwatervalue+K34*speciesvalue</f>
        <v>2.1069306930693069E-4</v>
      </c>
    </row>
    <row r="39" spans="1:13">
      <c r="A39" s="87"/>
      <c r="B39" s="8"/>
      <c r="C39" s="8"/>
      <c r="D39" s="87"/>
      <c r="E39" s="87"/>
      <c r="F39" s="87"/>
      <c r="G39" s="8"/>
      <c r="H39" s="87"/>
      <c r="I39" s="87"/>
    </row>
    <row r="40" spans="1:13" ht="15">
      <c r="C40" s="45"/>
      <c r="D40" s="48"/>
      <c r="E40" s="88"/>
      <c r="F40" s="48"/>
      <c r="H40" s="84"/>
    </row>
    <row r="41" spans="1:13">
      <c r="C41" s="45"/>
      <c r="D41" s="48"/>
      <c r="E41" s="88"/>
      <c r="F41" s="48"/>
      <c r="I41" s="85"/>
    </row>
    <row r="42" spans="1:13">
      <c r="C42" s="45"/>
      <c r="D42" s="48"/>
      <c r="E42" s="88"/>
      <c r="F42" s="48"/>
      <c r="I42" s="85"/>
    </row>
    <row r="43" spans="1:13">
      <c r="C43" s="45"/>
      <c r="D43" s="48"/>
      <c r="E43" s="88"/>
      <c r="F43" s="48"/>
      <c r="I43" s="85"/>
    </row>
    <row r="44" spans="1:13">
      <c r="C44" s="45"/>
      <c r="D44" s="48"/>
      <c r="E44" s="88"/>
      <c r="F44" s="48"/>
      <c r="I44" s="85"/>
    </row>
    <row r="45" spans="1:13">
      <c r="C45" s="45"/>
      <c r="D45" s="48"/>
      <c r="E45" s="88"/>
      <c r="F45" s="48"/>
      <c r="I45" s="85"/>
    </row>
    <row r="46" spans="1:13">
      <c r="C46" s="45"/>
      <c r="D46" s="48"/>
      <c r="E46" s="88"/>
      <c r="F46" s="48"/>
      <c r="I46" s="85"/>
    </row>
    <row r="47" spans="1:13">
      <c r="C47" s="45"/>
      <c r="D47" s="48"/>
      <c r="E47" s="88"/>
      <c r="F47" s="48"/>
      <c r="I47" s="85"/>
    </row>
    <row r="48" spans="1:13" ht="15">
      <c r="C48" s="45"/>
      <c r="D48" s="48"/>
      <c r="E48" s="88"/>
      <c r="F48" s="48"/>
      <c r="H48" s="51"/>
      <c r="I48" s="85"/>
    </row>
    <row r="49" spans="3:10">
      <c r="C49" s="45"/>
      <c r="D49" s="48"/>
      <c r="E49" s="88"/>
      <c r="F49" s="48"/>
      <c r="I49" s="85"/>
    </row>
    <row r="50" spans="3:10">
      <c r="C50" s="45"/>
      <c r="D50" s="48"/>
      <c r="E50" s="88"/>
      <c r="F50" s="48"/>
      <c r="I50" s="85"/>
    </row>
    <row r="51" spans="3:10">
      <c r="C51" s="45"/>
      <c r="D51" s="48"/>
      <c r="E51" s="45"/>
      <c r="F51" s="48"/>
      <c r="I51" s="85"/>
    </row>
    <row r="52" spans="3:10">
      <c r="C52" s="45"/>
      <c r="D52" s="48"/>
      <c r="E52" s="45"/>
      <c r="F52" s="48"/>
      <c r="H52" s="88"/>
      <c r="I52" s="89"/>
      <c r="J52" s="88"/>
    </row>
    <row r="53" spans="3:10" ht="15">
      <c r="C53" s="45"/>
      <c r="D53" s="48"/>
      <c r="E53" s="45"/>
      <c r="F53" s="48"/>
      <c r="H53" s="51"/>
      <c r="I53" s="85"/>
      <c r="J53" s="72"/>
    </row>
    <row r="54" spans="3:10">
      <c r="C54" s="45"/>
      <c r="D54" s="203"/>
      <c r="E54" s="86"/>
      <c r="F54" s="48"/>
      <c r="H54" s="88"/>
      <c r="I54" s="89"/>
      <c r="J54" s="88"/>
    </row>
    <row r="55" spans="3:10">
      <c r="C55" s="45"/>
      <c r="D55" s="48"/>
      <c r="E55" s="86"/>
      <c r="F55" s="48"/>
      <c r="H55" s="72"/>
      <c r="I55" s="85"/>
    </row>
    <row r="56" spans="3:10">
      <c r="C56" s="45"/>
      <c r="D56" s="48"/>
      <c r="E56" s="45"/>
      <c r="F56" s="48"/>
      <c r="I56" s="85"/>
    </row>
    <row r="57" spans="3:10" ht="15">
      <c r="C57" s="45"/>
      <c r="D57" s="45"/>
      <c r="E57" s="45"/>
      <c r="F57" s="48"/>
      <c r="H57" s="51"/>
      <c r="I57" s="85"/>
    </row>
    <row r="58" spans="3:10">
      <c r="C58" s="45"/>
      <c r="D58" s="45"/>
      <c r="E58" s="45"/>
      <c r="F58" s="48"/>
      <c r="I58" s="85"/>
    </row>
    <row r="59" spans="3:10">
      <c r="C59" s="45"/>
      <c r="D59" s="45"/>
      <c r="E59" s="45"/>
      <c r="F59" s="48"/>
      <c r="I59" s="85"/>
    </row>
    <row r="60" spans="3:10" ht="15">
      <c r="C60" s="45"/>
      <c r="D60" s="45"/>
      <c r="E60" s="45"/>
      <c r="F60" s="48"/>
      <c r="H60" s="51"/>
      <c r="I60" s="85"/>
    </row>
    <row r="61" spans="3:10">
      <c r="C61" s="45"/>
      <c r="D61" s="45"/>
      <c r="E61" s="45"/>
      <c r="F61" s="48"/>
      <c r="I61" s="85"/>
    </row>
    <row r="62" spans="3:10">
      <c r="C62" s="45"/>
      <c r="D62" s="45"/>
      <c r="E62" s="48"/>
    </row>
    <row r="63" spans="3:10">
      <c r="C63" s="45"/>
      <c r="D63" s="45"/>
      <c r="E63" s="48"/>
    </row>
    <row r="64" spans="3:10">
      <c r="C64" s="45"/>
      <c r="D64" s="45"/>
      <c r="E64" s="48"/>
    </row>
    <row r="65" spans="3:5">
      <c r="C65" s="45"/>
      <c r="D65" s="45"/>
      <c r="E65" s="48"/>
    </row>
    <row r="66" spans="3:5">
      <c r="C66" s="45"/>
      <c r="D66" s="45"/>
      <c r="E66" s="48"/>
    </row>
    <row r="67" spans="3:5">
      <c r="C67" s="45"/>
      <c r="D67" s="45"/>
      <c r="E67" s="48"/>
    </row>
    <row r="68" spans="3:5">
      <c r="C68" s="45"/>
      <c r="D68" s="45"/>
      <c r="E68" s="48"/>
    </row>
    <row r="69" spans="3:5">
      <c r="C69" s="45"/>
      <c r="D69" s="45"/>
      <c r="E69" s="48"/>
    </row>
    <row r="70" spans="3:5">
      <c r="C70" s="45"/>
      <c r="D70" s="45"/>
      <c r="E70" s="48"/>
    </row>
    <row r="71" spans="3:5">
      <c r="C71" s="45"/>
      <c r="D71" s="45"/>
      <c r="E71" s="48"/>
    </row>
    <row r="72" spans="3:5">
      <c r="C72" s="45"/>
      <c r="D72" s="45"/>
      <c r="E72" s="48"/>
    </row>
    <row r="73" spans="3:5">
      <c r="C73" s="45"/>
      <c r="D73" s="45"/>
      <c r="E73" s="48"/>
    </row>
    <row r="74" spans="3:5">
      <c r="C74" s="45"/>
      <c r="D74" s="45"/>
      <c r="E74" s="48"/>
    </row>
    <row r="75" spans="3:5">
      <c r="C75" s="45"/>
      <c r="D75" s="45"/>
      <c r="E75" s="48"/>
    </row>
    <row r="76" spans="3:5">
      <c r="C76" s="45"/>
      <c r="D76" s="45"/>
      <c r="E76" s="48"/>
    </row>
    <row r="77" spans="3:5">
      <c r="C77" s="45"/>
      <c r="D77" s="45"/>
      <c r="E77" s="48"/>
    </row>
    <row r="78" spans="3:5">
      <c r="C78" s="45"/>
      <c r="D78" s="45"/>
      <c r="E78" s="48"/>
    </row>
    <row r="79" spans="3:5">
      <c r="C79" s="45"/>
      <c r="D79" s="45"/>
      <c r="E79" s="48"/>
    </row>
    <row r="80" spans="3:5">
      <c r="C80" s="45"/>
      <c r="D80" s="45"/>
      <c r="E80" s="48"/>
    </row>
    <row r="81" spans="3:5">
      <c r="C81" s="45"/>
      <c r="D81" s="45"/>
      <c r="E81" s="48"/>
    </row>
    <row r="82" spans="3:5">
      <c r="C82" s="45"/>
      <c r="D82" s="45"/>
      <c r="E82" s="48"/>
    </row>
    <row r="83" spans="3:5">
      <c r="C83" s="45"/>
      <c r="D83" s="45"/>
      <c r="E83" s="48"/>
    </row>
    <row r="84" spans="3:5">
      <c r="C84" s="45"/>
      <c r="D84" s="45"/>
      <c r="E84" s="48"/>
    </row>
    <row r="85" spans="3:5">
      <c r="C85" s="45"/>
      <c r="D85" s="45"/>
      <c r="E85" s="48"/>
    </row>
    <row r="86" spans="3:5">
      <c r="C86" s="45"/>
      <c r="D86" s="45"/>
      <c r="E86" s="48"/>
    </row>
    <row r="87" spans="3:5">
      <c r="C87" s="45"/>
      <c r="D87" s="45"/>
      <c r="E87" s="48"/>
    </row>
    <row r="88" spans="3:5">
      <c r="C88" s="45"/>
      <c r="D88" s="45"/>
      <c r="E88" s="48"/>
    </row>
    <row r="89" spans="3:5">
      <c r="C89" s="45"/>
      <c r="D89" s="45"/>
      <c r="E89" s="48"/>
    </row>
    <row r="90" spans="3:5">
      <c r="C90" s="45"/>
      <c r="D90" s="45"/>
      <c r="E90" s="48"/>
    </row>
    <row r="91" spans="3:5">
      <c r="C91" s="45"/>
      <c r="D91" s="45"/>
      <c r="E91" s="48"/>
    </row>
    <row r="92" spans="3:5">
      <c r="C92" s="45"/>
      <c r="D92" s="45"/>
      <c r="E92" s="48"/>
    </row>
    <row r="93" spans="3:5">
      <c r="C93" s="45"/>
      <c r="D93" s="45"/>
      <c r="E93" s="48"/>
    </row>
    <row r="94" spans="3:5">
      <c r="C94" s="45"/>
      <c r="D94" s="45"/>
      <c r="E94" s="48"/>
    </row>
    <row r="95" spans="3:5">
      <c r="C95" s="45"/>
      <c r="D95" s="45"/>
      <c r="E95" s="48"/>
    </row>
    <row r="96" spans="3:5">
      <c r="C96" s="45"/>
      <c r="D96" s="45"/>
      <c r="E96" s="48"/>
    </row>
    <row r="97" spans="3:5">
      <c r="C97" s="45"/>
      <c r="D97" s="45"/>
      <c r="E97" s="48"/>
    </row>
    <row r="98" spans="3:5">
      <c r="C98" s="45"/>
      <c r="D98" s="45"/>
      <c r="E98" s="48"/>
    </row>
    <row r="99" spans="3:5">
      <c r="C99" s="45"/>
      <c r="D99" s="45"/>
      <c r="E99" s="48"/>
    </row>
    <row r="100" spans="3:5">
      <c r="C100" s="45"/>
      <c r="D100" s="45"/>
      <c r="E100" s="48"/>
    </row>
    <row r="101" spans="3:5">
      <c r="C101" s="45"/>
      <c r="D101" s="45"/>
      <c r="E101" s="48"/>
    </row>
    <row r="102" spans="3:5">
      <c r="C102" s="45"/>
      <c r="D102" s="45"/>
      <c r="E102" s="48"/>
    </row>
  </sheetData>
  <phoneticPr fontId="0" type="noConversion"/>
  <pageMargins left="0.75" right="0.75" top="1" bottom="1" header="0.5" footer="0.5"/>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R8"/>
  <sheetViews>
    <sheetView workbookViewId="0">
      <selection activeCell="K14" sqref="K14"/>
    </sheetView>
  </sheetViews>
  <sheetFormatPr baseColWidth="10" defaultColWidth="8.83203125" defaultRowHeight="13"/>
  <cols>
    <col min="6" max="6" width="12.5" bestFit="1" customWidth="1"/>
    <col min="7" max="7" width="9.5" customWidth="1"/>
    <col min="8" max="8" width="9.83203125" customWidth="1"/>
    <col min="10" max="10" width="12" bestFit="1" customWidth="1"/>
    <col min="11" max="11" width="11" bestFit="1" customWidth="1"/>
  </cols>
  <sheetData>
    <row r="1" spans="3:18" ht="16">
      <c r="C1" s="50" t="s">
        <v>1017</v>
      </c>
    </row>
    <row r="2" spans="3:18" ht="16">
      <c r="C2" s="50" t="s">
        <v>1018</v>
      </c>
    </row>
    <row r="4" spans="3:18">
      <c r="F4" s="219" t="s">
        <v>527</v>
      </c>
      <c r="G4" s="219"/>
      <c r="H4" s="220" t="s">
        <v>1019</v>
      </c>
      <c r="I4" s="220"/>
      <c r="J4" s="45" t="s">
        <v>1048</v>
      </c>
    </row>
    <row r="5" spans="3:18">
      <c r="E5" s="46"/>
      <c r="F5" s="220" t="s">
        <v>5</v>
      </c>
      <c r="G5" s="220"/>
      <c r="H5" s="220" t="s">
        <v>7</v>
      </c>
      <c r="I5" s="220"/>
      <c r="J5" s="45" t="s">
        <v>1487</v>
      </c>
      <c r="P5" s="45"/>
      <c r="R5" s="45"/>
    </row>
    <row r="6" spans="3:18">
      <c r="E6" s="45"/>
      <c r="F6" s="45" t="s">
        <v>1021</v>
      </c>
      <c r="G6" s="45" t="s">
        <v>1020</v>
      </c>
      <c r="H6" s="45" t="s">
        <v>1021</v>
      </c>
      <c r="I6" s="45" t="s">
        <v>1020</v>
      </c>
    </row>
    <row r="7" spans="3:18">
      <c r="C7" s="45" t="s">
        <v>1022</v>
      </c>
      <c r="E7" s="45" t="s">
        <v>1486</v>
      </c>
      <c r="F7">
        <f>4/(3600*24*365)</f>
        <v>1.2683916793505834E-7</v>
      </c>
      <c r="H7" s="45" t="s">
        <v>1047</v>
      </c>
      <c r="J7" s="69">
        <f>F7*working_capacity</f>
        <v>7.4581430745814309E-3</v>
      </c>
      <c r="O7" s="60"/>
      <c r="P7" s="45"/>
    </row>
    <row r="8" spans="3:18">
      <c r="C8" s="45" t="s">
        <v>1530</v>
      </c>
      <c r="E8" s="45" t="s">
        <v>7</v>
      </c>
      <c r="H8" s="45"/>
      <c r="J8" s="69">
        <f>F8*working_capacity+0.8</f>
        <v>0.8</v>
      </c>
      <c r="K8" s="1"/>
    </row>
  </sheetData>
  <mergeCells count="4">
    <mergeCell ref="F4:G4"/>
    <mergeCell ref="H4:I4"/>
    <mergeCell ref="F5:G5"/>
    <mergeCell ref="H5:I5"/>
  </mergeCells>
  <pageMargins left="0.7" right="0.7" top="0.75" bottom="0.75" header="0.3" footer="0.3"/>
  <pageSetup paperSize="0"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
  <sheetViews>
    <sheetView zoomScaleNormal="100" workbookViewId="0">
      <selection activeCell="L190" sqref="L190"/>
    </sheetView>
  </sheetViews>
  <sheetFormatPr baseColWidth="10" defaultColWidth="8.83203125" defaultRowHeight="13"/>
  <cols>
    <col min="1" max="1" width="27.1640625" bestFit="1" customWidth="1"/>
    <col min="2" max="2" width="27.83203125" bestFit="1" customWidth="1"/>
    <col min="3" max="3" width="33.1640625" customWidth="1"/>
    <col min="4" max="4" width="13.6640625" bestFit="1" customWidth="1"/>
    <col min="5" max="5" width="19.1640625" bestFit="1" customWidth="1"/>
    <col min="6" max="6" width="11.33203125" bestFit="1" customWidth="1"/>
    <col min="8" max="8" width="9.5" customWidth="1"/>
    <col min="16" max="16" width="12.5" bestFit="1" customWidth="1"/>
  </cols>
  <sheetData>
    <row r="1" spans="1:8" ht="28">
      <c r="A1" s="2" t="s">
        <v>2</v>
      </c>
      <c r="B1" s="2" t="s">
        <v>1446</v>
      </c>
      <c r="C1" s="2" t="s">
        <v>539</v>
      </c>
      <c r="D1" s="2" t="s">
        <v>6</v>
      </c>
      <c r="E1" s="9" t="s">
        <v>578</v>
      </c>
      <c r="F1" s="9" t="s">
        <v>1519</v>
      </c>
      <c r="G1" s="2"/>
      <c r="H1" s="2"/>
    </row>
    <row r="2" spans="1:8" ht="16">
      <c r="A2" s="57" t="s">
        <v>1444</v>
      </c>
      <c r="B2" s="207" t="s">
        <v>1467</v>
      </c>
      <c r="C2" s="207"/>
      <c r="D2" s="2"/>
      <c r="E2" s="9"/>
      <c r="F2" s="2"/>
      <c r="G2" s="2"/>
      <c r="H2" s="2"/>
    </row>
    <row r="3" spans="1:8">
      <c r="A3" t="s">
        <v>540</v>
      </c>
      <c r="B3" t="s">
        <v>543</v>
      </c>
      <c r="C3" t="s">
        <v>8</v>
      </c>
      <c r="D3" t="s">
        <v>7</v>
      </c>
      <c r="E3">
        <v>0.22</v>
      </c>
      <c r="F3">
        <v>2</v>
      </c>
    </row>
    <row r="4" spans="1:8">
      <c r="A4" t="s">
        <v>540</v>
      </c>
      <c r="B4" t="s">
        <v>543</v>
      </c>
      <c r="C4" s="5" t="s">
        <v>544</v>
      </c>
      <c r="D4" s="5" t="s">
        <v>7</v>
      </c>
      <c r="E4">
        <v>0.39</v>
      </c>
      <c r="F4">
        <v>2</v>
      </c>
    </row>
    <row r="5" spans="1:8">
      <c r="A5" t="s">
        <v>540</v>
      </c>
      <c r="B5" t="s">
        <v>543</v>
      </c>
      <c r="C5" t="s">
        <v>9</v>
      </c>
      <c r="D5" t="s">
        <v>7</v>
      </c>
      <c r="E5">
        <v>0.04</v>
      </c>
      <c r="F5">
        <v>1.4</v>
      </c>
    </row>
    <row r="6" spans="1:8">
      <c r="A6" t="s">
        <v>540</v>
      </c>
      <c r="B6" t="s">
        <v>543</v>
      </c>
      <c r="C6" t="s">
        <v>1394</v>
      </c>
      <c r="D6" t="s">
        <v>7</v>
      </c>
      <c r="E6">
        <v>2.1</v>
      </c>
      <c r="F6">
        <v>2.1</v>
      </c>
    </row>
    <row r="7" spans="1:8">
      <c r="A7" t="s">
        <v>540</v>
      </c>
      <c r="B7" t="s">
        <v>649</v>
      </c>
      <c r="C7" t="s">
        <v>650</v>
      </c>
      <c r="D7" t="s">
        <v>5</v>
      </c>
      <c r="E7" s="8">
        <v>80000</v>
      </c>
      <c r="F7">
        <v>2</v>
      </c>
    </row>
    <row r="8" spans="1:8">
      <c r="A8" t="s">
        <v>542</v>
      </c>
      <c r="B8" t="s">
        <v>545</v>
      </c>
      <c r="C8" s="5" t="s">
        <v>531</v>
      </c>
      <c r="D8" s="5" t="s">
        <v>7</v>
      </c>
      <c r="E8" s="5">
        <v>2E-3</v>
      </c>
      <c r="F8">
        <v>2</v>
      </c>
    </row>
    <row r="9" spans="1:8">
      <c r="A9" t="s">
        <v>542</v>
      </c>
      <c r="B9" t="s">
        <v>545</v>
      </c>
      <c r="C9" s="5" t="s">
        <v>532</v>
      </c>
      <c r="D9" s="5" t="s">
        <v>7</v>
      </c>
      <c r="E9" s="5">
        <v>1E-3</v>
      </c>
      <c r="F9">
        <v>2</v>
      </c>
    </row>
    <row r="10" spans="1:8">
      <c r="A10" t="s">
        <v>541</v>
      </c>
      <c r="B10" t="s">
        <v>26</v>
      </c>
      <c r="C10" t="s">
        <v>12</v>
      </c>
      <c r="D10" t="s">
        <v>7</v>
      </c>
      <c r="E10" s="40">
        <f>oilvalue</f>
        <v>0.47</v>
      </c>
      <c r="F10">
        <v>1.4</v>
      </c>
    </row>
    <row r="11" spans="1:8">
      <c r="A11" t="s">
        <v>541</v>
      </c>
      <c r="B11" t="s">
        <v>27</v>
      </c>
      <c r="C11" t="s">
        <v>13</v>
      </c>
      <c r="D11" t="s">
        <v>7</v>
      </c>
      <c r="E11" s="68">
        <f>coalvalue</f>
        <v>0.16103634925287935</v>
      </c>
      <c r="F11">
        <v>2</v>
      </c>
    </row>
    <row r="12" spans="1:8">
      <c r="A12" t="s">
        <v>541</v>
      </c>
      <c r="B12" t="s">
        <v>28</v>
      </c>
      <c r="C12" t="s">
        <v>14</v>
      </c>
      <c r="D12" t="s">
        <v>7</v>
      </c>
      <c r="E12" s="68">
        <f>naturalgasvalue</f>
        <v>0.27689346043359375</v>
      </c>
      <c r="F12">
        <v>2</v>
      </c>
    </row>
    <row r="13" spans="1:8">
      <c r="A13" t="s">
        <v>541</v>
      </c>
      <c r="B13" t="s">
        <v>89</v>
      </c>
      <c r="C13" t="s">
        <v>148</v>
      </c>
      <c r="D13" t="s">
        <v>11</v>
      </c>
      <c r="E13" s="70">
        <f>Ag_orevalue</f>
        <v>72760</v>
      </c>
      <c r="F13">
        <v>3</v>
      </c>
      <c r="H13" s="1"/>
    </row>
    <row r="14" spans="1:8">
      <c r="A14" t="s">
        <v>541</v>
      </c>
      <c r="B14" t="s">
        <v>29</v>
      </c>
      <c r="C14" t="s">
        <v>15</v>
      </c>
      <c r="D14" t="s">
        <v>11</v>
      </c>
      <c r="E14" s="70">
        <f>Al_orevalue</f>
        <v>0.34728209740221117</v>
      </c>
      <c r="F14">
        <v>2</v>
      </c>
    </row>
    <row r="15" spans="1:8">
      <c r="A15" t="s">
        <v>541</v>
      </c>
      <c r="B15" t="s">
        <v>90</v>
      </c>
      <c r="C15" t="s">
        <v>149</v>
      </c>
      <c r="D15" t="s">
        <v>11</v>
      </c>
      <c r="E15" s="70">
        <f>As_orevalue</f>
        <v>2425.3333333333335</v>
      </c>
      <c r="F15">
        <v>3</v>
      </c>
      <c r="H15" s="1"/>
    </row>
    <row r="16" spans="1:8">
      <c r="A16" t="s">
        <v>541</v>
      </c>
      <c r="B16" t="s">
        <v>32</v>
      </c>
      <c r="C16" t="s">
        <v>98</v>
      </c>
      <c r="D16" t="s">
        <v>11</v>
      </c>
      <c r="E16" s="70">
        <f>Au_orevalue</f>
        <v>2021111.1111111112</v>
      </c>
      <c r="F16">
        <v>3</v>
      </c>
    </row>
    <row r="17" spans="1:6">
      <c r="A17" t="s">
        <v>541</v>
      </c>
      <c r="B17" t="s">
        <v>81</v>
      </c>
      <c r="C17" t="s">
        <v>17</v>
      </c>
      <c r="D17" t="s">
        <v>11</v>
      </c>
      <c r="E17" s="70">
        <f>B_orevalue</f>
        <v>0.05</v>
      </c>
      <c r="F17">
        <v>5</v>
      </c>
    </row>
    <row r="18" spans="1:6">
      <c r="A18" t="s">
        <v>541</v>
      </c>
      <c r="B18" t="s">
        <v>33</v>
      </c>
      <c r="C18" t="s">
        <v>99</v>
      </c>
      <c r="D18" t="s">
        <v>11</v>
      </c>
      <c r="E18" s="70">
        <f>Ba_orevalue</f>
        <v>6.6145454545454543</v>
      </c>
      <c r="F18">
        <v>3</v>
      </c>
    </row>
    <row r="19" spans="1:6">
      <c r="A19" t="s">
        <v>541</v>
      </c>
      <c r="B19" t="s">
        <v>34</v>
      </c>
      <c r="C19" t="s">
        <v>100</v>
      </c>
      <c r="D19" t="s">
        <v>11</v>
      </c>
      <c r="E19" s="70">
        <f>Be_orevalue</f>
        <v>1212.6666666666667</v>
      </c>
      <c r="F19">
        <v>3</v>
      </c>
    </row>
    <row r="20" spans="1:6">
      <c r="A20" t="s">
        <v>541</v>
      </c>
      <c r="B20" t="s">
        <v>91</v>
      </c>
      <c r="C20" t="s">
        <v>150</v>
      </c>
      <c r="D20" t="s">
        <v>11</v>
      </c>
      <c r="E20" s="70">
        <f>Bi_orevalue</f>
        <v>27984.615384615383</v>
      </c>
      <c r="F20">
        <v>3</v>
      </c>
    </row>
    <row r="21" spans="1:6">
      <c r="A21" t="s">
        <v>541</v>
      </c>
      <c r="B21" t="s">
        <v>82</v>
      </c>
      <c r="C21" t="s">
        <v>18</v>
      </c>
      <c r="D21" t="s">
        <v>11</v>
      </c>
      <c r="E21" s="70">
        <f>Br_orevalue</f>
        <v>0</v>
      </c>
      <c r="F21">
        <v>1</v>
      </c>
    </row>
    <row r="22" spans="1:6">
      <c r="A22" t="s">
        <v>541</v>
      </c>
      <c r="B22" t="s">
        <v>92</v>
      </c>
      <c r="C22" t="s">
        <v>151</v>
      </c>
      <c r="D22" t="s">
        <v>11</v>
      </c>
      <c r="E22" s="70">
        <f>Cd_orevalue</f>
        <v>70463.265306122441</v>
      </c>
      <c r="F22">
        <v>3</v>
      </c>
    </row>
    <row r="23" spans="1:6">
      <c r="A23" t="s">
        <v>541</v>
      </c>
      <c r="B23" t="s">
        <v>35</v>
      </c>
      <c r="C23" t="s">
        <v>101</v>
      </c>
      <c r="D23" t="s">
        <v>11</v>
      </c>
      <c r="E23" s="70">
        <f>Ce_orevalue</f>
        <v>56.84375</v>
      </c>
      <c r="F23">
        <v>3</v>
      </c>
    </row>
    <row r="24" spans="1:6">
      <c r="A24" t="s">
        <v>541</v>
      </c>
      <c r="B24" t="s">
        <v>88</v>
      </c>
      <c r="C24" t="s">
        <v>25</v>
      </c>
      <c r="D24" t="s">
        <v>11</v>
      </c>
      <c r="E24" s="70">
        <f>Cl_orevalue</f>
        <v>0</v>
      </c>
      <c r="F24">
        <v>1</v>
      </c>
    </row>
    <row r="25" spans="1:6">
      <c r="A25" t="s">
        <v>541</v>
      </c>
      <c r="B25" t="s">
        <v>36</v>
      </c>
      <c r="C25" t="s">
        <v>102</v>
      </c>
      <c r="D25" t="s">
        <v>11</v>
      </c>
      <c r="E25" s="70">
        <f>Co_orevalue</f>
        <v>178.7764705882353</v>
      </c>
      <c r="F25">
        <v>3</v>
      </c>
    </row>
    <row r="26" spans="1:6">
      <c r="A26" t="s">
        <v>541</v>
      </c>
      <c r="B26" t="s">
        <v>37</v>
      </c>
      <c r="C26" t="s">
        <v>103</v>
      </c>
      <c r="D26" t="s">
        <v>11</v>
      </c>
      <c r="E26" s="70">
        <f>Cr_orevalue</f>
        <v>59.457831325301207</v>
      </c>
      <c r="F26">
        <v>3</v>
      </c>
    </row>
    <row r="27" spans="1:6">
      <c r="A27" t="s">
        <v>541</v>
      </c>
      <c r="B27" t="s">
        <v>38</v>
      </c>
      <c r="C27" t="s">
        <v>104</v>
      </c>
      <c r="D27" t="s">
        <v>11</v>
      </c>
      <c r="E27" s="70">
        <f>Ce_orevalue</f>
        <v>56.84375</v>
      </c>
      <c r="F27">
        <v>3</v>
      </c>
    </row>
    <row r="28" spans="1:6">
      <c r="A28" t="s">
        <v>541</v>
      </c>
      <c r="B28" t="s">
        <v>31</v>
      </c>
      <c r="C28" t="s">
        <v>97</v>
      </c>
      <c r="D28" t="s">
        <v>11</v>
      </c>
      <c r="E28" s="70">
        <f>Cu_orevalue</f>
        <v>90.948000000000008</v>
      </c>
      <c r="F28">
        <v>3</v>
      </c>
    </row>
    <row r="29" spans="1:6">
      <c r="A29" t="s">
        <v>541</v>
      </c>
      <c r="B29" t="s">
        <v>39</v>
      </c>
      <c r="C29" t="s">
        <v>105</v>
      </c>
      <c r="D29" t="s">
        <v>11</v>
      </c>
      <c r="E29" s="70">
        <f>Dy_orevalue</f>
        <v>1039.4285714285713</v>
      </c>
      <c r="F29">
        <v>3</v>
      </c>
    </row>
    <row r="30" spans="1:6">
      <c r="A30" t="s">
        <v>541</v>
      </c>
      <c r="B30" t="s">
        <v>40</v>
      </c>
      <c r="C30" t="s">
        <v>106</v>
      </c>
      <c r="D30" t="s">
        <v>11</v>
      </c>
      <c r="E30" s="70">
        <f>Er_orevalue</f>
        <v>1581.7391304347827</v>
      </c>
      <c r="F30">
        <v>3</v>
      </c>
    </row>
    <row r="31" spans="1:6">
      <c r="A31" t="s">
        <v>541</v>
      </c>
      <c r="B31" t="s">
        <v>41</v>
      </c>
      <c r="C31" t="s">
        <v>107</v>
      </c>
      <c r="D31" t="s">
        <v>11</v>
      </c>
      <c r="E31" s="70">
        <f>Eu_orevalue</f>
        <v>4134.090909090909</v>
      </c>
      <c r="F31">
        <v>3</v>
      </c>
    </row>
    <row r="32" spans="1:6">
      <c r="A32" t="s">
        <v>541</v>
      </c>
      <c r="B32" t="s">
        <v>42</v>
      </c>
      <c r="C32" t="s">
        <v>108</v>
      </c>
      <c r="D32" t="s">
        <v>11</v>
      </c>
      <c r="E32" s="70">
        <f>F_orevalue</f>
        <v>6.2188034188034189</v>
      </c>
      <c r="F32">
        <v>3</v>
      </c>
    </row>
    <row r="33" spans="1:6">
      <c r="A33" t="s">
        <v>541</v>
      </c>
      <c r="B33" t="s">
        <v>30</v>
      </c>
      <c r="C33" t="s">
        <v>16</v>
      </c>
      <c r="D33" t="s">
        <v>11</v>
      </c>
      <c r="E33" s="70">
        <f>Fe_orevalue</f>
        <v>0.81003952519780287</v>
      </c>
      <c r="F33">
        <v>2</v>
      </c>
    </row>
    <row r="34" spans="1:6">
      <c r="A34" t="s">
        <v>541</v>
      </c>
      <c r="B34" t="s">
        <v>43</v>
      </c>
      <c r="C34" t="s">
        <v>109</v>
      </c>
      <c r="D34" t="s">
        <v>11</v>
      </c>
      <c r="E34" s="70">
        <f>Ga_orevalue</f>
        <v>214</v>
      </c>
      <c r="F34">
        <v>3</v>
      </c>
    </row>
    <row r="35" spans="1:6">
      <c r="A35" t="s">
        <v>541</v>
      </c>
      <c r="B35" t="s">
        <v>44</v>
      </c>
      <c r="C35" t="s">
        <v>110</v>
      </c>
      <c r="D35" t="s">
        <v>11</v>
      </c>
      <c r="E35" s="70">
        <f>Gd_orevalue</f>
        <v>957.36842105263167</v>
      </c>
      <c r="F35">
        <v>3</v>
      </c>
    </row>
    <row r="36" spans="1:6">
      <c r="A36" t="s">
        <v>541</v>
      </c>
      <c r="B36" t="s">
        <v>45</v>
      </c>
      <c r="C36" t="s">
        <v>111</v>
      </c>
      <c r="D36" t="s">
        <v>11</v>
      </c>
      <c r="E36" s="70">
        <f>Ge_orevalue</f>
        <v>2273.75</v>
      </c>
      <c r="F36">
        <v>3</v>
      </c>
    </row>
    <row r="37" spans="1:6">
      <c r="A37" t="s">
        <v>541</v>
      </c>
      <c r="B37" t="s">
        <v>83</v>
      </c>
      <c r="C37" t="s">
        <v>19</v>
      </c>
      <c r="D37" t="s">
        <v>11</v>
      </c>
      <c r="E37" s="70">
        <f>H_value</f>
        <v>0</v>
      </c>
      <c r="F37">
        <v>1</v>
      </c>
    </row>
    <row r="38" spans="1:6">
      <c r="A38" t="s">
        <v>541</v>
      </c>
      <c r="B38" t="s">
        <v>46</v>
      </c>
      <c r="C38" t="s">
        <v>112</v>
      </c>
      <c r="D38" t="s">
        <v>11</v>
      </c>
      <c r="E38" s="70">
        <f>Hf_orevalue</f>
        <v>627.24137931034488</v>
      </c>
      <c r="F38">
        <v>3</v>
      </c>
    </row>
    <row r="39" spans="1:6">
      <c r="A39" t="s">
        <v>541</v>
      </c>
      <c r="B39" t="s">
        <v>93</v>
      </c>
      <c r="C39" t="s">
        <v>152</v>
      </c>
      <c r="D39" t="s">
        <v>11</v>
      </c>
      <c r="E39" s="70">
        <f>Hg_orevalue</f>
        <v>54298.507462686561</v>
      </c>
      <c r="F39">
        <v>3</v>
      </c>
    </row>
    <row r="40" spans="1:6">
      <c r="A40" t="s">
        <v>541</v>
      </c>
      <c r="B40" t="s">
        <v>47</v>
      </c>
      <c r="C40" t="s">
        <v>113</v>
      </c>
      <c r="D40" t="s">
        <v>11</v>
      </c>
      <c r="E40" s="70">
        <f>Ho_orevalue</f>
        <v>4547.5</v>
      </c>
      <c r="F40">
        <v>3</v>
      </c>
    </row>
    <row r="41" spans="1:6">
      <c r="A41" t="s">
        <v>541</v>
      </c>
      <c r="B41" t="s">
        <v>48</v>
      </c>
      <c r="C41" t="s">
        <v>118</v>
      </c>
      <c r="D41" t="s">
        <v>11</v>
      </c>
      <c r="E41" s="69">
        <f>I_orevalue</f>
        <v>0</v>
      </c>
      <c r="F41">
        <v>1</v>
      </c>
    </row>
    <row r="42" spans="1:6">
      <c r="A42" t="s">
        <v>541</v>
      </c>
      <c r="B42" t="s">
        <v>48</v>
      </c>
      <c r="C42" t="s">
        <v>24</v>
      </c>
      <c r="D42" t="s">
        <v>11</v>
      </c>
      <c r="E42" s="69">
        <f>I_orevalue</f>
        <v>0</v>
      </c>
      <c r="F42">
        <v>1</v>
      </c>
    </row>
    <row r="43" spans="1:6">
      <c r="A43" t="s">
        <v>541</v>
      </c>
      <c r="B43" t="s">
        <v>49</v>
      </c>
      <c r="C43" t="s">
        <v>114</v>
      </c>
      <c r="D43" t="s">
        <v>11</v>
      </c>
      <c r="E43" s="70">
        <f>In_orevalue</f>
        <v>72760</v>
      </c>
      <c r="F43">
        <v>3</v>
      </c>
    </row>
    <row r="44" spans="1:6">
      <c r="A44" t="s">
        <v>541</v>
      </c>
      <c r="B44" t="s">
        <v>50</v>
      </c>
      <c r="C44" t="s">
        <v>115</v>
      </c>
      <c r="D44" t="s">
        <v>11</v>
      </c>
      <c r="E44" s="70">
        <f>Ir_orevalue</f>
        <v>165363636.36363637</v>
      </c>
      <c r="F44">
        <v>3</v>
      </c>
    </row>
    <row r="45" spans="1:6">
      <c r="A45" t="s">
        <v>541</v>
      </c>
      <c r="B45" t="s">
        <v>85</v>
      </c>
      <c r="C45" t="s">
        <v>21</v>
      </c>
      <c r="D45" t="s">
        <v>11</v>
      </c>
      <c r="E45" s="70">
        <f>K_orevalue</f>
        <v>0.01</v>
      </c>
      <c r="F45">
        <v>5</v>
      </c>
    </row>
    <row r="46" spans="1:6">
      <c r="A46" t="s">
        <v>541</v>
      </c>
      <c r="B46" t="s">
        <v>51</v>
      </c>
      <c r="C46" t="s">
        <v>116</v>
      </c>
      <c r="D46" t="s">
        <v>11</v>
      </c>
      <c r="E46" s="70">
        <f>La_orevalue</f>
        <v>121.26666666666667</v>
      </c>
      <c r="F46">
        <v>3</v>
      </c>
    </row>
    <row r="47" spans="1:6">
      <c r="A47" t="s">
        <v>541</v>
      </c>
      <c r="B47" t="s">
        <v>52</v>
      </c>
      <c r="C47" t="s">
        <v>117</v>
      </c>
      <c r="D47" t="s">
        <v>11</v>
      </c>
      <c r="E47" s="70">
        <f>Li_orevalue</f>
        <v>0.1</v>
      </c>
      <c r="F47">
        <v>5</v>
      </c>
    </row>
    <row r="48" spans="1:6">
      <c r="A48" t="s">
        <v>541</v>
      </c>
      <c r="B48" t="s">
        <v>53</v>
      </c>
      <c r="C48" t="s">
        <v>119</v>
      </c>
      <c r="D48" t="s">
        <v>11</v>
      </c>
      <c r="E48" s="70">
        <f>Lu_orevalue</f>
        <v>11368.75</v>
      </c>
      <c r="F48">
        <v>3</v>
      </c>
    </row>
    <row r="49" spans="1:6">
      <c r="A49" t="s">
        <v>541</v>
      </c>
      <c r="B49" t="s">
        <v>86</v>
      </c>
      <c r="C49" t="s">
        <v>22</v>
      </c>
      <c r="D49" t="s">
        <v>11</v>
      </c>
      <c r="E49" s="70">
        <f>Mg_orevalue</f>
        <v>0</v>
      </c>
      <c r="F49">
        <v>1</v>
      </c>
    </row>
    <row r="50" spans="1:6">
      <c r="A50" t="s">
        <v>541</v>
      </c>
      <c r="B50" t="s">
        <v>54</v>
      </c>
      <c r="C50" t="s">
        <v>120</v>
      </c>
      <c r="D50" t="s">
        <v>11</v>
      </c>
      <c r="E50" s="70">
        <f>Mn_orevalue</f>
        <v>4.9186666666666659</v>
      </c>
      <c r="F50">
        <v>3</v>
      </c>
    </row>
    <row r="51" spans="1:6">
      <c r="A51" t="s">
        <v>541</v>
      </c>
      <c r="B51" t="s">
        <v>549</v>
      </c>
      <c r="C51" t="s">
        <v>296</v>
      </c>
      <c r="D51" t="s">
        <v>11</v>
      </c>
      <c r="E51" s="70">
        <f>Mo_orevalue</f>
        <v>2425.3333333333335</v>
      </c>
      <c r="F51">
        <v>3</v>
      </c>
    </row>
    <row r="52" spans="1:6">
      <c r="A52" t="s">
        <v>541</v>
      </c>
      <c r="B52" t="s">
        <v>84</v>
      </c>
      <c r="C52" t="s">
        <v>20</v>
      </c>
      <c r="D52" t="s">
        <v>11</v>
      </c>
      <c r="E52" s="69">
        <f>Na_orevalue</f>
        <v>0</v>
      </c>
      <c r="F52">
        <v>1</v>
      </c>
    </row>
    <row r="53" spans="1:6">
      <c r="A53" t="s">
        <v>541</v>
      </c>
      <c r="B53" t="s">
        <v>55</v>
      </c>
      <c r="C53" t="s">
        <v>121</v>
      </c>
      <c r="D53" t="s">
        <v>11</v>
      </c>
      <c r="E53" s="70">
        <f>Nb_orevalue</f>
        <v>303.16666666666669</v>
      </c>
      <c r="F53">
        <v>3</v>
      </c>
    </row>
    <row r="54" spans="1:6">
      <c r="A54" t="s">
        <v>541</v>
      </c>
      <c r="B54" t="s">
        <v>1412</v>
      </c>
      <c r="C54" t="s">
        <v>1413</v>
      </c>
      <c r="D54" t="s">
        <v>11</v>
      </c>
      <c r="E54" s="70">
        <f>Ni_orevalue</f>
        <v>107.37272727272727</v>
      </c>
      <c r="F54">
        <v>3</v>
      </c>
    </row>
    <row r="55" spans="1:6">
      <c r="A55" t="s">
        <v>541</v>
      </c>
      <c r="B55" t="s">
        <v>56</v>
      </c>
      <c r="C55" t="s">
        <v>122</v>
      </c>
      <c r="D55" t="s">
        <v>11</v>
      </c>
      <c r="E55" s="70">
        <f>Nd_orevalue</f>
        <v>139.92307692307693</v>
      </c>
      <c r="F55">
        <v>3</v>
      </c>
    </row>
    <row r="56" spans="1:6">
      <c r="A56" t="s">
        <v>541</v>
      </c>
      <c r="B56" t="s">
        <v>57</v>
      </c>
      <c r="C56" t="s">
        <v>123</v>
      </c>
      <c r="D56" t="s">
        <v>11</v>
      </c>
      <c r="E56" s="70">
        <f>Os_orevalue</f>
        <v>72760000</v>
      </c>
      <c r="F56">
        <v>3</v>
      </c>
    </row>
    <row r="57" spans="1:6">
      <c r="A57" t="s">
        <v>541</v>
      </c>
      <c r="B57" t="s">
        <v>58</v>
      </c>
      <c r="C57" t="s">
        <v>124</v>
      </c>
      <c r="D57" t="s">
        <v>11</v>
      </c>
      <c r="E57" s="70">
        <f>P_orevalue</f>
        <v>5.1971428571428575</v>
      </c>
      <c r="F57">
        <v>3</v>
      </c>
    </row>
    <row r="58" spans="1:6">
      <c r="A58" t="s">
        <v>541</v>
      </c>
      <c r="B58" t="s">
        <v>94</v>
      </c>
      <c r="C58" t="s">
        <v>153</v>
      </c>
      <c r="D58" t="s">
        <v>11</v>
      </c>
      <c r="E58" s="70">
        <f>Pb_orevalue</f>
        <v>392</v>
      </c>
      <c r="F58">
        <v>3</v>
      </c>
    </row>
    <row r="59" spans="1:6">
      <c r="A59" t="s">
        <v>541</v>
      </c>
      <c r="B59" t="s">
        <v>59</v>
      </c>
      <c r="C59" t="s">
        <v>125</v>
      </c>
      <c r="D59" t="s">
        <v>11</v>
      </c>
      <c r="E59" s="70">
        <f>Pd_orevalue</f>
        <v>6864150.9433962265</v>
      </c>
      <c r="F59">
        <v>3</v>
      </c>
    </row>
    <row r="60" spans="1:6">
      <c r="A60" t="s">
        <v>541</v>
      </c>
      <c r="B60" t="s">
        <v>60</v>
      </c>
      <c r="C60" t="s">
        <v>126</v>
      </c>
      <c r="D60" t="s">
        <v>11</v>
      </c>
      <c r="E60" s="70">
        <f>Pr_orevalue</f>
        <v>512.3943661971831</v>
      </c>
      <c r="F60">
        <v>3</v>
      </c>
    </row>
    <row r="61" spans="1:6">
      <c r="A61" t="s">
        <v>541</v>
      </c>
      <c r="B61" t="s">
        <v>61</v>
      </c>
      <c r="C61" t="s">
        <v>127</v>
      </c>
      <c r="D61" t="s">
        <v>11</v>
      </c>
      <c r="E61" s="70">
        <f>Pt_orevalue</f>
        <v>6063333.333333334</v>
      </c>
      <c r="F61">
        <v>3</v>
      </c>
    </row>
    <row r="62" spans="1:6">
      <c r="A62" t="s">
        <v>541</v>
      </c>
      <c r="B62" t="s">
        <v>62</v>
      </c>
      <c r="C62" t="s">
        <v>128</v>
      </c>
      <c r="D62" t="s">
        <v>11</v>
      </c>
      <c r="E62" s="70">
        <f>Rb_orevalue</f>
        <v>33.072727272727271</v>
      </c>
      <c r="F62">
        <v>3</v>
      </c>
    </row>
    <row r="63" spans="1:6">
      <c r="A63" t="s">
        <v>541</v>
      </c>
      <c r="B63" t="s">
        <v>64</v>
      </c>
      <c r="C63" t="s">
        <v>129</v>
      </c>
      <c r="D63" t="s">
        <v>11</v>
      </c>
      <c r="E63" s="70">
        <f>Re_orevalue</f>
        <v>9095000</v>
      </c>
      <c r="F63">
        <v>3</v>
      </c>
    </row>
    <row r="64" spans="1:6">
      <c r="A64" t="s">
        <v>541</v>
      </c>
      <c r="B64" t="s">
        <v>63</v>
      </c>
      <c r="C64" t="s">
        <v>130</v>
      </c>
      <c r="D64" t="s">
        <v>11</v>
      </c>
      <c r="E64" s="70">
        <f>Rh_orevalue</f>
        <v>202111111.1111111</v>
      </c>
      <c r="F64">
        <v>3</v>
      </c>
    </row>
    <row r="65" spans="1:6">
      <c r="A65" t="s">
        <v>541</v>
      </c>
      <c r="B65" t="s">
        <v>65</v>
      </c>
      <c r="C65" t="s">
        <v>131</v>
      </c>
      <c r="D65" t="s">
        <v>11</v>
      </c>
      <c r="E65" s="70">
        <f>Ru_orevalue</f>
        <v>121266666.66666666</v>
      </c>
      <c r="F65">
        <v>3</v>
      </c>
    </row>
    <row r="66" spans="1:6">
      <c r="A66" t="s">
        <v>541</v>
      </c>
      <c r="B66" t="s">
        <v>87</v>
      </c>
      <c r="C66" t="s">
        <v>23</v>
      </c>
      <c r="D66" t="s">
        <v>11</v>
      </c>
      <c r="E66" s="70">
        <f>S_orevalue</f>
        <v>0.1</v>
      </c>
      <c r="F66">
        <v>5</v>
      </c>
    </row>
    <row r="67" spans="1:6">
      <c r="A67" t="s">
        <v>541</v>
      </c>
      <c r="B67" t="s">
        <v>66</v>
      </c>
      <c r="C67" t="s">
        <v>132</v>
      </c>
      <c r="D67" t="s">
        <v>11</v>
      </c>
      <c r="E67" s="70">
        <f>Sb_orevalue</f>
        <v>18190</v>
      </c>
      <c r="F67">
        <v>3</v>
      </c>
    </row>
    <row r="68" spans="1:6">
      <c r="A68" t="s">
        <v>541</v>
      </c>
      <c r="B68" t="s">
        <v>67</v>
      </c>
      <c r="C68" t="s">
        <v>133</v>
      </c>
      <c r="D68" t="s">
        <v>11</v>
      </c>
      <c r="E68" s="70">
        <f>Sc_orevalue</f>
        <v>259.85714285714283</v>
      </c>
      <c r="F68">
        <v>3</v>
      </c>
    </row>
    <row r="69" spans="1:6">
      <c r="A69" t="s">
        <v>541</v>
      </c>
      <c r="B69" t="s">
        <v>68</v>
      </c>
      <c r="C69" t="s">
        <v>134</v>
      </c>
      <c r="D69" t="s">
        <v>11</v>
      </c>
      <c r="E69" s="70">
        <f>Se_orevalue</f>
        <v>72.760000000000005</v>
      </c>
      <c r="F69">
        <v>3</v>
      </c>
    </row>
    <row r="70" spans="1:6">
      <c r="A70" t="s">
        <v>541</v>
      </c>
      <c r="B70" t="s">
        <v>69</v>
      </c>
      <c r="C70" t="s">
        <v>135</v>
      </c>
      <c r="D70" t="s">
        <v>11</v>
      </c>
      <c r="E70" s="70">
        <f>Sm_orevalue</f>
        <v>808.44444444444446</v>
      </c>
      <c r="F70">
        <v>3</v>
      </c>
    </row>
    <row r="71" spans="1:6">
      <c r="A71" t="s">
        <v>541</v>
      </c>
      <c r="B71" t="s">
        <v>95</v>
      </c>
      <c r="C71" t="s">
        <v>154</v>
      </c>
      <c r="D71" t="s">
        <v>11</v>
      </c>
      <c r="E71" s="70">
        <f>Sn_orevalue</f>
        <v>481.81818181818181</v>
      </c>
      <c r="F71">
        <v>3</v>
      </c>
    </row>
    <row r="72" spans="1:6">
      <c r="A72" t="s">
        <v>541</v>
      </c>
      <c r="B72" t="s">
        <v>70</v>
      </c>
      <c r="C72" t="s">
        <v>136</v>
      </c>
      <c r="D72" t="s">
        <v>11</v>
      </c>
      <c r="E72" s="70">
        <f>Sr_orevalue</f>
        <v>10.394285714285715</v>
      </c>
      <c r="F72">
        <v>3</v>
      </c>
    </row>
    <row r="73" spans="1:6">
      <c r="A73" t="s">
        <v>541</v>
      </c>
      <c r="B73" t="s">
        <v>71</v>
      </c>
      <c r="C73" t="s">
        <v>137</v>
      </c>
      <c r="D73" t="s">
        <v>11</v>
      </c>
      <c r="E73" s="70">
        <f>Ta_orevalue</f>
        <v>3638</v>
      </c>
      <c r="F73">
        <v>3</v>
      </c>
    </row>
    <row r="74" spans="1:6">
      <c r="A74" t="s">
        <v>541</v>
      </c>
      <c r="B74" t="s">
        <v>72</v>
      </c>
      <c r="C74" t="s">
        <v>138</v>
      </c>
      <c r="D74" t="s">
        <v>11</v>
      </c>
      <c r="E74" s="70">
        <f>Tb_orevalue</f>
        <v>5684.375</v>
      </c>
      <c r="F74">
        <v>3</v>
      </c>
    </row>
    <row r="75" spans="1:6">
      <c r="A75" t="s">
        <v>541</v>
      </c>
      <c r="B75" t="s">
        <v>73</v>
      </c>
      <c r="C75" t="s">
        <v>139</v>
      </c>
      <c r="D75" t="s">
        <v>11</v>
      </c>
      <c r="E75" s="70">
        <f>Te_orevalue</f>
        <v>3638000</v>
      </c>
      <c r="F75">
        <v>3</v>
      </c>
    </row>
    <row r="76" spans="1:6">
      <c r="A76" t="s">
        <v>541</v>
      </c>
      <c r="B76" t="s">
        <v>74</v>
      </c>
      <c r="C76" t="s">
        <v>140</v>
      </c>
      <c r="D76" t="s">
        <v>11</v>
      </c>
      <c r="E76" s="70">
        <f>Ti_orevalue</f>
        <v>0.88731707317073172</v>
      </c>
      <c r="F76">
        <v>3</v>
      </c>
    </row>
    <row r="77" spans="1:6">
      <c r="A77" t="s">
        <v>541</v>
      </c>
      <c r="B77" t="s">
        <v>75</v>
      </c>
      <c r="C77" t="s">
        <v>141</v>
      </c>
      <c r="D77" t="s">
        <v>11</v>
      </c>
      <c r="E77" s="70">
        <f>Th_orevalue</f>
        <v>1299.2857142857144</v>
      </c>
      <c r="F77">
        <v>3</v>
      </c>
    </row>
    <row r="78" spans="1:6">
      <c r="A78" t="s">
        <v>541</v>
      </c>
      <c r="B78" s="45" t="s">
        <v>1414</v>
      </c>
      <c r="C78" t="s">
        <v>142</v>
      </c>
      <c r="D78" t="s">
        <v>11</v>
      </c>
      <c r="E78" s="70">
        <f>Tm_orevalue</f>
        <v>11024.242424242424</v>
      </c>
      <c r="F78">
        <v>3</v>
      </c>
    </row>
    <row r="79" spans="1:6">
      <c r="A79" t="s">
        <v>541</v>
      </c>
      <c r="B79" t="s">
        <v>76</v>
      </c>
      <c r="C79" t="s">
        <v>143</v>
      </c>
      <c r="D79" t="s">
        <v>11</v>
      </c>
      <c r="E79" s="70">
        <f>U_orevalue</f>
        <v>340</v>
      </c>
      <c r="F79">
        <v>3</v>
      </c>
    </row>
    <row r="80" spans="1:6">
      <c r="A80" t="s">
        <v>541</v>
      </c>
      <c r="B80" t="s">
        <v>77</v>
      </c>
      <c r="C80" t="s">
        <v>144</v>
      </c>
      <c r="D80" t="s">
        <v>11</v>
      </c>
      <c r="E80" s="70">
        <f>V_orevalue</f>
        <v>34</v>
      </c>
      <c r="F80">
        <v>3</v>
      </c>
    </row>
    <row r="81" spans="1:9">
      <c r="A81" t="s">
        <v>541</v>
      </c>
      <c r="B81" t="s">
        <v>78</v>
      </c>
      <c r="C81" t="s">
        <v>145</v>
      </c>
      <c r="D81" t="s">
        <v>11</v>
      </c>
      <c r="E81" s="70">
        <f>Y_orevalue</f>
        <v>165.36363636363637</v>
      </c>
      <c r="F81">
        <v>3</v>
      </c>
    </row>
    <row r="82" spans="1:9">
      <c r="A82" t="s">
        <v>541</v>
      </c>
      <c r="B82" t="s">
        <v>79</v>
      </c>
      <c r="C82" t="s">
        <v>146</v>
      </c>
      <c r="D82" t="s">
        <v>11</v>
      </c>
      <c r="E82" s="70">
        <f>Yb_orevalue</f>
        <v>1653.6363636363635</v>
      </c>
      <c r="F82">
        <v>3</v>
      </c>
    </row>
    <row r="83" spans="1:9">
      <c r="A83" t="s">
        <v>541</v>
      </c>
      <c r="B83" t="s">
        <v>96</v>
      </c>
      <c r="C83" t="s">
        <v>155</v>
      </c>
      <c r="D83" t="s">
        <v>11</v>
      </c>
      <c r="E83" s="70">
        <f>Zn_orevalue</f>
        <v>32.371830985915494</v>
      </c>
      <c r="F83">
        <v>2.2000000000000002</v>
      </c>
    </row>
    <row r="84" spans="1:9">
      <c r="A84" t="s">
        <v>541</v>
      </c>
      <c r="B84" t="s">
        <v>80</v>
      </c>
      <c r="C84" t="s">
        <v>147</v>
      </c>
      <c r="D84" t="s">
        <v>11</v>
      </c>
      <c r="E84" s="70">
        <f>Zr_orevalue</f>
        <v>19.147368421052633</v>
      </c>
      <c r="F84">
        <v>3</v>
      </c>
    </row>
    <row r="85" spans="1:9">
      <c r="A85" t="s">
        <v>165</v>
      </c>
      <c r="B85" t="s">
        <v>166</v>
      </c>
      <c r="C85" t="s">
        <v>174</v>
      </c>
      <c r="D85" t="s">
        <v>167</v>
      </c>
      <c r="E85" s="1">
        <v>56000000000</v>
      </c>
      <c r="F85">
        <v>3</v>
      </c>
      <c r="H85" s="1"/>
    </row>
    <row r="86" spans="1:9" ht="16">
      <c r="A86" s="58" t="s">
        <v>1445</v>
      </c>
      <c r="E86" s="1"/>
    </row>
    <row r="87" spans="1:9">
      <c r="A87" t="s">
        <v>3</v>
      </c>
      <c r="B87" s="5" t="s">
        <v>547</v>
      </c>
      <c r="C87" s="45" t="s">
        <v>4</v>
      </c>
      <c r="D87" s="5" t="s">
        <v>5</v>
      </c>
      <c r="E87">
        <v>50000</v>
      </c>
      <c r="F87">
        <v>1.5</v>
      </c>
    </row>
    <row r="88" spans="1:9">
      <c r="A88" t="s">
        <v>3</v>
      </c>
      <c r="B88" s="5" t="s">
        <v>548</v>
      </c>
      <c r="C88" s="5" t="s">
        <v>520</v>
      </c>
      <c r="D88" t="s">
        <v>5</v>
      </c>
      <c r="E88">
        <f>0.191*YOLLvalue</f>
        <v>9550</v>
      </c>
      <c r="F88">
        <v>1.1000000000000001</v>
      </c>
    </row>
    <row r="89" spans="1:9">
      <c r="A89" t="s">
        <v>3</v>
      </c>
      <c r="B89" s="5" t="s">
        <v>548</v>
      </c>
      <c r="C89" s="5" t="s">
        <v>522</v>
      </c>
      <c r="D89" t="s">
        <v>5</v>
      </c>
      <c r="E89">
        <f>0.105*YOLLvalue</f>
        <v>5250</v>
      </c>
      <c r="F89">
        <v>1.2</v>
      </c>
    </row>
    <row r="90" spans="1:9">
      <c r="A90" t="s">
        <v>3</v>
      </c>
      <c r="B90" s="5" t="s">
        <v>548</v>
      </c>
      <c r="C90" s="5" t="s">
        <v>506</v>
      </c>
      <c r="D90" t="s">
        <v>5</v>
      </c>
      <c r="E90">
        <f>YOLLvalue*0.1091</f>
        <v>5455</v>
      </c>
      <c r="F90">
        <v>1.1000000000000001</v>
      </c>
    </row>
    <row r="91" spans="1:9">
      <c r="A91" t="s">
        <v>3</v>
      </c>
      <c r="B91" s="5" t="s">
        <v>548</v>
      </c>
      <c r="C91" s="5" t="s">
        <v>534</v>
      </c>
      <c r="D91" s="5" t="s">
        <v>523</v>
      </c>
      <c r="E91">
        <f>0.5*YOLLvalue</f>
        <v>25000</v>
      </c>
      <c r="F91">
        <v>5</v>
      </c>
    </row>
    <row r="92" spans="1:9">
      <c r="A92" t="s">
        <v>3</v>
      </c>
      <c r="B92" s="5" t="s">
        <v>548</v>
      </c>
      <c r="C92" s="5" t="s">
        <v>536</v>
      </c>
      <c r="D92" s="5" t="s">
        <v>5</v>
      </c>
      <c r="E92">
        <f>0.06*YOLLvalue</f>
        <v>3000</v>
      </c>
      <c r="F92">
        <v>2</v>
      </c>
    </row>
    <row r="93" spans="1:9">
      <c r="A93" t="s">
        <v>3</v>
      </c>
      <c r="B93" s="5" t="s">
        <v>548</v>
      </c>
      <c r="C93" s="5" t="s">
        <v>546</v>
      </c>
      <c r="D93" s="5" t="s">
        <v>5</v>
      </c>
      <c r="E93">
        <f>0.1*YOLLvalue</f>
        <v>5000</v>
      </c>
      <c r="F93">
        <v>3</v>
      </c>
    </row>
    <row r="94" spans="1:9">
      <c r="A94" t="s">
        <v>3</v>
      </c>
      <c r="B94" s="5" t="s">
        <v>548</v>
      </c>
      <c r="C94" s="45" t="s">
        <v>1477</v>
      </c>
      <c r="D94" s="5" t="s">
        <v>5</v>
      </c>
      <c r="E94">
        <f>(0.422*2+0.056*28)/30*YOLLvalue</f>
        <v>4020</v>
      </c>
      <c r="F94">
        <v>1.3</v>
      </c>
    </row>
    <row r="95" spans="1:9" ht="12" customHeight="1">
      <c r="A95" t="s">
        <v>3</v>
      </c>
      <c r="B95" s="5" t="s">
        <v>548</v>
      </c>
      <c r="C95" s="5" t="s">
        <v>527</v>
      </c>
      <c r="D95" t="s">
        <v>5</v>
      </c>
      <c r="E95">
        <v>58800</v>
      </c>
      <c r="F95">
        <v>1.6</v>
      </c>
      <c r="I95" s="1"/>
    </row>
    <row r="96" spans="1:9" ht="12" customHeight="1">
      <c r="A96" t="s">
        <v>3</v>
      </c>
      <c r="B96" s="5" t="s">
        <v>548</v>
      </c>
      <c r="C96" s="5" t="s">
        <v>557</v>
      </c>
      <c r="D96" t="s">
        <v>5</v>
      </c>
      <c r="E96">
        <f>0.043*YOLLvalue</f>
        <v>2150</v>
      </c>
      <c r="F96">
        <v>2</v>
      </c>
    </row>
    <row r="97" spans="1:11" ht="12" customHeight="1">
      <c r="A97" t="s">
        <v>3</v>
      </c>
      <c r="B97" s="5" t="s">
        <v>548</v>
      </c>
      <c r="C97" s="5" t="s">
        <v>658</v>
      </c>
      <c r="D97" t="s">
        <v>5</v>
      </c>
      <c r="E97">
        <f>0.383*YOLLvalue</f>
        <v>19150</v>
      </c>
      <c r="F97">
        <v>2</v>
      </c>
    </row>
    <row r="98" spans="1:11" ht="12" customHeight="1">
      <c r="A98" t="s">
        <v>3</v>
      </c>
      <c r="B98" s="5" t="s">
        <v>548</v>
      </c>
      <c r="C98" s="5" t="s">
        <v>253</v>
      </c>
      <c r="D98" s="5" t="s">
        <v>5</v>
      </c>
      <c r="E98">
        <f>0.2*YOLLvalue</f>
        <v>10000</v>
      </c>
      <c r="F98">
        <v>2</v>
      </c>
      <c r="J98" s="45"/>
    </row>
    <row r="99" spans="1:11" ht="12" customHeight="1">
      <c r="A99" t="s">
        <v>3</v>
      </c>
      <c r="B99" s="5" t="s">
        <v>548</v>
      </c>
      <c r="C99" s="45" t="s">
        <v>1013</v>
      </c>
      <c r="D99" s="5" t="s">
        <v>5</v>
      </c>
      <c r="E99">
        <f>0.05*YOLLvalue</f>
        <v>2500</v>
      </c>
      <c r="F99">
        <v>1.3</v>
      </c>
      <c r="I99" s="45"/>
      <c r="K99" s="45"/>
    </row>
    <row r="100" spans="1:11" ht="12" customHeight="1">
      <c r="A100" t="s">
        <v>3</v>
      </c>
      <c r="B100" s="5" t="s">
        <v>548</v>
      </c>
      <c r="C100" s="45" t="s">
        <v>994</v>
      </c>
      <c r="D100" s="5" t="s">
        <v>5</v>
      </c>
      <c r="E100">
        <f>YOLLvalue*0.17</f>
        <v>8500</v>
      </c>
      <c r="F100">
        <v>2</v>
      </c>
    </row>
    <row r="101" spans="1:11" ht="12" customHeight="1">
      <c r="A101" t="s">
        <v>3</v>
      </c>
      <c r="B101" s="5" t="s">
        <v>548</v>
      </c>
      <c r="C101" s="45" t="s">
        <v>1012</v>
      </c>
      <c r="D101" s="5" t="s">
        <v>5</v>
      </c>
      <c r="E101">
        <f>0.6*YOLLvalue</f>
        <v>30000</v>
      </c>
      <c r="F101">
        <v>2</v>
      </c>
      <c r="J101" s="45"/>
    </row>
    <row r="102" spans="1:11" ht="12" customHeight="1">
      <c r="A102" t="s">
        <v>3</v>
      </c>
      <c r="B102" s="5" t="s">
        <v>548</v>
      </c>
      <c r="C102" s="45" t="s">
        <v>1407</v>
      </c>
      <c r="D102" s="5" t="s">
        <v>5</v>
      </c>
      <c r="E102">
        <f>0.031*YOLLvalue</f>
        <v>1550</v>
      </c>
      <c r="F102">
        <v>4</v>
      </c>
      <c r="J102" s="45"/>
    </row>
    <row r="103" spans="1:11" ht="12" customHeight="1">
      <c r="A103" t="s">
        <v>3</v>
      </c>
      <c r="B103" s="45" t="s">
        <v>548</v>
      </c>
      <c r="C103" s="45" t="s">
        <v>1540</v>
      </c>
      <c r="D103" s="45" t="s">
        <v>1558</v>
      </c>
      <c r="E103">
        <f>1.28*YOLLvalue</f>
        <v>64000</v>
      </c>
      <c r="F103">
        <v>2</v>
      </c>
      <c r="J103" s="45"/>
    </row>
    <row r="104" spans="1:11" ht="12" customHeight="1">
      <c r="A104" t="s">
        <v>3</v>
      </c>
      <c r="B104" s="45" t="s">
        <v>548</v>
      </c>
      <c r="C104" s="45" t="s">
        <v>1542</v>
      </c>
      <c r="D104" s="45" t="s">
        <v>1558</v>
      </c>
      <c r="E104">
        <f>0.64*YOLLvalue</f>
        <v>32000</v>
      </c>
      <c r="F104">
        <v>2</v>
      </c>
      <c r="J104" s="45"/>
    </row>
    <row r="105" spans="1:11" ht="16">
      <c r="A105" s="59" t="s">
        <v>1447</v>
      </c>
      <c r="B105" s="207" t="s">
        <v>1484</v>
      </c>
      <c r="C105" s="207"/>
      <c r="E105" s="1"/>
      <c r="I105" s="45"/>
    </row>
    <row r="106" spans="1:11">
      <c r="A106" s="45" t="s">
        <v>1434</v>
      </c>
      <c r="B106" s="45" t="s">
        <v>1435</v>
      </c>
      <c r="C106" s="45" t="s">
        <v>553</v>
      </c>
      <c r="D106" s="45" t="s">
        <v>1483</v>
      </c>
      <c r="E106">
        <v>2000</v>
      </c>
      <c r="F106">
        <v>2</v>
      </c>
    </row>
    <row r="107" spans="1:11">
      <c r="A107" s="45" t="s">
        <v>1434</v>
      </c>
      <c r="B107" s="45" t="s">
        <v>1436</v>
      </c>
      <c r="C107" s="45" t="s">
        <v>1489</v>
      </c>
      <c r="D107" s="45" t="s">
        <v>1495</v>
      </c>
      <c r="E107">
        <v>100</v>
      </c>
      <c r="F107">
        <v>2</v>
      </c>
    </row>
    <row r="108" spans="1:11">
      <c r="A108" s="45" t="s">
        <v>1437</v>
      </c>
      <c r="B108" s="45" t="s">
        <v>1435</v>
      </c>
      <c r="C108" t="s">
        <v>1488</v>
      </c>
      <c r="D108" s="45" t="s">
        <v>554</v>
      </c>
      <c r="E108">
        <v>2800</v>
      </c>
      <c r="F108">
        <v>3</v>
      </c>
    </row>
    <row r="109" spans="1:11">
      <c r="A109" s="45" t="s">
        <v>1437</v>
      </c>
      <c r="B109" s="45" t="s">
        <v>1436</v>
      </c>
      <c r="C109" s="45" t="s">
        <v>1490</v>
      </c>
      <c r="D109" s="45" t="s">
        <v>1506</v>
      </c>
      <c r="E109">
        <v>0.5</v>
      </c>
      <c r="F109">
        <v>1.5</v>
      </c>
    </row>
    <row r="110" spans="1:11">
      <c r="A110" s="45" t="s">
        <v>1439</v>
      </c>
      <c r="B110" s="45" t="s">
        <v>1435</v>
      </c>
      <c r="C110" s="45" t="s">
        <v>1440</v>
      </c>
      <c r="D110" s="45" t="s">
        <v>1502</v>
      </c>
      <c r="E110">
        <v>15000</v>
      </c>
      <c r="F110">
        <v>1.4</v>
      </c>
    </row>
    <row r="111" spans="1:11">
      <c r="A111" s="45" t="s">
        <v>1439</v>
      </c>
      <c r="B111" s="45" t="s">
        <v>1436</v>
      </c>
      <c r="C111" s="45" t="s">
        <v>1491</v>
      </c>
      <c r="D111" s="45" t="s">
        <v>1496</v>
      </c>
      <c r="E111">
        <v>2</v>
      </c>
      <c r="F111">
        <v>1.5</v>
      </c>
    </row>
    <row r="112" spans="1:11">
      <c r="A112" s="45" t="s">
        <v>1441</v>
      </c>
      <c r="B112" s="45" t="s">
        <v>1435</v>
      </c>
      <c r="C112" t="s">
        <v>550</v>
      </c>
      <c r="D112" s="45" t="s">
        <v>1503</v>
      </c>
      <c r="E112" s="41">
        <f xml:space="preserve"> 200/(2.2*30)*12*20</f>
        <v>727.27272727272725</v>
      </c>
      <c r="F112">
        <v>1.5</v>
      </c>
    </row>
    <row r="113" spans="1:10">
      <c r="A113" s="45" t="s">
        <v>1441</v>
      </c>
      <c r="B113" s="45" t="s">
        <v>1436</v>
      </c>
      <c r="C113" s="45" t="s">
        <v>1505</v>
      </c>
      <c r="D113" s="45" t="s">
        <v>1504</v>
      </c>
      <c r="E113">
        <v>3.03</v>
      </c>
      <c r="F113">
        <v>1.5</v>
      </c>
    </row>
    <row r="114" spans="1:10">
      <c r="A114" s="45" t="s">
        <v>1442</v>
      </c>
      <c r="B114" s="45" t="s">
        <v>1435</v>
      </c>
      <c r="C114" s="45" t="s">
        <v>550</v>
      </c>
      <c r="D114" s="45" t="s">
        <v>1509</v>
      </c>
      <c r="E114">
        <v>1000</v>
      </c>
      <c r="F114">
        <v>2</v>
      </c>
    </row>
    <row r="115" spans="1:10">
      <c r="A115" s="45" t="s">
        <v>1442</v>
      </c>
      <c r="B115" s="45" t="s">
        <v>1436</v>
      </c>
      <c r="C115" s="45" t="s">
        <v>1508</v>
      </c>
      <c r="D115" s="45" t="s">
        <v>1507</v>
      </c>
      <c r="E115">
        <v>50</v>
      </c>
      <c r="F115">
        <v>2</v>
      </c>
    </row>
    <row r="116" spans="1:10">
      <c r="A116" s="45" t="s">
        <v>1443</v>
      </c>
      <c r="B116" s="45" t="s">
        <v>1435</v>
      </c>
      <c r="C116" s="45" t="s">
        <v>1485</v>
      </c>
      <c r="D116" s="45" t="s">
        <v>1510</v>
      </c>
      <c r="E116">
        <v>5</v>
      </c>
      <c r="F116">
        <v>2</v>
      </c>
    </row>
    <row r="117" spans="1:10">
      <c r="A117" s="45" t="s">
        <v>1443</v>
      </c>
      <c r="B117" s="45" t="s">
        <v>1436</v>
      </c>
      <c r="C117" s="45" t="s">
        <v>1492</v>
      </c>
      <c r="D117" s="45" t="s">
        <v>1511</v>
      </c>
      <c r="E117">
        <v>0.04</v>
      </c>
      <c r="F117">
        <v>2</v>
      </c>
    </row>
    <row r="118" spans="1:10">
      <c r="A118" s="45" t="s">
        <v>1438</v>
      </c>
      <c r="B118" s="45" t="s">
        <v>1435</v>
      </c>
      <c r="C118" t="s">
        <v>551</v>
      </c>
      <c r="D118" s="45" t="s">
        <v>1512</v>
      </c>
      <c r="E118">
        <v>625</v>
      </c>
      <c r="F118">
        <v>1.4</v>
      </c>
      <c r="J118" s="45"/>
    </row>
    <row r="119" spans="1:10">
      <c r="A119" s="45" t="s">
        <v>1438</v>
      </c>
      <c r="B119" s="45" t="s">
        <v>1436</v>
      </c>
      <c r="C119" s="45" t="s">
        <v>1493</v>
      </c>
      <c r="D119" s="45" t="s">
        <v>1497</v>
      </c>
      <c r="E119">
        <v>0.04</v>
      </c>
      <c r="F119">
        <v>1.4</v>
      </c>
      <c r="J119" s="45"/>
    </row>
    <row r="120" spans="1:10">
      <c r="A120" s="45" t="s">
        <v>1438</v>
      </c>
      <c r="B120" s="45" t="s">
        <v>1435</v>
      </c>
      <c r="C120" t="s">
        <v>552</v>
      </c>
      <c r="D120" s="45" t="s">
        <v>1514</v>
      </c>
      <c r="E120">
        <v>300</v>
      </c>
      <c r="F120">
        <v>1.4</v>
      </c>
      <c r="J120" s="45"/>
    </row>
    <row r="121" spans="1:10">
      <c r="A121" s="45" t="s">
        <v>1438</v>
      </c>
      <c r="B121" s="45" t="s">
        <v>1436</v>
      </c>
      <c r="C121" s="45" t="s">
        <v>1494</v>
      </c>
      <c r="D121" s="45" t="s">
        <v>1513</v>
      </c>
      <c r="E121">
        <f>0.1</f>
        <v>0.1</v>
      </c>
      <c r="F121">
        <v>1.4</v>
      </c>
      <c r="J121" s="45"/>
    </row>
    <row r="122" spans="1:10">
      <c r="A122" s="45" t="s">
        <v>1448</v>
      </c>
      <c r="B122" s="45" t="s">
        <v>1451</v>
      </c>
      <c r="C122" s="45" t="s">
        <v>1449</v>
      </c>
      <c r="D122" s="45" t="s">
        <v>1450</v>
      </c>
      <c r="E122">
        <v>1</v>
      </c>
      <c r="F122">
        <v>1</v>
      </c>
    </row>
    <row r="123" spans="1:10" ht="16">
      <c r="A123" s="58" t="s">
        <v>1445</v>
      </c>
      <c r="B123" s="207" t="s">
        <v>1466</v>
      </c>
      <c r="C123" s="207"/>
    </row>
    <row r="124" spans="1:10">
      <c r="A124" s="45" t="s">
        <v>1457</v>
      </c>
      <c r="C124" s="53" t="s">
        <v>1458</v>
      </c>
      <c r="D124" s="45" t="s">
        <v>1465</v>
      </c>
    </row>
    <row r="125" spans="1:10">
      <c r="A125" s="45" t="s">
        <v>1457</v>
      </c>
      <c r="C125" s="45" t="s">
        <v>1456</v>
      </c>
      <c r="D125" s="45" t="s">
        <v>1464</v>
      </c>
    </row>
    <row r="126" spans="1:10">
      <c r="A126" s="45" t="s">
        <v>1452</v>
      </c>
      <c r="C126" s="45" t="s">
        <v>1459</v>
      </c>
      <c r="D126" s="45" t="s">
        <v>1464</v>
      </c>
    </row>
    <row r="127" spans="1:10">
      <c r="A127" s="45" t="s">
        <v>1474</v>
      </c>
      <c r="C127" s="45" t="s">
        <v>1460</v>
      </c>
      <c r="D127" s="45" t="s">
        <v>1465</v>
      </c>
    </row>
    <row r="128" spans="1:10">
      <c r="A128" s="45" t="s">
        <v>1462</v>
      </c>
      <c r="C128" s="45" t="s">
        <v>1461</v>
      </c>
      <c r="D128" s="45" t="s">
        <v>5</v>
      </c>
    </row>
    <row r="129" spans="1:4">
      <c r="A129" s="45" t="s">
        <v>1453</v>
      </c>
      <c r="C129" s="45" t="s">
        <v>1463</v>
      </c>
      <c r="D129" s="45" t="s">
        <v>5</v>
      </c>
    </row>
    <row r="130" spans="1:4">
      <c r="A130" s="45" t="s">
        <v>1454</v>
      </c>
      <c r="C130" s="45" t="s">
        <v>1470</v>
      </c>
      <c r="D130" s="45" t="s">
        <v>1471</v>
      </c>
    </row>
    <row r="131" spans="1:4">
      <c r="A131" s="45" t="s">
        <v>1455</v>
      </c>
      <c r="C131" s="45" t="s">
        <v>1468</v>
      </c>
      <c r="D131" s="45" t="s">
        <v>1471</v>
      </c>
    </row>
    <row r="132" spans="1:4">
      <c r="A132" s="45" t="s">
        <v>1473</v>
      </c>
      <c r="C132" s="45" t="s">
        <v>1469</v>
      </c>
      <c r="D132" s="45" t="s">
        <v>1472</v>
      </c>
    </row>
  </sheetData>
  <mergeCells count="3">
    <mergeCell ref="B2:C2"/>
    <mergeCell ref="B105:C105"/>
    <mergeCell ref="B123:C123"/>
  </mergeCells>
  <phoneticPr fontId="0" type="noConversion"/>
  <pageMargins left="0.75" right="0.75" top="1" bottom="1" header="0.5" footer="0.5"/>
  <pageSetup paperSize="9"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9"/>
  <sheetViews>
    <sheetView topLeftCell="A41" workbookViewId="0">
      <selection activeCell="J14" sqref="J14"/>
    </sheetView>
  </sheetViews>
  <sheetFormatPr baseColWidth="10" defaultColWidth="9.1640625" defaultRowHeight="11"/>
  <cols>
    <col min="1" max="1" width="18.5" style="92" customWidth="1"/>
    <col min="2" max="2" width="11.5" style="92" customWidth="1"/>
    <col min="3" max="3" width="13.33203125" style="92" bestFit="1" customWidth="1"/>
    <col min="4" max="4" width="14.5" style="92" customWidth="1"/>
    <col min="5" max="5" width="16.33203125" style="92" customWidth="1"/>
    <col min="6" max="6" width="10" style="92" customWidth="1"/>
    <col min="7" max="7" width="14.83203125" style="92" bestFit="1" customWidth="1"/>
    <col min="8" max="16384" width="9.1640625" style="92"/>
  </cols>
  <sheetData>
    <row r="1" spans="1:9" ht="18" thickTop="1" thickBot="1">
      <c r="A1" s="120" t="s">
        <v>12</v>
      </c>
      <c r="B1" s="116"/>
      <c r="C1" s="116"/>
      <c r="D1" s="116"/>
      <c r="E1" s="116"/>
      <c r="F1" s="116"/>
      <c r="G1" s="116"/>
      <c r="H1" s="116"/>
      <c r="I1" s="93"/>
    </row>
    <row r="2" spans="1:9" ht="12" thickTop="1">
      <c r="A2" s="94"/>
      <c r="B2" s="96"/>
      <c r="C2" s="96"/>
      <c r="D2" s="96"/>
      <c r="E2" s="96"/>
      <c r="F2" s="110"/>
      <c r="G2" s="96"/>
      <c r="H2" s="116"/>
    </row>
    <row r="3" spans="1:9">
      <c r="A3" s="95"/>
      <c r="B3" s="96"/>
      <c r="C3" s="96"/>
      <c r="D3" s="96"/>
      <c r="E3" s="96"/>
    </row>
    <row r="4" spans="1:9">
      <c r="A4" s="97"/>
      <c r="B4" s="98"/>
      <c r="C4" s="99"/>
      <c r="D4" s="100"/>
      <c r="E4" s="100"/>
    </row>
    <row r="5" spans="1:9">
      <c r="A5" s="97"/>
      <c r="B5" s="98"/>
      <c r="C5" s="99"/>
      <c r="D5" s="100"/>
      <c r="E5" s="100"/>
    </row>
    <row r="6" spans="1:9">
      <c r="A6" s="97"/>
      <c r="B6" s="98"/>
      <c r="C6" s="99"/>
      <c r="D6" s="100"/>
      <c r="E6" s="100"/>
    </row>
    <row r="7" spans="1:9">
      <c r="A7" s="97"/>
      <c r="B7" s="98"/>
      <c r="C7" s="99"/>
      <c r="D7" s="100"/>
      <c r="E7" s="100"/>
    </row>
    <row r="8" spans="1:9">
      <c r="A8" s="97"/>
      <c r="B8" s="98"/>
      <c r="C8" s="101"/>
      <c r="D8" s="100"/>
      <c r="E8" s="100"/>
    </row>
    <row r="9" spans="1:9">
      <c r="A9" s="97"/>
      <c r="B9" s="98"/>
      <c r="C9" s="99"/>
      <c r="D9" s="100"/>
      <c r="E9" s="100"/>
    </row>
    <row r="10" spans="1:9">
      <c r="A10" s="97"/>
      <c r="B10" s="98"/>
      <c r="C10" s="102"/>
      <c r="D10" s="100"/>
      <c r="E10" s="100"/>
    </row>
    <row r="11" spans="1:9">
      <c r="A11" s="97"/>
      <c r="B11" s="98"/>
      <c r="C11" s="102"/>
      <c r="D11" s="100"/>
      <c r="E11" s="100"/>
    </row>
    <row r="12" spans="1:9">
      <c r="A12" s="103"/>
      <c r="B12" s="98"/>
      <c r="C12" s="99"/>
      <c r="D12" s="100"/>
      <c r="E12" s="100"/>
    </row>
    <row r="13" spans="1:9">
      <c r="A13" s="97"/>
      <c r="B13" s="98"/>
      <c r="C13" s="99"/>
      <c r="D13" s="100"/>
      <c r="E13" s="100"/>
    </row>
    <row r="14" spans="1:9" ht="12" thickBot="1">
      <c r="A14" s="97"/>
      <c r="B14" s="98"/>
      <c r="C14" s="99"/>
      <c r="E14" s="100"/>
    </row>
    <row r="15" spans="1:9" ht="14" thickTop="1" thickBot="1">
      <c r="D15" s="104" t="s">
        <v>1533</v>
      </c>
      <c r="E15" s="105">
        <v>0.47</v>
      </c>
    </row>
    <row r="16" spans="1:9" ht="12" thickTop="1"/>
    <row r="21" spans="1:10" ht="12" thickBot="1"/>
    <row r="22" spans="1:10" ht="18" thickTop="1" thickBot="1">
      <c r="A22" s="120" t="s">
        <v>13</v>
      </c>
      <c r="D22" s="92" t="s">
        <v>483</v>
      </c>
      <c r="F22" s="92" t="s">
        <v>1501</v>
      </c>
    </row>
    <row r="23" spans="1:10" ht="26" thickTop="1" thickBot="1">
      <c r="A23" s="106" t="s">
        <v>647</v>
      </c>
      <c r="B23" s="107" t="s">
        <v>481</v>
      </c>
      <c r="C23" s="107" t="s">
        <v>482</v>
      </c>
      <c r="D23" s="107" t="s">
        <v>479</v>
      </c>
      <c r="E23" s="107" t="s">
        <v>480</v>
      </c>
      <c r="F23" s="107" t="s">
        <v>479</v>
      </c>
      <c r="G23" s="108" t="s">
        <v>480</v>
      </c>
    </row>
    <row r="24" spans="1:10" ht="13" thickTop="1">
      <c r="A24" s="109" t="s">
        <v>654</v>
      </c>
      <c r="B24" s="96"/>
      <c r="C24" s="96"/>
      <c r="D24" s="96"/>
      <c r="E24" s="96"/>
      <c r="F24" s="96"/>
      <c r="G24" s="96"/>
      <c r="I24" s="92" t="s">
        <v>1516</v>
      </c>
    </row>
    <row r="25" spans="1:10" ht="12">
      <c r="A25" s="97" t="s">
        <v>462</v>
      </c>
      <c r="B25" s="98" t="s">
        <v>7</v>
      </c>
      <c r="C25" s="122">
        <f>Pb_orevalue</f>
        <v>392</v>
      </c>
      <c r="D25" s="122">
        <v>2.3199999999999998E-6</v>
      </c>
      <c r="E25" s="122">
        <f>C25*D25</f>
        <v>9.0943999999999997E-4</v>
      </c>
      <c r="F25" s="123">
        <f>D25*0.1</f>
        <v>2.3199999999999999E-7</v>
      </c>
      <c r="G25" s="123">
        <f>F25*C25</f>
        <v>9.0943999999999988E-5</v>
      </c>
      <c r="J25" s="111"/>
    </row>
    <row r="26" spans="1:10" ht="12">
      <c r="A26" s="97" t="s">
        <v>463</v>
      </c>
      <c r="B26" s="98" t="s">
        <v>7</v>
      </c>
      <c r="C26" s="122">
        <f>Cr_orevalue</f>
        <v>59.457831325301207</v>
      </c>
      <c r="D26" s="122">
        <v>3.5499999999999999E-6</v>
      </c>
      <c r="E26" s="122">
        <f>C26*D26</f>
        <v>2.1107530120481927E-4</v>
      </c>
      <c r="F26" s="123">
        <f>D26*0.1</f>
        <v>3.5499999999999999E-7</v>
      </c>
      <c r="G26" s="123">
        <f t="shared" ref="G26:G40" si="0">F26*C26</f>
        <v>2.1107530120481929E-5</v>
      </c>
    </row>
    <row r="27" spans="1:10" ht="12">
      <c r="A27" s="97" t="s">
        <v>464</v>
      </c>
      <c r="B27" s="98" t="s">
        <v>7</v>
      </c>
      <c r="C27" s="122">
        <f>Fe_orevalue</f>
        <v>0.81003952519780287</v>
      </c>
      <c r="D27" s="122">
        <v>7.4899999999999999E-4</v>
      </c>
      <c r="E27" s="122">
        <f t="shared" ref="E27:E43" si="1">C27*D27</f>
        <v>6.0671960437315431E-4</v>
      </c>
      <c r="F27" s="123">
        <f>D27*0.1</f>
        <v>7.4900000000000005E-5</v>
      </c>
      <c r="G27" s="123">
        <f t="shared" si="0"/>
        <v>6.0671960437315442E-5</v>
      </c>
    </row>
    <row r="28" spans="1:10" ht="12">
      <c r="A28" s="97" t="s">
        <v>1553</v>
      </c>
      <c r="B28" s="98" t="s">
        <v>1554</v>
      </c>
      <c r="C28" s="122">
        <v>0.63984119852362098</v>
      </c>
      <c r="D28" s="122">
        <v>5.6499999999999999E-7</v>
      </c>
      <c r="E28" s="122">
        <f t="shared" si="1"/>
        <v>3.6151027716584583E-7</v>
      </c>
      <c r="F28" s="123">
        <v>5.6499999999999999E-7</v>
      </c>
      <c r="G28" s="123">
        <f t="shared" si="0"/>
        <v>3.6151027716584583E-7</v>
      </c>
    </row>
    <row r="29" spans="1:10" ht="12">
      <c r="A29" s="97" t="s">
        <v>465</v>
      </c>
      <c r="B29" s="98" t="s">
        <v>7</v>
      </c>
      <c r="C29" s="122">
        <f>Cu_orevalue</f>
        <v>90.948000000000008</v>
      </c>
      <c r="D29" s="122">
        <v>3.29E-5</v>
      </c>
      <c r="E29" s="122">
        <f t="shared" si="1"/>
        <v>2.9921892000000002E-3</v>
      </c>
      <c r="F29" s="123">
        <f>D29*0.1</f>
        <v>3.2900000000000003E-6</v>
      </c>
      <c r="G29" s="123">
        <f t="shared" si="0"/>
        <v>2.9921892000000003E-4</v>
      </c>
    </row>
    <row r="30" spans="1:10" ht="12">
      <c r="A30" s="97" t="s">
        <v>466</v>
      </c>
      <c r="B30" s="98" t="s">
        <v>7</v>
      </c>
      <c r="C30" s="122">
        <f>Ni_orevalue</f>
        <v>107.37272727272727</v>
      </c>
      <c r="D30" s="122">
        <v>1.7999999999999999E-6</v>
      </c>
      <c r="E30" s="122">
        <f t="shared" si="1"/>
        <v>1.9327090909090908E-4</v>
      </c>
      <c r="F30" s="123">
        <f>D30*0.1</f>
        <v>1.8E-7</v>
      </c>
      <c r="G30" s="123">
        <f t="shared" si="0"/>
        <v>1.932709090909091E-5</v>
      </c>
    </row>
    <row r="31" spans="1:10" ht="12">
      <c r="A31" s="97" t="s">
        <v>467</v>
      </c>
      <c r="B31" s="98" t="s">
        <v>7</v>
      </c>
      <c r="C31" s="122">
        <f>Ag_orevalue</f>
        <v>72760</v>
      </c>
      <c r="D31" s="122">
        <v>3.8999999999999998E-8</v>
      </c>
      <c r="E31" s="122">
        <f t="shared" si="1"/>
        <v>2.8376399999999998E-3</v>
      </c>
      <c r="F31" s="123">
        <f>D31*0.1</f>
        <v>3.9000000000000002E-9</v>
      </c>
      <c r="G31" s="123">
        <f t="shared" si="0"/>
        <v>2.8376399999999999E-4</v>
      </c>
    </row>
    <row r="32" spans="1:10" ht="12">
      <c r="A32" s="97" t="s">
        <v>468</v>
      </c>
      <c r="B32" s="98" t="s">
        <v>7</v>
      </c>
      <c r="C32" s="122">
        <f>Zn_orevalue</f>
        <v>32.371830985915494</v>
      </c>
      <c r="D32" s="122">
        <v>2.0899999999999999E-8</v>
      </c>
      <c r="E32" s="122">
        <f t="shared" si="1"/>
        <v>6.7657126760563382E-7</v>
      </c>
      <c r="F32" s="123">
        <f>D32*0.1</f>
        <v>2.09E-9</v>
      </c>
      <c r="G32" s="123">
        <f t="shared" si="0"/>
        <v>6.7657126760563379E-8</v>
      </c>
    </row>
    <row r="33" spans="1:11" ht="12">
      <c r="A33" s="97" t="s">
        <v>469</v>
      </c>
      <c r="B33" s="98" t="s">
        <v>7</v>
      </c>
      <c r="C33" s="122">
        <f>Sn_orevalue</f>
        <v>481.81818181818181</v>
      </c>
      <c r="D33" s="122">
        <v>2.1699999999999999E-8</v>
      </c>
      <c r="E33" s="122">
        <f t="shared" si="1"/>
        <v>1.0455454545454545E-5</v>
      </c>
      <c r="F33" s="123">
        <f>D33*0.1</f>
        <v>2.1700000000000002E-9</v>
      </c>
      <c r="G33" s="123">
        <f t="shared" si="0"/>
        <v>1.0455454545454546E-6</v>
      </c>
    </row>
    <row r="34" spans="1:11" ht="15.75" customHeight="1">
      <c r="A34" s="97" t="s">
        <v>470</v>
      </c>
      <c r="B34" s="98" t="s">
        <v>471</v>
      </c>
      <c r="C34" s="122">
        <f>naturalgasvalue/22.4*16</f>
        <v>0.19778104316685269</v>
      </c>
      <c r="D34" s="122">
        <v>7.3299999999999997E-3</v>
      </c>
      <c r="E34" s="122">
        <f t="shared" si="1"/>
        <v>1.4497350464130301E-3</v>
      </c>
      <c r="F34" s="123"/>
      <c r="G34" s="123"/>
    </row>
    <row r="35" spans="1:11" ht="12">
      <c r="A35" s="97" t="s">
        <v>473</v>
      </c>
      <c r="B35" s="98" t="s">
        <v>7</v>
      </c>
      <c r="C35" s="122">
        <f>lignitevalue</f>
        <v>9.7772069189248176E-2</v>
      </c>
      <c r="D35" s="122">
        <v>4.3299999999999998E-2</v>
      </c>
      <c r="E35" s="122">
        <f t="shared" si="1"/>
        <v>4.2335305958944459E-3</v>
      </c>
      <c r="F35" s="123"/>
      <c r="G35" s="123"/>
    </row>
    <row r="36" spans="1:11" ht="12">
      <c r="A36" s="97" t="s">
        <v>474</v>
      </c>
      <c r="B36" s="98" t="s">
        <v>7</v>
      </c>
      <c r="C36" s="122">
        <v>9.2999999999999999E-2</v>
      </c>
      <c r="D36" s="122">
        <v>3.32E-2</v>
      </c>
      <c r="E36" s="122">
        <f t="shared" si="1"/>
        <v>3.0875999999999998E-3</v>
      </c>
      <c r="F36" s="123"/>
      <c r="G36" s="123"/>
    </row>
    <row r="37" spans="1:11" ht="12">
      <c r="A37" s="97" t="s">
        <v>475</v>
      </c>
      <c r="B37" s="98" t="s">
        <v>7</v>
      </c>
      <c r="C37" s="122">
        <f>methanevalue</f>
        <v>3.8203507688338036</v>
      </c>
      <c r="D37" s="122">
        <v>3.21E-4</v>
      </c>
      <c r="E37" s="122">
        <f t="shared" si="1"/>
        <v>1.226332596795651E-3</v>
      </c>
      <c r="F37" s="123">
        <v>3.2100000000000001E-5</v>
      </c>
      <c r="G37" s="123">
        <f t="shared" si="0"/>
        <v>1.226332596795651E-4</v>
      </c>
    </row>
    <row r="38" spans="1:11" ht="12">
      <c r="A38" s="97" t="s">
        <v>476</v>
      </c>
      <c r="B38" s="98" t="s">
        <v>7</v>
      </c>
      <c r="C38" s="122">
        <f>CO2value</f>
        <v>0.13478038028616854</v>
      </c>
      <c r="D38" s="122">
        <v>0.14699999999999999</v>
      </c>
      <c r="E38" s="122">
        <f t="shared" si="1"/>
        <v>1.9812715902066774E-2</v>
      </c>
      <c r="F38" s="123"/>
      <c r="G38" s="123"/>
    </row>
    <row r="39" spans="1:11" ht="12">
      <c r="A39" s="97" t="s">
        <v>477</v>
      </c>
      <c r="B39" s="98" t="s">
        <v>7</v>
      </c>
      <c r="C39" s="122">
        <f>NMVOCvalue</f>
        <v>17.408381273323123</v>
      </c>
      <c r="D39" s="122">
        <v>2.32E-4</v>
      </c>
      <c r="E39" s="122">
        <f t="shared" si="1"/>
        <v>4.0387444554109645E-3</v>
      </c>
      <c r="F39" s="123">
        <v>2.3200000000000001E-5</v>
      </c>
      <c r="G39" s="123">
        <f t="shared" si="0"/>
        <v>4.0387444554109645E-4</v>
      </c>
      <c r="J39" s="111"/>
    </row>
    <row r="40" spans="1:11" ht="12">
      <c r="A40" s="97" t="s">
        <v>478</v>
      </c>
      <c r="B40" s="98" t="s">
        <v>7</v>
      </c>
      <c r="C40" s="122">
        <f>'9. Particles'!L122</f>
        <v>0</v>
      </c>
      <c r="D40" s="122">
        <v>1.1400000000000001E-6</v>
      </c>
      <c r="E40" s="122">
        <f t="shared" si="1"/>
        <v>0</v>
      </c>
      <c r="F40" s="123">
        <v>1.14E-7</v>
      </c>
      <c r="G40" s="123">
        <f t="shared" si="0"/>
        <v>0</v>
      </c>
    </row>
    <row r="41" spans="1:11" ht="12">
      <c r="A41" s="103" t="s">
        <v>655</v>
      </c>
      <c r="B41" s="98"/>
      <c r="C41" s="122"/>
      <c r="D41" s="122"/>
      <c r="E41" s="122"/>
      <c r="F41" s="123"/>
      <c r="G41" s="123"/>
    </row>
    <row r="42" spans="1:11" ht="12">
      <c r="A42" s="97" t="s">
        <v>472</v>
      </c>
      <c r="B42" s="98" t="s">
        <v>7</v>
      </c>
      <c r="C42" s="122">
        <v>5.7000000000000002E-2</v>
      </c>
      <c r="D42" s="122">
        <f>1/0.45*0.59</f>
        <v>1.3111111111111111</v>
      </c>
      <c r="E42" s="122">
        <v>5.7000000000000002E-2</v>
      </c>
      <c r="F42" s="122">
        <f>1/0.45*0.59</f>
        <v>1.3111111111111111</v>
      </c>
      <c r="G42" s="123">
        <f>F42*C42</f>
        <v>7.4733333333333332E-2</v>
      </c>
    </row>
    <row r="43" spans="1:11" ht="25" thickBot="1">
      <c r="A43" s="112" t="s">
        <v>648</v>
      </c>
      <c r="B43" s="113" t="s">
        <v>7</v>
      </c>
      <c r="C43" s="117">
        <v>8.5000000000000006E-2</v>
      </c>
      <c r="D43" s="117">
        <v>1</v>
      </c>
      <c r="E43" s="117">
        <f t="shared" si="1"/>
        <v>8.5000000000000006E-2</v>
      </c>
      <c r="F43" s="113">
        <v>1</v>
      </c>
      <c r="G43" s="113">
        <f>F43*C43</f>
        <v>8.5000000000000006E-2</v>
      </c>
    </row>
    <row r="44" spans="1:11" ht="14" thickTop="1" thickBot="1">
      <c r="A44" s="114" t="s">
        <v>178</v>
      </c>
      <c r="B44" s="107"/>
      <c r="C44" s="107"/>
      <c r="D44" s="107"/>
      <c r="E44" s="115">
        <f>SUM(E25:E43)</f>
        <v>0.18361048714733996</v>
      </c>
      <c r="F44" s="107"/>
      <c r="G44" s="105">
        <f>SUM(G25:G43)</f>
        <v>0.16103634925287935</v>
      </c>
    </row>
    <row r="45" spans="1:11" ht="12" thickTop="1"/>
    <row r="46" spans="1:11" ht="12" thickBot="1"/>
    <row r="47" spans="1:11" ht="19" thickTop="1" thickBot="1">
      <c r="A47" s="121" t="s">
        <v>473</v>
      </c>
      <c r="B47" s="107"/>
      <c r="C47" s="107"/>
      <c r="D47" s="107"/>
      <c r="E47" s="105">
        <f>G44/28*17</f>
        <v>9.7772069189248176E-2</v>
      </c>
    </row>
    <row r="48" spans="1:11" ht="12" thickTop="1">
      <c r="K48" s="116"/>
    </row>
    <row r="49" spans="1:7" ht="12" thickBot="1">
      <c r="B49" s="118"/>
      <c r="C49" s="118"/>
      <c r="D49" s="118"/>
      <c r="E49" s="118"/>
    </row>
    <row r="50" spans="1:7" ht="18" thickTop="1" thickBot="1">
      <c r="A50" s="120" t="s">
        <v>14</v>
      </c>
      <c r="B50" s="118"/>
      <c r="C50" s="118"/>
      <c r="D50" s="118"/>
      <c r="E50" s="118"/>
    </row>
    <row r="51" spans="1:7" ht="14" thickTop="1" thickBot="1">
      <c r="A51" s="114" t="s">
        <v>647</v>
      </c>
      <c r="B51" s="107"/>
      <c r="C51" s="107"/>
      <c r="D51" s="107" t="s">
        <v>575</v>
      </c>
      <c r="E51" s="108" t="s">
        <v>577</v>
      </c>
    </row>
    <row r="52" spans="1:7" ht="12" thickTop="1">
      <c r="A52" s="93" t="s">
        <v>654</v>
      </c>
      <c r="B52" s="96"/>
      <c r="C52" s="96"/>
      <c r="D52" s="96"/>
      <c r="E52" s="96"/>
    </row>
    <row r="53" spans="1:7" ht="12">
      <c r="A53" s="110" t="s">
        <v>651</v>
      </c>
      <c r="B53" s="96"/>
      <c r="C53" s="96"/>
      <c r="D53" s="96"/>
      <c r="E53" s="96"/>
    </row>
    <row r="54" spans="1:7" ht="12">
      <c r="A54" s="110" t="s">
        <v>652</v>
      </c>
      <c r="B54" s="96"/>
      <c r="C54" s="96"/>
      <c r="D54" s="96"/>
      <c r="E54" s="96"/>
    </row>
    <row r="55" spans="1:7" ht="12">
      <c r="A55" s="110" t="s">
        <v>653</v>
      </c>
      <c r="B55" s="96"/>
      <c r="C55" s="96"/>
      <c r="D55" s="96"/>
      <c r="E55" s="96"/>
    </row>
    <row r="56" spans="1:7" ht="12">
      <c r="A56" s="110" t="s">
        <v>157</v>
      </c>
      <c r="B56" s="96">
        <f>0.008*CO2value</f>
        <v>1.0782430422893482E-3</v>
      </c>
      <c r="C56" s="96" t="s">
        <v>657</v>
      </c>
      <c r="D56" s="96"/>
      <c r="E56" s="96">
        <f>B56</f>
        <v>1.0782430422893482E-3</v>
      </c>
    </row>
    <row r="57" spans="1:7" ht="12">
      <c r="A57" s="95" t="s">
        <v>656</v>
      </c>
      <c r="B57" s="96"/>
      <c r="C57" s="96"/>
      <c r="D57" s="96"/>
      <c r="E57" s="96"/>
    </row>
    <row r="58" spans="1:7">
      <c r="A58" s="116" t="s">
        <v>461</v>
      </c>
      <c r="B58" s="119">
        <v>5</v>
      </c>
      <c r="C58" s="119" t="s">
        <v>573</v>
      </c>
      <c r="D58" s="119">
        <f>B58*0.05</f>
        <v>0.25</v>
      </c>
      <c r="E58" s="119"/>
    </row>
    <row r="59" spans="1:7" ht="12" thickBot="1">
      <c r="A59" s="116" t="s">
        <v>574</v>
      </c>
      <c r="B59" s="119">
        <v>0.15</v>
      </c>
      <c r="C59" s="119" t="s">
        <v>576</v>
      </c>
      <c r="D59" s="119">
        <f>B59*12/16</f>
        <v>0.11249999999999999</v>
      </c>
      <c r="E59" s="119"/>
    </row>
    <row r="60" spans="1:7" ht="14" thickTop="1" thickBot="1">
      <c r="A60" s="114"/>
      <c r="B60" s="107"/>
      <c r="C60" s="107" t="s">
        <v>447</v>
      </c>
      <c r="D60" s="107">
        <f>D58+D59</f>
        <v>0.36249999999999999</v>
      </c>
      <c r="E60" s="105">
        <f>D60/9.2*7+E56</f>
        <v>0.27689346043359375</v>
      </c>
    </row>
    <row r="61" spans="1:7" ht="12" thickTop="1"/>
    <row r="62" spans="1:7">
      <c r="A62" s="109"/>
      <c r="B62" s="96"/>
      <c r="C62" s="96"/>
      <c r="D62" s="96"/>
      <c r="E62" s="96"/>
      <c r="F62" s="110"/>
      <c r="G62" s="96"/>
    </row>
    <row r="63" spans="1:7">
      <c r="A63" s="97"/>
      <c r="B63" s="98"/>
      <c r="C63" s="99"/>
      <c r="D63" s="100"/>
      <c r="E63" s="100"/>
      <c r="F63" s="97"/>
      <c r="G63" s="98"/>
    </row>
    <row r="64" spans="1:7">
      <c r="A64" s="97"/>
      <c r="B64" s="98"/>
      <c r="C64" s="99"/>
      <c r="D64" s="100"/>
      <c r="E64" s="100"/>
      <c r="F64" s="97"/>
      <c r="G64" s="98"/>
    </row>
    <row r="65" spans="1:7">
      <c r="A65" s="97"/>
      <c r="B65" s="98"/>
      <c r="C65" s="99"/>
      <c r="D65" s="100"/>
      <c r="E65" s="100"/>
      <c r="F65" s="97"/>
      <c r="G65" s="98"/>
    </row>
    <row r="66" spans="1:7">
      <c r="A66" s="97"/>
      <c r="B66" s="98"/>
      <c r="C66" s="99"/>
      <c r="D66" s="100"/>
      <c r="E66" s="100"/>
      <c r="F66" s="97"/>
      <c r="G66" s="98"/>
    </row>
    <row r="67" spans="1:7">
      <c r="A67" s="97"/>
      <c r="B67" s="98"/>
      <c r="C67" s="101"/>
      <c r="D67" s="100"/>
      <c r="E67" s="100"/>
      <c r="F67" s="97"/>
      <c r="G67" s="98"/>
    </row>
    <row r="68" spans="1:7">
      <c r="A68" s="97"/>
      <c r="B68" s="98"/>
      <c r="C68" s="99"/>
      <c r="D68" s="100"/>
      <c r="E68" s="100"/>
      <c r="F68" s="97"/>
      <c r="G68" s="98"/>
    </row>
    <row r="69" spans="1:7">
      <c r="A69" s="97"/>
      <c r="B69" s="98"/>
      <c r="C69" s="99"/>
      <c r="D69" s="100"/>
      <c r="E69" s="100"/>
      <c r="F69" s="97"/>
      <c r="G69" s="98"/>
    </row>
    <row r="70" spans="1:7">
      <c r="A70" s="97"/>
      <c r="B70" s="98"/>
      <c r="C70" s="99"/>
      <c r="D70" s="100"/>
      <c r="E70" s="100"/>
      <c r="F70" s="97"/>
      <c r="G70" s="98"/>
    </row>
    <row r="71" spans="1:7">
      <c r="A71" s="97"/>
      <c r="B71" s="98"/>
      <c r="C71" s="99"/>
      <c r="D71" s="100"/>
      <c r="E71" s="100"/>
      <c r="F71" s="97"/>
      <c r="G71" s="98"/>
    </row>
    <row r="72" spans="1:7">
      <c r="A72" s="97"/>
      <c r="B72" s="98"/>
      <c r="C72" s="99"/>
      <c r="D72" s="100"/>
      <c r="E72" s="100"/>
      <c r="F72" s="97"/>
      <c r="G72" s="98"/>
    </row>
    <row r="73" spans="1:7">
      <c r="A73" s="97"/>
      <c r="B73" s="98"/>
      <c r="C73" s="99"/>
      <c r="D73" s="100"/>
      <c r="E73" s="100"/>
      <c r="F73" s="97"/>
      <c r="G73" s="98"/>
    </row>
    <row r="74" spans="1:7">
      <c r="A74" s="97"/>
      <c r="B74" s="98"/>
      <c r="C74" s="99"/>
      <c r="D74" s="100"/>
      <c r="E74" s="100"/>
      <c r="F74" s="97"/>
      <c r="G74" s="98"/>
    </row>
    <row r="75" spans="1:7">
      <c r="A75" s="97"/>
      <c r="B75" s="98"/>
      <c r="C75" s="99"/>
      <c r="D75" s="100"/>
      <c r="E75" s="100"/>
      <c r="F75" s="97"/>
      <c r="G75" s="98"/>
    </row>
    <row r="76" spans="1:7">
      <c r="A76" s="97"/>
      <c r="B76" s="98"/>
      <c r="C76" s="101"/>
      <c r="D76" s="100"/>
      <c r="E76" s="100"/>
      <c r="F76" s="97"/>
      <c r="G76" s="98"/>
    </row>
    <row r="77" spans="1:7">
      <c r="A77" s="97"/>
      <c r="B77" s="98"/>
      <c r="C77" s="99"/>
      <c r="D77" s="100"/>
      <c r="E77" s="100"/>
      <c r="F77" s="97"/>
      <c r="G77" s="98"/>
    </row>
    <row r="78" spans="1:7">
      <c r="A78" s="97"/>
      <c r="B78" s="98"/>
      <c r="C78" s="99"/>
      <c r="D78" s="100"/>
      <c r="E78" s="100"/>
      <c r="F78" s="97"/>
      <c r="G78" s="98"/>
    </row>
    <row r="79" spans="1:7">
      <c r="A79" s="103"/>
      <c r="B79" s="98"/>
      <c r="C79" s="99"/>
      <c r="D79" s="100"/>
      <c r="E79" s="100"/>
      <c r="F79" s="97"/>
      <c r="G79" s="98"/>
    </row>
  </sheetData>
  <phoneticPr fontId="0" type="noConversion"/>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topLeftCell="A24" workbookViewId="0">
      <selection activeCell="L190" sqref="L190"/>
    </sheetView>
  </sheetViews>
  <sheetFormatPr baseColWidth="10" defaultColWidth="8.83203125" defaultRowHeight="13"/>
  <cols>
    <col min="1" max="1" width="24.83203125" customWidth="1"/>
    <col min="2" max="2" width="15.5" customWidth="1"/>
    <col min="3" max="3" width="12.6640625" customWidth="1"/>
    <col min="4" max="4" width="9.1640625" customWidth="1"/>
    <col min="5" max="5" width="15.83203125" customWidth="1"/>
    <col min="6" max="6" width="15" customWidth="1"/>
    <col min="11" max="11" width="9.83203125" customWidth="1"/>
  </cols>
  <sheetData>
    <row r="1" spans="1:15" ht="16">
      <c r="A1" s="10" t="s">
        <v>586</v>
      </c>
    </row>
    <row r="2" spans="1:15" ht="14" thickBot="1"/>
    <row r="3" spans="1:15" ht="13.5" customHeight="1" thickTop="1" thickBot="1">
      <c r="A3" s="18"/>
      <c r="B3" s="212">
        <v>1</v>
      </c>
      <c r="C3" s="213"/>
      <c r="D3" s="212">
        <v>2</v>
      </c>
      <c r="E3" s="213"/>
      <c r="F3" s="212">
        <v>5</v>
      </c>
      <c r="G3" s="213"/>
      <c r="H3" s="212">
        <v>6</v>
      </c>
      <c r="I3" s="213"/>
      <c r="J3" s="11"/>
    </row>
    <row r="4" spans="1:15" ht="14.25" customHeight="1" thickBot="1">
      <c r="A4" s="19" t="s">
        <v>443</v>
      </c>
      <c r="B4" s="208" t="s">
        <v>444</v>
      </c>
      <c r="C4" s="209"/>
      <c r="D4" s="19" t="s">
        <v>445</v>
      </c>
      <c r="E4" s="19"/>
      <c r="F4" s="210" t="s">
        <v>446</v>
      </c>
      <c r="G4" s="211"/>
      <c r="H4" s="210" t="s">
        <v>587</v>
      </c>
      <c r="I4" s="211"/>
      <c r="J4" s="21" t="s">
        <v>447</v>
      </c>
      <c r="K4" s="1"/>
      <c r="L4" s="1"/>
      <c r="M4" s="1"/>
      <c r="N4" s="1"/>
      <c r="O4" s="1"/>
    </row>
    <row r="5" spans="1:15" ht="19" thickBot="1">
      <c r="A5" s="22"/>
      <c r="B5" s="23" t="s">
        <v>438</v>
      </c>
      <c r="C5" s="23" t="s">
        <v>439</v>
      </c>
      <c r="D5" s="24" t="s">
        <v>440</v>
      </c>
      <c r="E5" s="24" t="s">
        <v>441</v>
      </c>
      <c r="F5" s="24" t="s">
        <v>442</v>
      </c>
      <c r="G5" s="24" t="s">
        <v>441</v>
      </c>
      <c r="H5" s="24" t="s">
        <v>588</v>
      </c>
      <c r="I5" s="24" t="s">
        <v>441</v>
      </c>
      <c r="J5" s="17" t="s">
        <v>439</v>
      </c>
      <c r="K5" s="1"/>
      <c r="L5" s="1"/>
      <c r="M5" s="1"/>
      <c r="N5" s="1"/>
      <c r="O5" s="1"/>
    </row>
    <row r="6" spans="1:15" ht="19" thickTop="1">
      <c r="A6" s="13" t="s">
        <v>579</v>
      </c>
      <c r="B6" s="25"/>
      <c r="C6" s="26"/>
      <c r="D6" s="28">
        <v>2.5599999999999999E-5</v>
      </c>
      <c r="E6" s="29">
        <v>1.6500000000000001E-5</v>
      </c>
      <c r="F6" s="28">
        <v>4.7899999999999998E-2</v>
      </c>
      <c r="G6" s="29">
        <v>7.5399999999999995E-2</v>
      </c>
      <c r="H6" s="28">
        <v>5.7700000000000001E-2</v>
      </c>
      <c r="I6" s="29">
        <v>0.111</v>
      </c>
      <c r="J6" s="29">
        <f>C6+E6+G6+I6</f>
        <v>0.18641649999999998</v>
      </c>
      <c r="K6" s="29"/>
      <c r="L6" s="1"/>
      <c r="M6" s="1"/>
      <c r="N6" s="1"/>
      <c r="O6" s="1"/>
    </row>
    <row r="7" spans="1:15" ht="14">
      <c r="A7" s="13" t="s">
        <v>430</v>
      </c>
      <c r="B7" s="25"/>
      <c r="C7" s="29">
        <v>0</v>
      </c>
      <c r="D7" s="28">
        <v>9.31E-5</v>
      </c>
      <c r="E7" s="29">
        <v>6.02E-5</v>
      </c>
      <c r="F7" s="28">
        <v>0.24099999999999999</v>
      </c>
      <c r="G7" s="29">
        <v>0.38</v>
      </c>
      <c r="H7" s="28">
        <v>3.8300000000000001E-2</v>
      </c>
      <c r="I7" s="29">
        <v>7.3800000000000004E-2</v>
      </c>
      <c r="J7" s="29">
        <f t="shared" ref="J7:J13" si="0">C7+E7+G7+I7</f>
        <v>0.45386020000000005</v>
      </c>
      <c r="K7" s="29"/>
      <c r="L7" s="1"/>
      <c r="M7" s="1"/>
      <c r="N7" s="1"/>
      <c r="O7" s="1"/>
    </row>
    <row r="8" spans="1:15" ht="14">
      <c r="A8" s="13" t="s">
        <v>431</v>
      </c>
      <c r="B8" s="25"/>
      <c r="C8" s="29">
        <v>0</v>
      </c>
      <c r="D8" s="28">
        <v>2.7599999999999999E-4</v>
      </c>
      <c r="E8" s="29">
        <v>1.7899999999999999E-4</v>
      </c>
      <c r="F8" s="28">
        <v>0.192</v>
      </c>
      <c r="G8" s="29">
        <v>0.30299999999999999</v>
      </c>
      <c r="H8" s="28">
        <v>3.1300000000000001E-2</v>
      </c>
      <c r="I8" s="29">
        <v>6.0299999999999999E-2</v>
      </c>
      <c r="J8" s="29">
        <f t="shared" si="0"/>
        <v>0.363479</v>
      </c>
      <c r="K8" s="29"/>
      <c r="L8" s="1"/>
      <c r="M8" s="1"/>
      <c r="N8" s="1"/>
      <c r="O8" s="1"/>
    </row>
    <row r="9" spans="1:15" ht="14">
      <c r="A9" s="13" t="s">
        <v>432</v>
      </c>
      <c r="B9" s="30">
        <v>2.8500000000000001E-2</v>
      </c>
      <c r="C9" s="29">
        <v>1.84E-2</v>
      </c>
      <c r="D9" s="28">
        <v>7.75E-5</v>
      </c>
      <c r="E9" s="29">
        <v>5.0099999999999998E-5</v>
      </c>
      <c r="F9" s="28">
        <v>5.4800000000000001E-2</v>
      </c>
      <c r="G9" s="29">
        <v>8.6199999999999999E-2</v>
      </c>
      <c r="H9" s="28">
        <v>1.0699999999999999E-2</v>
      </c>
      <c r="I9" s="29">
        <v>2.06E-2</v>
      </c>
      <c r="J9" s="29">
        <f t="shared" si="0"/>
        <v>0.1252501</v>
      </c>
      <c r="K9" s="29"/>
      <c r="L9" s="1"/>
      <c r="M9" s="1"/>
      <c r="N9" s="1"/>
      <c r="O9" s="1"/>
    </row>
    <row r="10" spans="1:15" ht="18">
      <c r="A10" s="13" t="s">
        <v>580</v>
      </c>
      <c r="B10" s="25"/>
      <c r="C10" s="29">
        <v>0</v>
      </c>
      <c r="D10" s="28">
        <v>2.4200000000000001E-6</v>
      </c>
      <c r="E10" s="29">
        <v>1.5600000000000001E-6</v>
      </c>
      <c r="F10" s="28">
        <v>1.82E-3</v>
      </c>
      <c r="G10" s="29">
        <v>2.8600000000000001E-3</v>
      </c>
      <c r="H10" s="28">
        <v>5.8399999999999999E-4</v>
      </c>
      <c r="I10" s="29">
        <v>1.1299999999999999E-3</v>
      </c>
      <c r="J10" s="29">
        <f t="shared" si="0"/>
        <v>3.9915599999999999E-3</v>
      </c>
      <c r="K10" s="29"/>
      <c r="L10" s="1"/>
      <c r="M10" s="1"/>
      <c r="N10" s="1"/>
      <c r="O10" s="1"/>
    </row>
    <row r="11" spans="1:15" ht="18">
      <c r="A11" s="13" t="s">
        <v>581</v>
      </c>
      <c r="B11" s="30">
        <v>9.4799999999999995E-2</v>
      </c>
      <c r="C11" s="29">
        <v>6.1199999999999997E-2</v>
      </c>
      <c r="D11" s="28">
        <v>1.1100000000000001E-3</v>
      </c>
      <c r="E11" s="29">
        <v>7.1599999999999995E-4</v>
      </c>
      <c r="F11" s="28">
        <v>0.80300000000000005</v>
      </c>
      <c r="G11" s="29">
        <v>1.27</v>
      </c>
      <c r="H11" s="28">
        <v>0.23400000000000001</v>
      </c>
      <c r="I11" s="29">
        <v>0.45</v>
      </c>
      <c r="J11" s="29">
        <f t="shared" si="0"/>
        <v>1.7819160000000001</v>
      </c>
      <c r="K11" s="29"/>
      <c r="L11" s="1"/>
      <c r="M11" s="1"/>
      <c r="N11" s="1"/>
      <c r="O11" s="1"/>
    </row>
    <row r="12" spans="1:15" ht="14">
      <c r="A12" s="13" t="s">
        <v>435</v>
      </c>
      <c r="B12" s="30">
        <v>1.18E-4</v>
      </c>
      <c r="C12" s="29">
        <v>7.5900000000000002E-5</v>
      </c>
      <c r="D12" s="28">
        <v>9.9999999999999995E-7</v>
      </c>
      <c r="E12" s="29">
        <v>6.4600000000000004E-7</v>
      </c>
      <c r="F12" s="28">
        <v>4.1899999999999999E-4</v>
      </c>
      <c r="G12" s="29">
        <v>6.6E-4</v>
      </c>
      <c r="H12" s="28">
        <v>8.5000000000000006E-5</v>
      </c>
      <c r="I12" s="29">
        <v>1.64E-4</v>
      </c>
      <c r="J12" s="29">
        <f t="shared" si="0"/>
        <v>9.0054600000000001E-4</v>
      </c>
      <c r="K12" s="29"/>
      <c r="L12" s="1"/>
      <c r="M12" s="1"/>
      <c r="N12" s="1"/>
      <c r="O12" s="1"/>
    </row>
    <row r="13" spans="1:15" ht="14">
      <c r="A13" s="13" t="s">
        <v>436</v>
      </c>
      <c r="B13" s="30">
        <v>5.2499999999999997E-4</v>
      </c>
      <c r="C13" s="29">
        <v>3.39E-4</v>
      </c>
      <c r="D13" s="28">
        <v>4.1999999999999996E-6</v>
      </c>
      <c r="E13" s="29">
        <v>2.7099999999999999E-6</v>
      </c>
      <c r="F13" s="28">
        <v>1.8E-3</v>
      </c>
      <c r="G13" s="29">
        <v>2.8300000000000001E-3</v>
      </c>
      <c r="H13" s="28">
        <v>4.4000000000000002E-4</v>
      </c>
      <c r="I13" s="29">
        <v>8.4599999999999996E-4</v>
      </c>
      <c r="J13" s="29">
        <f t="shared" si="0"/>
        <v>4.0177099999999999E-3</v>
      </c>
      <c r="K13" s="29"/>
    </row>
    <row r="14" spans="1:15" ht="17" thickBot="1">
      <c r="A14" s="27" t="s">
        <v>437</v>
      </c>
      <c r="B14" s="16"/>
      <c r="C14" s="31">
        <v>0</v>
      </c>
      <c r="D14" s="32">
        <v>3.0000000000000001E-6</v>
      </c>
      <c r="E14" s="31">
        <v>1.9400000000000001E-6</v>
      </c>
      <c r="F14" s="32">
        <v>4.0000000000000001E-3</v>
      </c>
      <c r="G14" s="31">
        <v>6.2899999999999996E-3</v>
      </c>
      <c r="H14" s="32">
        <v>5.3600000000000002E-3</v>
      </c>
      <c r="I14" s="31">
        <v>1.03E-2</v>
      </c>
      <c r="J14" s="31">
        <v>1.66E-2</v>
      </c>
      <c r="K14" s="35"/>
      <c r="L14" s="10" t="s">
        <v>589</v>
      </c>
    </row>
    <row r="15" spans="1:15" ht="14" thickTop="1">
      <c r="G15" s="1"/>
      <c r="H15" s="1"/>
      <c r="K15" s="1"/>
    </row>
    <row r="16" spans="1:15">
      <c r="G16" s="1"/>
      <c r="H16" s="1"/>
      <c r="K16" s="1"/>
      <c r="M16" s="1"/>
    </row>
    <row r="17" spans="1:15" ht="16">
      <c r="A17" s="10" t="s">
        <v>584</v>
      </c>
      <c r="B17" s="1"/>
      <c r="C17" s="1"/>
      <c r="D17" s="1"/>
      <c r="E17" s="1"/>
      <c r="F17" s="1"/>
      <c r="G17" s="1"/>
      <c r="H17" s="1"/>
      <c r="K17" s="1"/>
      <c r="M17" s="1"/>
    </row>
    <row r="18" spans="1:15" ht="14" thickBot="1">
      <c r="C18" s="1"/>
      <c r="D18" s="1"/>
      <c r="E18" s="1"/>
      <c r="F18" s="1"/>
      <c r="G18" s="1"/>
      <c r="H18" s="1"/>
      <c r="K18" s="1"/>
      <c r="M18" s="1"/>
    </row>
    <row r="19" spans="1:15" ht="46" thickTop="1" thickBot="1">
      <c r="A19" s="11"/>
      <c r="B19" s="12" t="s">
        <v>585</v>
      </c>
      <c r="C19" s="12" t="s">
        <v>590</v>
      </c>
      <c r="D19" s="12" t="s">
        <v>448</v>
      </c>
      <c r="E19" s="12" t="s">
        <v>449</v>
      </c>
      <c r="F19" s="12" t="s">
        <v>450</v>
      </c>
      <c r="G19" s="1"/>
      <c r="H19" s="1"/>
      <c r="K19" s="1"/>
      <c r="M19" s="1"/>
    </row>
    <row r="20" spans="1:15" ht="18">
      <c r="A20" s="13" t="s">
        <v>579</v>
      </c>
      <c r="B20" s="28">
        <f>naturalgasvalue*16/22.4</f>
        <v>0.19778104316685269</v>
      </c>
      <c r="C20" s="33">
        <v>0.186</v>
      </c>
      <c r="D20" s="33">
        <v>6.64</v>
      </c>
      <c r="E20" s="33">
        <f>B20*C20</f>
        <v>3.6787274029034603E-2</v>
      </c>
      <c r="F20" s="15"/>
      <c r="G20" s="1"/>
      <c r="H20" s="1"/>
      <c r="J20" s="33"/>
      <c r="K20" s="1"/>
      <c r="M20" s="1"/>
    </row>
    <row r="21" spans="1:15" ht="14">
      <c r="A21" s="13" t="s">
        <v>430</v>
      </c>
      <c r="B21" s="28">
        <f>lignitevalue</f>
        <v>9.7772069189248176E-2</v>
      </c>
      <c r="C21" s="33">
        <v>0.45300000000000001</v>
      </c>
      <c r="D21" s="33">
        <v>7.71</v>
      </c>
      <c r="E21" s="33">
        <f t="shared" ref="E21:E29" si="1">B21*C21</f>
        <v>4.4290747342729427E-2</v>
      </c>
      <c r="F21" s="15"/>
      <c r="G21" s="1"/>
      <c r="H21" s="1"/>
      <c r="J21" s="33"/>
      <c r="K21" s="1"/>
      <c r="M21" s="1"/>
    </row>
    <row r="22" spans="1:15" ht="14">
      <c r="A22" s="13" t="s">
        <v>431</v>
      </c>
      <c r="B22" s="28">
        <f>coalvalue</f>
        <v>0.16103634925287935</v>
      </c>
      <c r="C22" s="33">
        <v>0.36399999999999999</v>
      </c>
      <c r="D22" s="33">
        <v>10.9</v>
      </c>
      <c r="E22" s="33">
        <f t="shared" si="1"/>
        <v>5.8617231128048085E-2</v>
      </c>
      <c r="F22" s="15"/>
      <c r="G22" s="1"/>
      <c r="H22" s="1"/>
      <c r="J22" s="33"/>
      <c r="K22" s="1"/>
      <c r="M22" s="1"/>
    </row>
    <row r="23" spans="1:15" ht="14">
      <c r="A23" s="13" t="s">
        <v>432</v>
      </c>
      <c r="B23" s="28">
        <f>oilvalue</f>
        <v>0.47</v>
      </c>
      <c r="C23" s="33">
        <v>0.125</v>
      </c>
      <c r="D23" s="33">
        <v>5.01</v>
      </c>
      <c r="E23" s="33">
        <f t="shared" si="1"/>
        <v>5.8749999999999997E-2</v>
      </c>
      <c r="F23" s="15"/>
      <c r="J23" s="33"/>
      <c r="M23" s="5"/>
      <c r="N23" s="5"/>
      <c r="O23" s="5"/>
    </row>
    <row r="24" spans="1:15" ht="14">
      <c r="A24" s="13" t="s">
        <v>451</v>
      </c>
      <c r="B24" s="28">
        <v>5.5999999999999995E-4</v>
      </c>
      <c r="C24" s="15"/>
      <c r="D24" s="15"/>
      <c r="E24" s="33">
        <f t="shared" si="1"/>
        <v>0</v>
      </c>
      <c r="F24" s="33">
        <f>B24*D30</f>
        <v>1.6968E-2</v>
      </c>
      <c r="H24" s="33"/>
      <c r="M24" s="1"/>
      <c r="N24" s="1"/>
      <c r="O24" s="1"/>
    </row>
    <row r="25" spans="1:15" ht="18">
      <c r="A25" s="13" t="s">
        <v>580</v>
      </c>
      <c r="B25" s="54">
        <f>methanevalue</f>
        <v>3.8203507688338036</v>
      </c>
      <c r="C25" s="33">
        <v>3.9899999999999996E-3</v>
      </c>
      <c r="D25" s="15"/>
      <c r="E25" s="33">
        <f t="shared" si="1"/>
        <v>1.5243199567646875E-2</v>
      </c>
      <c r="F25" s="15"/>
      <c r="M25" s="1"/>
      <c r="N25" s="1"/>
      <c r="O25" s="1"/>
    </row>
    <row r="26" spans="1:15" ht="18">
      <c r="A26" s="13" t="s">
        <v>581</v>
      </c>
      <c r="B26" s="33">
        <f>CO2value</f>
        <v>0.13478038028616854</v>
      </c>
      <c r="C26" s="33">
        <v>1.78</v>
      </c>
      <c r="D26" s="15"/>
      <c r="E26" s="33">
        <f t="shared" si="1"/>
        <v>0.23990907690938001</v>
      </c>
      <c r="F26" s="15"/>
      <c r="M26" s="1"/>
      <c r="N26" s="1"/>
      <c r="O26" s="1"/>
    </row>
    <row r="27" spans="1:15" ht="14">
      <c r="A27" s="13" t="s">
        <v>452</v>
      </c>
      <c r="B27" s="54">
        <f>NMVOCvalue</f>
        <v>17.408381273323123</v>
      </c>
      <c r="C27" s="33">
        <v>9.01E-4</v>
      </c>
      <c r="D27" s="15"/>
      <c r="E27" s="33">
        <f t="shared" si="1"/>
        <v>1.5684951527264134E-2</v>
      </c>
      <c r="F27" s="15"/>
      <c r="M27" s="1"/>
      <c r="N27" s="1"/>
      <c r="O27" s="1"/>
    </row>
    <row r="28" spans="1:15" ht="18">
      <c r="A28" s="13" t="s">
        <v>582</v>
      </c>
      <c r="B28" s="54">
        <f>NOxvalue</f>
        <v>-14.07161252757381</v>
      </c>
      <c r="C28" s="33">
        <v>4.0200000000000001E-3</v>
      </c>
      <c r="D28" s="15"/>
      <c r="E28" s="33">
        <f t="shared" si="1"/>
        <v>-5.656788236084672E-2</v>
      </c>
      <c r="F28" s="33">
        <f>0.5*B28*C28</f>
        <v>-2.828394118042336E-2</v>
      </c>
      <c r="M28" s="1"/>
      <c r="N28" s="1"/>
      <c r="O28" s="1"/>
    </row>
    <row r="29" spans="1:15" ht="18">
      <c r="A29" s="13" t="s">
        <v>583</v>
      </c>
      <c r="B29" s="54">
        <f>SO2value</f>
        <v>-6.657808082750325</v>
      </c>
      <c r="C29" s="33">
        <v>1.66E-2</v>
      </c>
      <c r="D29" s="15"/>
      <c r="E29" s="33">
        <f t="shared" si="1"/>
        <v>-0.1105196141736554</v>
      </c>
      <c r="F29" s="33">
        <f>0.1*B29*C29</f>
        <v>-1.1051961417365539E-2</v>
      </c>
      <c r="M29" s="1"/>
      <c r="N29" s="1"/>
      <c r="O29" s="1"/>
    </row>
    <row r="30" spans="1:15" ht="15" thickBot="1">
      <c r="A30" s="16"/>
      <c r="B30" s="17"/>
      <c r="C30" s="17" t="s">
        <v>178</v>
      </c>
      <c r="D30" s="34">
        <v>30.3</v>
      </c>
      <c r="E30" s="34">
        <f>SUM(E20:E29)</f>
        <v>0.30219498396960104</v>
      </c>
      <c r="F30" s="34">
        <f>SUM(F20:F29)</f>
        <v>-2.2367902597788897E-2</v>
      </c>
      <c r="G30" s="1"/>
      <c r="I30" s="1"/>
      <c r="M30" s="1"/>
      <c r="N30" s="1"/>
      <c r="O30" s="1"/>
    </row>
    <row r="31" spans="1:15" ht="14" thickTop="1">
      <c r="B31" s="1"/>
      <c r="C31" s="1"/>
      <c r="F31" s="1"/>
      <c r="K31" s="1"/>
      <c r="M31" s="1"/>
      <c r="N31" s="1"/>
      <c r="O31" s="1"/>
    </row>
    <row r="32" spans="1:15">
      <c r="B32" s="1"/>
      <c r="C32" s="1"/>
      <c r="F32" s="1"/>
      <c r="M32" s="1"/>
      <c r="N32" s="1"/>
      <c r="O32" s="1"/>
    </row>
    <row r="33" spans="1:15">
      <c r="B33" s="1"/>
      <c r="C33" s="1"/>
      <c r="F33" s="1"/>
      <c r="M33" s="1"/>
      <c r="N33" s="1"/>
      <c r="O33" s="1"/>
    </row>
    <row r="34" spans="1:15" ht="16">
      <c r="A34" s="10" t="s">
        <v>591</v>
      </c>
      <c r="B34" s="1"/>
      <c r="C34" s="1"/>
      <c r="F34" s="1"/>
      <c r="G34" s="1"/>
      <c r="N34" s="5"/>
      <c r="O34" s="1"/>
    </row>
    <row r="35" spans="1:15" ht="14" thickBot="1">
      <c r="B35" s="1"/>
      <c r="C35" s="1"/>
      <c r="F35" s="1"/>
      <c r="G35" s="1"/>
    </row>
    <row r="36" spans="1:15" ht="30" thickTop="1" thickBot="1">
      <c r="A36" s="36" t="s">
        <v>454</v>
      </c>
      <c r="B36" s="12" t="s">
        <v>455</v>
      </c>
      <c r="D36" s="1"/>
      <c r="E36" s="1"/>
      <c r="F36" s="1"/>
      <c r="G36" s="1"/>
      <c r="M36" s="5"/>
    </row>
    <row r="37" spans="1:15" ht="14">
      <c r="A37" s="13" t="s">
        <v>456</v>
      </c>
      <c r="B37" s="33">
        <v>8.6499999999999997E-3</v>
      </c>
    </row>
    <row r="38" spans="1:15" ht="14">
      <c r="A38" s="13" t="s">
        <v>457</v>
      </c>
      <c r="B38" s="33">
        <v>6.0499999999999998E-2</v>
      </c>
    </row>
    <row r="39" spans="1:15" ht="14">
      <c r="A39" s="13" t="s">
        <v>458</v>
      </c>
      <c r="B39" s="33">
        <v>0.14799999999999999</v>
      </c>
    </row>
    <row r="40" spans="1:15" ht="14">
      <c r="A40" s="13" t="s">
        <v>459</v>
      </c>
      <c r="B40" s="33">
        <v>7.2499999999999995E-2</v>
      </c>
      <c r="C40" s="1"/>
      <c r="F40" s="1"/>
    </row>
    <row r="41" spans="1:15" ht="14">
      <c r="A41" s="13" t="s">
        <v>460</v>
      </c>
      <c r="B41" s="33">
        <v>0.08</v>
      </c>
      <c r="C41" s="1"/>
      <c r="F41" s="1"/>
    </row>
    <row r="42" spans="1:15" ht="15" thickBot="1">
      <c r="A42" s="27" t="s">
        <v>447</v>
      </c>
      <c r="B42" s="17">
        <f>SUM(B37:B41)</f>
        <v>0.36965000000000003</v>
      </c>
      <c r="C42" s="1"/>
      <c r="F42" s="1"/>
    </row>
    <row r="43" spans="1:15" ht="15" thickTop="1" thickBot="1">
      <c r="B43" s="1"/>
      <c r="C43" s="1"/>
      <c r="E43" s="1"/>
      <c r="F43" s="1"/>
    </row>
    <row r="44" spans="1:15" ht="15" thickTop="1" thickBot="1">
      <c r="B44" s="1"/>
      <c r="C44" s="124"/>
      <c r="D44" s="125"/>
      <c r="E44" s="126" t="s">
        <v>1517</v>
      </c>
      <c r="F44" s="105">
        <f>F30+B42</f>
        <v>0.34728209740221117</v>
      </c>
      <c r="G44" s="127" t="s">
        <v>603</v>
      </c>
    </row>
    <row r="45" spans="1:15" ht="14" thickTop="1">
      <c r="B45" s="1"/>
      <c r="C45" s="1"/>
      <c r="F45" s="1"/>
    </row>
    <row r="48" spans="1:15">
      <c r="G48" s="1"/>
    </row>
  </sheetData>
  <mergeCells count="7">
    <mergeCell ref="B4:C4"/>
    <mergeCell ref="F4:G4"/>
    <mergeCell ref="H4:I4"/>
    <mergeCell ref="B3:C3"/>
    <mergeCell ref="F3:G3"/>
    <mergeCell ref="H3:I3"/>
    <mergeCell ref="D3:E3"/>
  </mergeCells>
  <phoneticPr fontId="0" type="noConversion"/>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topLeftCell="A15" workbookViewId="0">
      <selection activeCell="L190" sqref="L190"/>
    </sheetView>
  </sheetViews>
  <sheetFormatPr baseColWidth="10" defaultColWidth="8.83203125" defaultRowHeight="13"/>
  <cols>
    <col min="1" max="1" width="23.6640625" customWidth="1"/>
    <col min="2" max="2" width="16.6640625" customWidth="1"/>
    <col min="3" max="3" width="14.5" customWidth="1"/>
    <col min="4" max="4" width="15.83203125" customWidth="1"/>
    <col min="5" max="5" width="16.1640625" customWidth="1"/>
    <col min="6" max="6" width="15.83203125" customWidth="1"/>
  </cols>
  <sheetData>
    <row r="1" spans="1:11">
      <c r="A1" s="2" t="s">
        <v>599</v>
      </c>
    </row>
    <row r="2" spans="1:11" ht="14" thickBot="1"/>
    <row r="3" spans="1:11" ht="43" thickTop="1">
      <c r="A3" s="214" t="s">
        <v>443</v>
      </c>
      <c r="B3" s="216" t="s">
        <v>1476</v>
      </c>
      <c r="C3" s="216" t="s">
        <v>593</v>
      </c>
      <c r="D3" s="37" t="s">
        <v>594</v>
      </c>
      <c r="E3" s="216" t="s">
        <v>596</v>
      </c>
      <c r="F3" s="37" t="s">
        <v>597</v>
      </c>
      <c r="G3" s="2"/>
      <c r="H3" s="2"/>
      <c r="I3" s="2"/>
      <c r="J3" s="2"/>
    </row>
    <row r="4" spans="1:11" ht="15" thickBot="1">
      <c r="A4" s="215"/>
      <c r="B4" s="217"/>
      <c r="C4" s="217"/>
      <c r="D4" s="20" t="s">
        <v>595</v>
      </c>
      <c r="E4" s="217"/>
      <c r="F4" s="20" t="s">
        <v>598</v>
      </c>
    </row>
    <row r="5" spans="1:11" ht="14">
      <c r="A5" s="13" t="s">
        <v>429</v>
      </c>
      <c r="B5" s="28">
        <f>naturalgasvalue*22.4/16</f>
        <v>0.38765084460703125</v>
      </c>
      <c r="C5" s="28">
        <v>0.41099999999999998</v>
      </c>
      <c r="D5" s="28">
        <v>14.7</v>
      </c>
      <c r="E5" s="28">
        <f>B5*C5</f>
        <v>0.15932449713348984</v>
      </c>
      <c r="F5" s="14"/>
      <c r="G5" s="1"/>
      <c r="H5" s="1"/>
      <c r="I5" s="1"/>
      <c r="J5" s="1"/>
      <c r="K5" s="1"/>
    </row>
    <row r="6" spans="1:11" ht="14">
      <c r="A6" s="13" t="s">
        <v>430</v>
      </c>
      <c r="B6" s="28">
        <f>lignitevalue</f>
        <v>9.7772069189248176E-2</v>
      </c>
      <c r="C6" s="28">
        <v>0.72299999999999998</v>
      </c>
      <c r="D6" s="28">
        <v>12.3</v>
      </c>
      <c r="E6" s="28">
        <f t="shared" ref="E6:E15" si="0">B6*C6</f>
        <v>7.0689206023826431E-2</v>
      </c>
      <c r="F6" s="14"/>
      <c r="G6" s="1"/>
      <c r="H6" s="1"/>
      <c r="I6" s="1"/>
      <c r="J6" s="1"/>
      <c r="K6" s="1"/>
    </row>
    <row r="7" spans="1:11" ht="14">
      <c r="A7" s="13" t="s">
        <v>431</v>
      </c>
      <c r="B7" s="28">
        <f>coalvalue</f>
        <v>0.16103634925287935</v>
      </c>
      <c r="C7" s="28">
        <v>0.58099999999999996</v>
      </c>
      <c r="D7" s="28">
        <v>17.399999999999999</v>
      </c>
      <c r="E7" s="28">
        <f t="shared" si="0"/>
        <v>9.3562118915922893E-2</v>
      </c>
      <c r="F7" s="14"/>
      <c r="G7" s="1"/>
      <c r="H7" s="1"/>
      <c r="I7" s="1"/>
      <c r="J7" s="1"/>
    </row>
    <row r="8" spans="1:11" ht="14">
      <c r="A8" s="13" t="s">
        <v>432</v>
      </c>
      <c r="B8" s="28">
        <f>oilvalue</f>
        <v>0.47</v>
      </c>
      <c r="C8" s="28">
        <v>0.26700000000000002</v>
      </c>
      <c r="D8" s="28">
        <v>10.7</v>
      </c>
      <c r="E8" s="28">
        <f t="shared" si="0"/>
        <v>0.12548999999999999</v>
      </c>
      <c r="F8" s="14"/>
      <c r="G8" s="1"/>
      <c r="H8" s="1"/>
      <c r="I8" s="1"/>
      <c r="J8" s="1"/>
    </row>
    <row r="9" spans="1:11" ht="14">
      <c r="A9" s="13" t="s">
        <v>451</v>
      </c>
      <c r="B9" s="28">
        <v>5.5999999999999995E-4</v>
      </c>
      <c r="C9" s="14"/>
      <c r="D9" s="14"/>
      <c r="E9" s="28">
        <f t="shared" si="0"/>
        <v>0</v>
      </c>
      <c r="F9" s="28">
        <f>SUM(D5:D8)*B9</f>
        <v>3.0855999999999995E-2</v>
      </c>
      <c r="G9" s="28"/>
      <c r="H9" s="1"/>
      <c r="I9" s="1"/>
      <c r="J9" s="1"/>
      <c r="K9" s="1"/>
    </row>
    <row r="10" spans="1:11" ht="14">
      <c r="A10" s="13" t="s">
        <v>433</v>
      </c>
      <c r="B10" s="28">
        <f>methanevalue</f>
        <v>3.8203507688338036</v>
      </c>
      <c r="C10" s="28">
        <v>7.0400000000000003E-3</v>
      </c>
      <c r="D10" s="14"/>
      <c r="E10" s="28">
        <f t="shared" si="0"/>
        <v>2.6895269412589979E-2</v>
      </c>
      <c r="F10" s="14"/>
      <c r="G10" s="1"/>
      <c r="H10" s="1"/>
      <c r="I10" s="1"/>
      <c r="J10" s="1"/>
      <c r="K10" s="1"/>
    </row>
    <row r="11" spans="1:11" ht="14">
      <c r="A11" s="13" t="s">
        <v>434</v>
      </c>
      <c r="B11" s="28">
        <f>CO2value</f>
        <v>0.13478038028616854</v>
      </c>
      <c r="C11" s="28">
        <v>2.98</v>
      </c>
      <c r="D11" s="14"/>
      <c r="E11" s="28">
        <f t="shared" si="0"/>
        <v>0.40164553325278224</v>
      </c>
      <c r="F11" s="14"/>
      <c r="G11" s="1"/>
      <c r="H11" s="1"/>
      <c r="I11" s="1"/>
      <c r="J11" s="1"/>
      <c r="K11" s="1"/>
    </row>
    <row r="12" spans="1:11" ht="14">
      <c r="A12" s="13" t="s">
        <v>452</v>
      </c>
      <c r="B12" s="28">
        <f>NMVOCvalue</f>
        <v>17.408381273323123</v>
      </c>
      <c r="C12" s="28">
        <v>1.5499999999999999E-3</v>
      </c>
      <c r="D12" s="14"/>
      <c r="E12" s="28">
        <f t="shared" si="0"/>
        <v>2.6982990973650839E-2</v>
      </c>
      <c r="F12" s="14"/>
      <c r="G12" s="1"/>
      <c r="H12" s="1"/>
      <c r="I12" s="1"/>
      <c r="J12" s="1"/>
      <c r="K12" s="1"/>
    </row>
    <row r="13" spans="1:11" ht="14">
      <c r="A13" s="13" t="s">
        <v>453</v>
      </c>
      <c r="B13" s="28">
        <f>NOxvalue</f>
        <v>-14.07161252757381</v>
      </c>
      <c r="C13" s="28">
        <v>7.9299999999999995E-3</v>
      </c>
      <c r="D13" s="14"/>
      <c r="E13" s="28">
        <f t="shared" si="0"/>
        <v>-0.11158788734366031</v>
      </c>
      <c r="F13" s="28">
        <f>E13/10</f>
        <v>-1.1158788734366031E-2</v>
      </c>
      <c r="G13" s="28"/>
      <c r="H13" s="1"/>
      <c r="I13" s="1"/>
      <c r="J13" s="1"/>
      <c r="K13" s="1"/>
    </row>
    <row r="14" spans="1:11" ht="14">
      <c r="A14" s="13" t="s">
        <v>437</v>
      </c>
      <c r="B14" s="28">
        <f>SO2value</f>
        <v>-6.657808082750325</v>
      </c>
      <c r="C14" s="28">
        <v>3.7199999999999997E-2</v>
      </c>
      <c r="D14" s="14"/>
      <c r="E14" s="28">
        <f t="shared" si="0"/>
        <v>-0.24767046067831208</v>
      </c>
      <c r="F14" s="28">
        <f>E14/10</f>
        <v>-2.4767046067831207E-2</v>
      </c>
      <c r="J14" s="1"/>
    </row>
    <row r="15" spans="1:11" ht="14">
      <c r="A15" s="13" t="s">
        <v>484</v>
      </c>
      <c r="B15" s="28">
        <f>Industryuseofforestlandvalue</f>
        <v>3.2304800000000005</v>
      </c>
      <c r="C15" s="28">
        <v>3.2000000000000001E-2</v>
      </c>
      <c r="D15" s="14"/>
      <c r="E15" s="28">
        <f t="shared" si="0"/>
        <v>0.10337536000000001</v>
      </c>
      <c r="F15" s="28">
        <f>E15</f>
        <v>0.10337536000000001</v>
      </c>
    </row>
    <row r="16" spans="1:11" ht="15" thickBot="1">
      <c r="A16" s="16"/>
      <c r="B16" s="17"/>
      <c r="C16" s="17" t="s">
        <v>178</v>
      </c>
      <c r="D16" s="32">
        <v>55.1</v>
      </c>
      <c r="E16" s="32">
        <f>SUM(E5:E15)</f>
        <v>0.64870662769028986</v>
      </c>
      <c r="F16" s="32">
        <f>SUM(F5:F15)</f>
        <v>9.8305525197802779E-2</v>
      </c>
    </row>
    <row r="17" spans="1:8" ht="14" thickTop="1"/>
    <row r="19" spans="1:8">
      <c r="B19" s="1"/>
      <c r="C19" s="1"/>
      <c r="D19" s="1"/>
      <c r="E19" s="1"/>
    </row>
    <row r="20" spans="1:8" ht="16">
      <c r="A20" s="38" t="s">
        <v>600</v>
      </c>
      <c r="B20" s="1"/>
      <c r="C20" s="1"/>
      <c r="D20" s="1"/>
      <c r="E20" s="1"/>
      <c r="G20" s="10" t="s">
        <v>592</v>
      </c>
    </row>
    <row r="21" spans="1:8" ht="14" thickBot="1">
      <c r="B21" s="1"/>
      <c r="C21" s="1"/>
      <c r="D21" s="1"/>
      <c r="E21" s="1"/>
    </row>
    <row r="22" spans="1:8" ht="30" thickTop="1" thickBot="1">
      <c r="A22" s="36" t="s">
        <v>454</v>
      </c>
      <c r="B22" s="36" t="s">
        <v>293</v>
      </c>
      <c r="C22" s="12" t="s">
        <v>489</v>
      </c>
      <c r="D22" s="12" t="s">
        <v>490</v>
      </c>
      <c r="E22" s="12" t="s">
        <v>601</v>
      </c>
    </row>
    <row r="23" spans="1:8" ht="14">
      <c r="A23" s="13" t="s">
        <v>1555</v>
      </c>
      <c r="B23" s="13" t="s">
        <v>7</v>
      </c>
      <c r="C23" s="28">
        <f>oilvalue</f>
        <v>0.47</v>
      </c>
      <c r="D23" s="28">
        <v>9.2200000000000004E-2</v>
      </c>
      <c r="E23" s="28">
        <f>C23*D23</f>
        <v>4.3333999999999998E-2</v>
      </c>
      <c r="F23" s="28"/>
      <c r="H23" s="1"/>
    </row>
    <row r="24" spans="1:8" ht="14">
      <c r="A24" s="13" t="s">
        <v>457</v>
      </c>
      <c r="B24" s="13" t="s">
        <v>487</v>
      </c>
      <c r="C24" s="28">
        <v>2E-3</v>
      </c>
      <c r="D24" s="28">
        <v>55.1</v>
      </c>
      <c r="E24" s="28">
        <f>C24*D24</f>
        <v>0.11020000000000001</v>
      </c>
      <c r="F24" s="28"/>
    </row>
    <row r="25" spans="1:8" ht="14">
      <c r="A25" s="13" t="s">
        <v>485</v>
      </c>
      <c r="B25" s="13" t="s">
        <v>7</v>
      </c>
      <c r="C25" s="28">
        <v>0.1</v>
      </c>
      <c r="D25" s="28">
        <v>2.15</v>
      </c>
      <c r="E25" s="28">
        <f>C25*D25</f>
        <v>0.215</v>
      </c>
      <c r="F25" s="28"/>
    </row>
    <row r="26" spans="1:8" ht="18">
      <c r="A26" s="13" t="s">
        <v>602</v>
      </c>
      <c r="B26" s="13" t="s">
        <v>7</v>
      </c>
      <c r="C26" s="28">
        <v>0.04</v>
      </c>
      <c r="D26" s="28">
        <v>5.34</v>
      </c>
      <c r="E26" s="28">
        <f>C26*D26</f>
        <v>0.21360000000000001</v>
      </c>
      <c r="F26" s="28"/>
    </row>
    <row r="27" spans="1:8" ht="14">
      <c r="A27" s="13" t="s">
        <v>488</v>
      </c>
      <c r="B27" s="13" t="s">
        <v>7</v>
      </c>
      <c r="C27" s="28">
        <v>4.0000000000000001E-3</v>
      </c>
      <c r="D27" s="28">
        <v>32.4</v>
      </c>
      <c r="E27" s="28">
        <f>C27*D27</f>
        <v>0.12959999999999999</v>
      </c>
      <c r="F27" s="28"/>
    </row>
    <row r="28" spans="1:8" ht="15" thickBot="1">
      <c r="A28" s="16" t="s">
        <v>447</v>
      </c>
      <c r="B28" s="16"/>
      <c r="C28" s="17"/>
      <c r="D28" s="17"/>
      <c r="E28" s="32">
        <f>SUM(E23:E27)</f>
        <v>0.71173400000000009</v>
      </c>
      <c r="F28" s="39"/>
    </row>
    <row r="29" spans="1:8" ht="15" thickTop="1" thickBot="1">
      <c r="B29" s="1"/>
      <c r="C29" s="1"/>
      <c r="E29" s="1"/>
      <c r="F29" s="1"/>
    </row>
    <row r="30" spans="1:8" ht="15" thickTop="1" thickBot="1">
      <c r="E30" s="124" t="s">
        <v>604</v>
      </c>
      <c r="F30" s="126"/>
      <c r="G30" s="105">
        <f>F16+E28</f>
        <v>0.81003952519780287</v>
      </c>
      <c r="H30" s="127" t="s">
        <v>603</v>
      </c>
    </row>
    <row r="31" spans="1:8" ht="14" thickTop="1"/>
    <row r="34" spans="3:7">
      <c r="C34" s="1"/>
      <c r="D34" s="1"/>
      <c r="E34" s="1"/>
    </row>
    <row r="35" spans="3:7">
      <c r="C35" s="1"/>
      <c r="D35" s="1"/>
      <c r="E35" s="1"/>
    </row>
    <row r="36" spans="3:7">
      <c r="C36" s="1"/>
      <c r="D36" s="1"/>
      <c r="E36" s="1"/>
    </row>
    <row r="37" spans="3:7">
      <c r="C37" s="1"/>
      <c r="D37" s="1"/>
      <c r="E37" s="1"/>
    </row>
    <row r="38" spans="3:7">
      <c r="C38" s="1"/>
      <c r="D38" s="1"/>
      <c r="E38" s="1"/>
    </row>
    <row r="39" spans="3:7">
      <c r="C39" s="1"/>
      <c r="E39" s="1"/>
      <c r="G39" s="1"/>
    </row>
  </sheetData>
  <mergeCells count="4">
    <mergeCell ref="A3:A4"/>
    <mergeCell ref="B3:B4"/>
    <mergeCell ref="C3:C4"/>
    <mergeCell ref="E3:E4"/>
  </mergeCells>
  <phoneticPr fontId="0" type="noConversion"/>
  <pageMargins left="0.75" right="0.75" top="1" bottom="1" header="0.5" footer="0.5"/>
  <pageSetup paperSize="9" orientation="portrait"/>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1"/>
  <sheetViews>
    <sheetView workbookViewId="0">
      <selection activeCell="L190" sqref="L190"/>
    </sheetView>
  </sheetViews>
  <sheetFormatPr baseColWidth="10" defaultColWidth="8.83203125" defaultRowHeight="13"/>
  <cols>
    <col min="1" max="1" width="14.5" bestFit="1" customWidth="1"/>
    <col min="2" max="2" width="13.5" bestFit="1" customWidth="1"/>
    <col min="3" max="3" width="23.83203125" bestFit="1" customWidth="1"/>
    <col min="4" max="4" width="12" customWidth="1"/>
    <col min="7" max="7" width="11" bestFit="1" customWidth="1"/>
    <col min="8" max="9" width="11.5" bestFit="1" customWidth="1"/>
  </cols>
  <sheetData>
    <row r="1" spans="1:12" ht="28">
      <c r="A1" t="s">
        <v>297</v>
      </c>
      <c r="B1" t="s">
        <v>298</v>
      </c>
      <c r="C1" s="6" t="s">
        <v>1500</v>
      </c>
      <c r="D1" t="s">
        <v>299</v>
      </c>
    </row>
    <row r="2" spans="1:12">
      <c r="A2" t="s">
        <v>397</v>
      </c>
      <c r="B2" t="s">
        <v>401</v>
      </c>
      <c r="C2" s="4">
        <v>0.05</v>
      </c>
      <c r="D2" s="4">
        <f>3638/C2</f>
        <v>72760</v>
      </c>
      <c r="E2">
        <v>3</v>
      </c>
      <c r="G2" s="1"/>
    </row>
    <row r="3" spans="1:12">
      <c r="A3" t="s">
        <v>254</v>
      </c>
      <c r="B3" t="s">
        <v>402</v>
      </c>
      <c r="C3" s="4">
        <v>1.5</v>
      </c>
      <c r="D3" s="4">
        <f t="shared" ref="D3:D64" si="0">3638/C3</f>
        <v>2425.3333333333335</v>
      </c>
      <c r="E3">
        <v>3</v>
      </c>
      <c r="L3" s="1"/>
    </row>
    <row r="4" spans="1:12">
      <c r="A4" t="s">
        <v>300</v>
      </c>
      <c r="B4" t="s">
        <v>301</v>
      </c>
      <c r="C4" s="4">
        <v>1.8E-3</v>
      </c>
      <c r="D4" s="4">
        <f t="shared" si="0"/>
        <v>2021111.1111111112</v>
      </c>
      <c r="E4">
        <v>3</v>
      </c>
    </row>
    <row r="5" spans="1:12">
      <c r="A5" t="s">
        <v>302</v>
      </c>
      <c r="B5" t="s">
        <v>303</v>
      </c>
      <c r="C5" s="4">
        <v>550</v>
      </c>
      <c r="D5" s="4">
        <f t="shared" si="0"/>
        <v>6.6145454545454543</v>
      </c>
      <c r="E5">
        <v>3</v>
      </c>
    </row>
    <row r="6" spans="1:12">
      <c r="A6" t="s">
        <v>304</v>
      </c>
      <c r="B6" t="s">
        <v>305</v>
      </c>
      <c r="C6" s="4">
        <v>3</v>
      </c>
      <c r="D6" s="4">
        <f t="shared" si="0"/>
        <v>1212.6666666666667</v>
      </c>
      <c r="E6">
        <v>3</v>
      </c>
    </row>
    <row r="7" spans="1:12">
      <c r="A7" t="s">
        <v>398</v>
      </c>
      <c r="B7" t="s">
        <v>403</v>
      </c>
      <c r="C7" s="4">
        <v>0.13</v>
      </c>
      <c r="D7" s="4">
        <f t="shared" si="0"/>
        <v>27984.615384615383</v>
      </c>
      <c r="E7">
        <v>3</v>
      </c>
    </row>
    <row r="8" spans="1:12">
      <c r="A8" s="5" t="s">
        <v>606</v>
      </c>
      <c r="B8" s="5" t="s">
        <v>605</v>
      </c>
      <c r="C8" s="4">
        <v>42000</v>
      </c>
      <c r="D8" s="4">
        <v>0</v>
      </c>
      <c r="E8">
        <v>3</v>
      </c>
    </row>
    <row r="9" spans="1:12">
      <c r="A9" t="s">
        <v>255</v>
      </c>
      <c r="B9" t="s">
        <v>404</v>
      </c>
      <c r="C9" s="4">
        <v>9.8000000000000004E-2</v>
      </c>
      <c r="D9" s="4">
        <f>0.102/C9*67700</f>
        <v>70463.265306122441</v>
      </c>
      <c r="E9">
        <v>3</v>
      </c>
      <c r="I9" s="1"/>
    </row>
    <row r="10" spans="1:12">
      <c r="A10" t="s">
        <v>306</v>
      </c>
      <c r="B10" t="s">
        <v>307</v>
      </c>
      <c r="C10" s="4">
        <v>64</v>
      </c>
      <c r="D10" s="4">
        <f t="shared" si="0"/>
        <v>56.84375</v>
      </c>
      <c r="E10">
        <v>3</v>
      </c>
    </row>
    <row r="11" spans="1:12">
      <c r="A11" t="s">
        <v>308</v>
      </c>
      <c r="B11" t="s">
        <v>309</v>
      </c>
      <c r="C11" s="4">
        <v>17</v>
      </c>
      <c r="D11" s="4">
        <f>262/C11*11.6</f>
        <v>178.7764705882353</v>
      </c>
      <c r="E11">
        <v>3</v>
      </c>
      <c r="I11" s="1"/>
    </row>
    <row r="12" spans="1:12">
      <c r="A12" t="s">
        <v>256</v>
      </c>
      <c r="B12" t="s">
        <v>310</v>
      </c>
      <c r="C12" s="4">
        <v>83</v>
      </c>
      <c r="D12" s="4">
        <f>141/C12*35</f>
        <v>59.457831325301207</v>
      </c>
      <c r="E12">
        <v>3</v>
      </c>
      <c r="I12" s="1"/>
    </row>
    <row r="13" spans="1:12">
      <c r="A13" t="s">
        <v>311</v>
      </c>
      <c r="B13" t="s">
        <v>312</v>
      </c>
      <c r="C13" s="4">
        <v>4.5999999999999996</v>
      </c>
      <c r="D13" s="4">
        <f t="shared" si="0"/>
        <v>790.86956521739137</v>
      </c>
      <c r="E13">
        <v>3</v>
      </c>
    </row>
    <row r="14" spans="1:12">
      <c r="A14" t="s">
        <v>259</v>
      </c>
      <c r="B14" t="s">
        <v>405</v>
      </c>
      <c r="C14" s="4">
        <v>25</v>
      </c>
      <c r="D14" s="4">
        <f>159/C14*14.3</f>
        <v>90.948000000000008</v>
      </c>
      <c r="E14">
        <v>3</v>
      </c>
      <c r="K14" s="1"/>
    </row>
    <row r="15" spans="1:12">
      <c r="A15" t="s">
        <v>313</v>
      </c>
      <c r="B15" t="s">
        <v>314</v>
      </c>
      <c r="C15" s="4">
        <v>3.5</v>
      </c>
      <c r="D15" s="4">
        <f t="shared" si="0"/>
        <v>1039.4285714285713</v>
      </c>
      <c r="E15">
        <v>3</v>
      </c>
    </row>
    <row r="16" spans="1:12">
      <c r="A16" t="s">
        <v>315</v>
      </c>
      <c r="B16" t="s">
        <v>316</v>
      </c>
      <c r="C16" s="4">
        <v>2.2999999999999998</v>
      </c>
      <c r="D16" s="4">
        <f t="shared" si="0"/>
        <v>1581.7391304347827</v>
      </c>
      <c r="E16">
        <v>3</v>
      </c>
      <c r="H16" s="5"/>
    </row>
    <row r="17" spans="1:8">
      <c r="A17" t="s">
        <v>317</v>
      </c>
      <c r="B17" t="s">
        <v>318</v>
      </c>
      <c r="C17" s="4">
        <v>0.88</v>
      </c>
      <c r="D17" s="4">
        <f t="shared" si="0"/>
        <v>4134.090909090909</v>
      </c>
      <c r="E17">
        <v>3</v>
      </c>
    </row>
    <row r="18" spans="1:8">
      <c r="A18" t="s">
        <v>319</v>
      </c>
      <c r="B18" t="s">
        <v>320</v>
      </c>
      <c r="C18" s="4">
        <v>585</v>
      </c>
      <c r="D18" s="4">
        <f>3638/C18</f>
        <v>6.2188034188034189</v>
      </c>
      <c r="E18">
        <v>3</v>
      </c>
    </row>
    <row r="19" spans="1:8">
      <c r="A19" t="s">
        <v>321</v>
      </c>
      <c r="B19" t="s">
        <v>322</v>
      </c>
      <c r="C19" s="4">
        <v>17</v>
      </c>
      <c r="D19" s="4">
        <f t="shared" si="0"/>
        <v>214</v>
      </c>
      <c r="E19">
        <v>3</v>
      </c>
    </row>
    <row r="20" spans="1:8">
      <c r="A20" t="s">
        <v>323</v>
      </c>
      <c r="B20" t="s">
        <v>324</v>
      </c>
      <c r="C20" s="4">
        <v>3.8</v>
      </c>
      <c r="D20" s="4">
        <f t="shared" si="0"/>
        <v>957.36842105263167</v>
      </c>
      <c r="E20">
        <v>3</v>
      </c>
    </row>
    <row r="21" spans="1:8">
      <c r="A21" t="s">
        <v>325</v>
      </c>
      <c r="B21" t="s">
        <v>326</v>
      </c>
      <c r="C21" s="4">
        <v>1.6</v>
      </c>
      <c r="D21" s="4">
        <f t="shared" si="0"/>
        <v>2273.75</v>
      </c>
      <c r="E21">
        <v>3</v>
      </c>
    </row>
    <row r="22" spans="1:8">
      <c r="A22" t="s">
        <v>327</v>
      </c>
      <c r="B22" t="s">
        <v>328</v>
      </c>
      <c r="C22" s="4">
        <v>5.8</v>
      </c>
      <c r="D22" s="4">
        <f>3638/C22</f>
        <v>627.24137931034488</v>
      </c>
      <c r="E22">
        <v>3</v>
      </c>
    </row>
    <row r="23" spans="1:8">
      <c r="A23" t="s">
        <v>257</v>
      </c>
      <c r="B23" t="s">
        <v>406</v>
      </c>
      <c r="C23" s="4">
        <v>6.7000000000000004E-2</v>
      </c>
      <c r="D23" s="4">
        <f t="shared" si="0"/>
        <v>54298.507462686561</v>
      </c>
      <c r="E23">
        <v>3</v>
      </c>
    </row>
    <row r="24" spans="1:8">
      <c r="A24" t="s">
        <v>329</v>
      </c>
      <c r="B24" t="s">
        <v>330</v>
      </c>
      <c r="C24" s="4">
        <v>0.8</v>
      </c>
      <c r="D24" s="4">
        <f t="shared" si="0"/>
        <v>4547.5</v>
      </c>
      <c r="E24">
        <v>3</v>
      </c>
    </row>
    <row r="25" spans="1:8">
      <c r="A25" t="s">
        <v>332</v>
      </c>
      <c r="B25" t="s">
        <v>333</v>
      </c>
      <c r="C25" s="4">
        <v>0.05</v>
      </c>
      <c r="D25" s="4">
        <f t="shared" si="0"/>
        <v>72760</v>
      </c>
      <c r="E25">
        <v>3</v>
      </c>
    </row>
    <row r="26" spans="1:8">
      <c r="A26" t="s">
        <v>334</v>
      </c>
      <c r="B26" t="s">
        <v>335</v>
      </c>
      <c r="C26" s="4">
        <v>2.1999999999999999E-5</v>
      </c>
      <c r="D26" s="4">
        <f t="shared" si="0"/>
        <v>165363636.36363637</v>
      </c>
      <c r="E26">
        <v>3</v>
      </c>
    </row>
    <row r="27" spans="1:8">
      <c r="A27" t="s">
        <v>336</v>
      </c>
      <c r="B27" t="s">
        <v>337</v>
      </c>
      <c r="C27" s="4">
        <v>30</v>
      </c>
      <c r="D27" s="4">
        <f t="shared" si="0"/>
        <v>121.26666666666667</v>
      </c>
      <c r="E27">
        <v>3</v>
      </c>
    </row>
    <row r="28" spans="1:8">
      <c r="A28" t="s">
        <v>338</v>
      </c>
      <c r="B28" t="s">
        <v>339</v>
      </c>
      <c r="C28" s="4">
        <v>20</v>
      </c>
      <c r="D28" s="4">
        <f t="shared" si="0"/>
        <v>181.9</v>
      </c>
      <c r="E28">
        <v>3</v>
      </c>
    </row>
    <row r="29" spans="1:8">
      <c r="A29" t="s">
        <v>340</v>
      </c>
      <c r="B29" t="s">
        <v>498</v>
      </c>
      <c r="C29" s="4">
        <v>0.32</v>
      </c>
      <c r="D29" s="4">
        <f t="shared" si="0"/>
        <v>11368.75</v>
      </c>
      <c r="E29">
        <v>3</v>
      </c>
    </row>
    <row r="30" spans="1:8">
      <c r="A30" t="s">
        <v>341</v>
      </c>
      <c r="B30" t="s">
        <v>342</v>
      </c>
      <c r="C30" s="4">
        <v>600</v>
      </c>
      <c r="D30" s="4">
        <f>5.6/C30*527</f>
        <v>4.9186666666666659</v>
      </c>
      <c r="E30">
        <v>3</v>
      </c>
    </row>
    <row r="31" spans="1:8">
      <c r="A31" t="s">
        <v>399</v>
      </c>
      <c r="B31" t="s">
        <v>407</v>
      </c>
      <c r="C31" s="4">
        <v>1.5</v>
      </c>
      <c r="D31" s="4">
        <f t="shared" si="0"/>
        <v>2425.3333333333335</v>
      </c>
      <c r="E31">
        <v>3</v>
      </c>
    </row>
    <row r="32" spans="1:8">
      <c r="A32" t="s">
        <v>343</v>
      </c>
      <c r="B32" t="s">
        <v>344</v>
      </c>
      <c r="C32" s="4">
        <v>12</v>
      </c>
      <c r="D32" s="4">
        <f t="shared" si="0"/>
        <v>303.16666666666669</v>
      </c>
      <c r="E32">
        <v>3</v>
      </c>
      <c r="H32" s="45" t="s">
        <v>1518</v>
      </c>
    </row>
    <row r="33" spans="1:5">
      <c r="A33" t="s">
        <v>345</v>
      </c>
      <c r="B33" t="s">
        <v>346</v>
      </c>
      <c r="C33" s="4">
        <v>26</v>
      </c>
      <c r="D33" s="4">
        <f t="shared" si="0"/>
        <v>139.92307692307693</v>
      </c>
      <c r="E33">
        <v>3</v>
      </c>
    </row>
    <row r="34" spans="1:5">
      <c r="A34" t="s">
        <v>260</v>
      </c>
      <c r="B34" t="s">
        <v>411</v>
      </c>
      <c r="C34" s="4">
        <v>44</v>
      </c>
      <c r="D34" s="4">
        <f>254/C34*18.6</f>
        <v>107.37272727272727</v>
      </c>
      <c r="E34">
        <v>3</v>
      </c>
    </row>
    <row r="35" spans="1:5">
      <c r="A35" t="s">
        <v>347</v>
      </c>
      <c r="B35" t="s">
        <v>348</v>
      </c>
      <c r="C35" s="4">
        <v>5.0000000000000002E-5</v>
      </c>
      <c r="D35" s="4">
        <f t="shared" si="0"/>
        <v>72760000</v>
      </c>
      <c r="E35">
        <v>3</v>
      </c>
    </row>
    <row r="36" spans="1:5">
      <c r="A36" t="s">
        <v>349</v>
      </c>
      <c r="B36" t="s">
        <v>350</v>
      </c>
      <c r="C36" s="4">
        <v>700</v>
      </c>
      <c r="D36" s="4">
        <f t="shared" si="0"/>
        <v>5.1971428571428575</v>
      </c>
      <c r="E36">
        <v>3</v>
      </c>
    </row>
    <row r="37" spans="1:5">
      <c r="A37" t="s">
        <v>261</v>
      </c>
      <c r="B37" t="s">
        <v>408</v>
      </c>
      <c r="C37" s="4">
        <v>17</v>
      </c>
      <c r="D37" s="4">
        <f>392/C37*17</f>
        <v>392</v>
      </c>
      <c r="E37">
        <v>3</v>
      </c>
    </row>
    <row r="38" spans="1:5">
      <c r="A38" t="s">
        <v>351</v>
      </c>
      <c r="B38" t="s">
        <v>352</v>
      </c>
      <c r="C38" s="4">
        <v>5.2999999999999998E-4</v>
      </c>
      <c r="D38" s="4">
        <f t="shared" si="0"/>
        <v>6864150.9433962265</v>
      </c>
      <c r="E38">
        <v>3</v>
      </c>
    </row>
    <row r="39" spans="1:5">
      <c r="A39" t="s">
        <v>353</v>
      </c>
      <c r="B39" t="s">
        <v>354</v>
      </c>
      <c r="C39" s="4">
        <v>7.1</v>
      </c>
      <c r="D39" s="4">
        <f t="shared" si="0"/>
        <v>512.3943661971831</v>
      </c>
      <c r="E39">
        <v>3</v>
      </c>
    </row>
    <row r="40" spans="1:5">
      <c r="A40" t="s">
        <v>355</v>
      </c>
      <c r="B40" t="s">
        <v>356</v>
      </c>
      <c r="C40" s="4">
        <v>5.9999999999999995E-4</v>
      </c>
      <c r="D40" s="4">
        <f t="shared" si="0"/>
        <v>6063333.333333334</v>
      </c>
      <c r="E40">
        <v>3</v>
      </c>
    </row>
    <row r="41" spans="1:5">
      <c r="A41" t="s">
        <v>357</v>
      </c>
      <c r="B41" t="s">
        <v>358</v>
      </c>
      <c r="C41" s="4">
        <v>110</v>
      </c>
      <c r="D41" s="4">
        <f t="shared" si="0"/>
        <v>33.072727272727271</v>
      </c>
      <c r="E41">
        <v>3</v>
      </c>
    </row>
    <row r="42" spans="1:5">
      <c r="A42" t="s">
        <v>359</v>
      </c>
      <c r="B42" t="s">
        <v>360</v>
      </c>
      <c r="C42" s="4">
        <v>4.0000000000000002E-4</v>
      </c>
      <c r="D42" s="4">
        <f t="shared" si="0"/>
        <v>9095000</v>
      </c>
      <c r="E42">
        <v>3</v>
      </c>
    </row>
    <row r="43" spans="1:5">
      <c r="A43" t="s">
        <v>361</v>
      </c>
      <c r="B43" t="s">
        <v>362</v>
      </c>
      <c r="C43" s="4">
        <v>1.8E-5</v>
      </c>
      <c r="D43" s="4">
        <f t="shared" si="0"/>
        <v>202111111.1111111</v>
      </c>
      <c r="E43">
        <v>3</v>
      </c>
    </row>
    <row r="44" spans="1:5">
      <c r="A44" t="s">
        <v>363</v>
      </c>
      <c r="B44" t="s">
        <v>364</v>
      </c>
      <c r="C44" s="4">
        <v>3.0000000000000001E-5</v>
      </c>
      <c r="D44" s="4">
        <f t="shared" si="0"/>
        <v>121266666.66666666</v>
      </c>
      <c r="E44">
        <v>3</v>
      </c>
    </row>
    <row r="45" spans="1:5">
      <c r="A45" t="s">
        <v>365</v>
      </c>
      <c r="B45" t="s">
        <v>366</v>
      </c>
      <c r="C45" s="4">
        <v>0.2</v>
      </c>
      <c r="D45" s="4">
        <f t="shared" si="0"/>
        <v>18190</v>
      </c>
      <c r="E45">
        <v>3</v>
      </c>
    </row>
    <row r="46" spans="1:5">
      <c r="A46" t="s">
        <v>367</v>
      </c>
      <c r="B46" t="s">
        <v>368</v>
      </c>
      <c r="C46" s="4">
        <v>14</v>
      </c>
      <c r="D46" s="4">
        <f t="shared" si="0"/>
        <v>259.85714285714283</v>
      </c>
      <c r="E46">
        <v>3</v>
      </c>
    </row>
    <row r="47" spans="1:5">
      <c r="A47" t="s">
        <v>369</v>
      </c>
      <c r="B47" t="s">
        <v>370</v>
      </c>
      <c r="C47" s="4">
        <v>50</v>
      </c>
      <c r="D47" s="4">
        <f t="shared" si="0"/>
        <v>72.760000000000005</v>
      </c>
      <c r="E47">
        <v>3</v>
      </c>
    </row>
    <row r="48" spans="1:5">
      <c r="A48" t="s">
        <v>371</v>
      </c>
      <c r="B48" t="s">
        <v>372</v>
      </c>
      <c r="C48" s="4">
        <v>4.5</v>
      </c>
      <c r="D48" s="4">
        <f t="shared" si="0"/>
        <v>808.44444444444446</v>
      </c>
      <c r="E48">
        <v>3</v>
      </c>
    </row>
    <row r="49" spans="1:5">
      <c r="A49" t="s">
        <v>400</v>
      </c>
      <c r="B49" t="s">
        <v>409</v>
      </c>
      <c r="C49" s="4">
        <v>5.5</v>
      </c>
      <c r="D49" s="4">
        <f>1060/C49*2.5</f>
        <v>481.81818181818181</v>
      </c>
      <c r="E49">
        <v>3</v>
      </c>
    </row>
    <row r="50" spans="1:5">
      <c r="A50" t="s">
        <v>373</v>
      </c>
      <c r="B50" t="s">
        <v>374</v>
      </c>
      <c r="C50" s="4">
        <v>350</v>
      </c>
      <c r="D50" s="4">
        <f t="shared" si="0"/>
        <v>10.394285714285715</v>
      </c>
      <c r="E50">
        <v>3</v>
      </c>
    </row>
    <row r="51" spans="1:5">
      <c r="A51" t="s">
        <v>375</v>
      </c>
      <c r="B51" t="s">
        <v>376</v>
      </c>
      <c r="C51" s="4">
        <v>1</v>
      </c>
      <c r="D51" s="4">
        <f t="shared" si="0"/>
        <v>3638</v>
      </c>
      <c r="E51">
        <v>3</v>
      </c>
    </row>
    <row r="52" spans="1:5">
      <c r="A52" t="s">
        <v>377</v>
      </c>
      <c r="B52" t="s">
        <v>378</v>
      </c>
      <c r="C52" s="4">
        <v>0.64</v>
      </c>
      <c r="D52" s="4">
        <f t="shared" si="0"/>
        <v>5684.375</v>
      </c>
      <c r="E52">
        <v>3</v>
      </c>
    </row>
    <row r="53" spans="1:5">
      <c r="A53" t="s">
        <v>379</v>
      </c>
      <c r="B53" t="s">
        <v>380</v>
      </c>
      <c r="C53" s="4">
        <v>1E-3</v>
      </c>
      <c r="D53" s="4">
        <f t="shared" si="0"/>
        <v>3638000</v>
      </c>
      <c r="E53">
        <v>3</v>
      </c>
    </row>
    <row r="54" spans="1:5">
      <c r="A54" t="s">
        <v>414</v>
      </c>
      <c r="B54" t="s">
        <v>415</v>
      </c>
      <c r="C54" s="4">
        <v>2.8</v>
      </c>
      <c r="D54" s="4">
        <f t="shared" si="0"/>
        <v>1299.2857142857144</v>
      </c>
      <c r="E54">
        <v>3</v>
      </c>
    </row>
    <row r="55" spans="1:5">
      <c r="A55" t="s">
        <v>381</v>
      </c>
      <c r="B55" t="s">
        <v>382</v>
      </c>
      <c r="C55" s="4">
        <v>4100</v>
      </c>
      <c r="D55" s="4">
        <f t="shared" si="0"/>
        <v>0.88731707317073172</v>
      </c>
      <c r="E55">
        <v>3</v>
      </c>
    </row>
    <row r="56" spans="1:5">
      <c r="A56" t="s">
        <v>383</v>
      </c>
      <c r="B56" t="s">
        <v>384</v>
      </c>
      <c r="C56" s="4">
        <v>1</v>
      </c>
      <c r="D56" s="4">
        <f t="shared" si="0"/>
        <v>3638</v>
      </c>
      <c r="E56">
        <v>3</v>
      </c>
    </row>
    <row r="57" spans="1:5">
      <c r="A57" t="s">
        <v>385</v>
      </c>
      <c r="B57" t="s">
        <v>386</v>
      </c>
      <c r="C57" s="4">
        <v>0.33</v>
      </c>
      <c r="D57" s="4">
        <f t="shared" si="0"/>
        <v>11024.242424242424</v>
      </c>
      <c r="E57">
        <v>3</v>
      </c>
    </row>
    <row r="58" spans="1:5">
      <c r="A58" s="145" t="s">
        <v>387</v>
      </c>
      <c r="B58" s="145" t="s">
        <v>388</v>
      </c>
      <c r="C58" s="4">
        <v>10.7</v>
      </c>
      <c r="D58" s="146">
        <f t="shared" si="0"/>
        <v>340</v>
      </c>
      <c r="E58">
        <v>3</v>
      </c>
    </row>
    <row r="59" spans="1:5">
      <c r="A59" t="s">
        <v>412</v>
      </c>
      <c r="B59" t="s">
        <v>413</v>
      </c>
      <c r="C59" s="4">
        <v>2</v>
      </c>
      <c r="D59" s="4">
        <f>4780/C59*1.4</f>
        <v>3346</v>
      </c>
      <c r="E59">
        <v>3</v>
      </c>
    </row>
    <row r="60" spans="1:5">
      <c r="A60" t="s">
        <v>389</v>
      </c>
      <c r="B60" t="s">
        <v>390</v>
      </c>
      <c r="C60" s="4">
        <v>107</v>
      </c>
      <c r="D60" s="4">
        <f t="shared" si="0"/>
        <v>34</v>
      </c>
      <c r="E60">
        <v>3</v>
      </c>
    </row>
    <row r="61" spans="1:5">
      <c r="A61" t="s">
        <v>391</v>
      </c>
      <c r="B61" t="s">
        <v>392</v>
      </c>
      <c r="C61" s="4">
        <v>22</v>
      </c>
      <c r="D61" s="4">
        <f t="shared" si="0"/>
        <v>165.36363636363637</v>
      </c>
      <c r="E61">
        <v>3</v>
      </c>
    </row>
    <row r="62" spans="1:5">
      <c r="A62" t="s">
        <v>393</v>
      </c>
      <c r="B62" t="s">
        <v>394</v>
      </c>
      <c r="C62" s="4">
        <v>2.2000000000000002</v>
      </c>
      <c r="D62" s="4">
        <f t="shared" si="0"/>
        <v>1653.6363636363635</v>
      </c>
      <c r="E62">
        <v>3</v>
      </c>
    </row>
    <row r="63" spans="1:5">
      <c r="A63" t="s">
        <v>262</v>
      </c>
      <c r="B63" t="s">
        <v>410</v>
      </c>
      <c r="C63" s="4">
        <v>71</v>
      </c>
      <c r="D63" s="4">
        <f>44.2/C63*52</f>
        <v>32.371830985915494</v>
      </c>
      <c r="E63">
        <v>3</v>
      </c>
    </row>
    <row r="64" spans="1:5">
      <c r="A64" t="s">
        <v>395</v>
      </c>
      <c r="B64" t="s">
        <v>396</v>
      </c>
      <c r="C64" s="4">
        <v>190</v>
      </c>
      <c r="D64" s="4">
        <f t="shared" si="0"/>
        <v>19.147368421052633</v>
      </c>
      <c r="E64">
        <v>3</v>
      </c>
    </row>
    <row r="66" spans="1:5">
      <c r="A66" t="s">
        <v>338</v>
      </c>
      <c r="B66" s="5" t="s">
        <v>339</v>
      </c>
      <c r="C66">
        <v>0.18</v>
      </c>
      <c r="D66">
        <v>0.1</v>
      </c>
      <c r="E66">
        <v>10</v>
      </c>
    </row>
    <row r="67" spans="1:5">
      <c r="A67" t="s">
        <v>416</v>
      </c>
      <c r="B67" s="5" t="s">
        <v>567</v>
      </c>
      <c r="C67">
        <v>4.4400000000000004</v>
      </c>
      <c r="D67">
        <v>0.05</v>
      </c>
      <c r="E67">
        <v>10</v>
      </c>
    </row>
    <row r="68" spans="1:5">
      <c r="A68" t="s">
        <v>417</v>
      </c>
      <c r="B68" s="5" t="s">
        <v>559</v>
      </c>
      <c r="C68">
        <v>67.3</v>
      </c>
      <c r="D68">
        <v>0</v>
      </c>
      <c r="E68">
        <v>1</v>
      </c>
    </row>
    <row r="69" spans="1:5">
      <c r="A69" t="s">
        <v>418</v>
      </c>
      <c r="B69" s="5" t="s">
        <v>560</v>
      </c>
      <c r="C69" s="1">
        <v>108000</v>
      </c>
      <c r="D69">
        <v>0</v>
      </c>
      <c r="E69">
        <v>1</v>
      </c>
    </row>
    <row r="70" spans="1:5">
      <c r="A70" t="s">
        <v>419</v>
      </c>
      <c r="B70" s="5" t="s">
        <v>561</v>
      </c>
      <c r="C70" s="1">
        <v>10800</v>
      </c>
      <c r="D70">
        <v>0</v>
      </c>
      <c r="E70">
        <v>1</v>
      </c>
    </row>
    <row r="71" spans="1:5">
      <c r="A71" t="s">
        <v>420</v>
      </c>
      <c r="B71" s="5" t="s">
        <v>562</v>
      </c>
      <c r="C71" s="1">
        <v>399</v>
      </c>
      <c r="D71">
        <v>0.01</v>
      </c>
      <c r="E71">
        <v>10</v>
      </c>
    </row>
    <row r="72" spans="1:5">
      <c r="A72" t="s">
        <v>421</v>
      </c>
      <c r="B72" s="5" t="s">
        <v>563</v>
      </c>
      <c r="C72" s="1">
        <v>1290</v>
      </c>
      <c r="D72">
        <v>0</v>
      </c>
      <c r="E72">
        <v>1</v>
      </c>
    </row>
    <row r="73" spans="1:5">
      <c r="A73" t="s">
        <v>422</v>
      </c>
      <c r="B73" s="5" t="s">
        <v>564</v>
      </c>
      <c r="C73" s="1">
        <v>905</v>
      </c>
      <c r="D73">
        <v>0.1</v>
      </c>
      <c r="E73">
        <v>5</v>
      </c>
    </row>
    <row r="74" spans="1:5">
      <c r="A74" t="s">
        <v>331</v>
      </c>
      <c r="B74" s="5" t="s">
        <v>565</v>
      </c>
      <c r="D74">
        <v>0</v>
      </c>
      <c r="E74">
        <v>1</v>
      </c>
    </row>
    <row r="75" spans="1:5">
      <c r="A75" t="s">
        <v>423</v>
      </c>
      <c r="B75" s="5" t="s">
        <v>566</v>
      </c>
      <c r="C75" s="1">
        <v>19400</v>
      </c>
      <c r="D75">
        <v>0</v>
      </c>
      <c r="E75">
        <v>1</v>
      </c>
    </row>
    <row r="77" spans="1:5">
      <c r="A77" t="s">
        <v>424</v>
      </c>
      <c r="B77" s="5" t="s">
        <v>568</v>
      </c>
      <c r="D77">
        <v>0</v>
      </c>
      <c r="E77">
        <v>1</v>
      </c>
    </row>
    <row r="78" spans="1:5">
      <c r="A78" t="s">
        <v>425</v>
      </c>
      <c r="B78" s="5" t="s">
        <v>569</v>
      </c>
      <c r="D78">
        <v>0</v>
      </c>
      <c r="E78">
        <v>1</v>
      </c>
    </row>
    <row r="79" spans="1:5">
      <c r="A79" t="s">
        <v>426</v>
      </c>
      <c r="B79" s="5" t="s">
        <v>570</v>
      </c>
      <c r="D79">
        <v>0</v>
      </c>
      <c r="E79">
        <v>1</v>
      </c>
    </row>
    <row r="80" spans="1:5">
      <c r="A80" t="s">
        <v>427</v>
      </c>
      <c r="B80" s="5" t="s">
        <v>571</v>
      </c>
      <c r="D80">
        <v>0</v>
      </c>
      <c r="E80">
        <v>1</v>
      </c>
    </row>
    <row r="81" spans="1:5">
      <c r="A81" t="s">
        <v>428</v>
      </c>
      <c r="B81" s="5" t="s">
        <v>572</v>
      </c>
      <c r="D81">
        <v>0</v>
      </c>
      <c r="E81">
        <v>1</v>
      </c>
    </row>
  </sheetData>
  <phoneticPr fontId="0" type="noConversion"/>
  <pageMargins left="0.75" right="0.75" top="1" bottom="1" header="0.5" footer="0.5"/>
  <pageSetup paperSize="9" orientation="portrait"/>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3"/>
  <sheetViews>
    <sheetView workbookViewId="0">
      <pane xSplit="1" ySplit="1" topLeftCell="B49" activePane="bottomRight" state="frozenSplit"/>
      <selection activeCell="L190" sqref="L190"/>
      <selection pane="topRight" activeCell="L190" sqref="L190"/>
      <selection pane="bottomLeft" activeCell="L190" sqref="L190"/>
      <selection pane="bottomRight" activeCell="L52" sqref="L52"/>
    </sheetView>
  </sheetViews>
  <sheetFormatPr baseColWidth="10" defaultColWidth="9.1640625" defaultRowHeight="13"/>
  <cols>
    <col min="1" max="1" width="18.83203125" style="62" customWidth="1"/>
    <col min="2" max="2" width="21.1640625" style="62" customWidth="1"/>
    <col min="3" max="3" width="12.5" style="62" customWidth="1"/>
    <col min="4" max="4" width="15.83203125" style="62" customWidth="1"/>
    <col min="5" max="5" width="12.5" style="62" customWidth="1"/>
    <col min="6" max="6" width="11" style="62" customWidth="1"/>
    <col min="7" max="7" width="12" style="62" customWidth="1"/>
    <col min="8" max="8" width="11.1640625" style="62" customWidth="1"/>
    <col min="9" max="9" width="13.5" style="62" customWidth="1"/>
    <col min="10" max="10" width="14.5" style="62" customWidth="1"/>
    <col min="11" max="11" width="10.5" style="62" customWidth="1"/>
    <col min="12" max="12" width="11.5" style="62" customWidth="1"/>
    <col min="13" max="16384" width="9.1640625" style="62"/>
  </cols>
  <sheetData>
    <row r="1" spans="1:12" ht="56">
      <c r="A1" s="61" t="s">
        <v>499</v>
      </c>
      <c r="B1" s="62" t="s">
        <v>0</v>
      </c>
      <c r="C1" s="73" t="s">
        <v>293</v>
      </c>
      <c r="D1" s="62" t="s">
        <v>1</v>
      </c>
      <c r="E1" s="91" t="s">
        <v>1855</v>
      </c>
      <c r="F1" s="91" t="s">
        <v>1856</v>
      </c>
      <c r="G1" s="74" t="s">
        <v>1534</v>
      </c>
      <c r="H1" s="61" t="s">
        <v>501</v>
      </c>
      <c r="I1" s="61" t="s">
        <v>502</v>
      </c>
      <c r="J1" s="61" t="s">
        <v>528</v>
      </c>
      <c r="K1" s="61" t="s">
        <v>1391</v>
      </c>
      <c r="L1" s="194" t="s">
        <v>504</v>
      </c>
    </row>
    <row r="3" spans="1:12">
      <c r="A3" s="62" t="s">
        <v>1383</v>
      </c>
      <c r="B3" s="62" t="s">
        <v>171</v>
      </c>
      <c r="C3" s="73" t="s">
        <v>7</v>
      </c>
      <c r="D3" s="73" t="s">
        <v>1382</v>
      </c>
      <c r="E3" s="63">
        <f xml:space="preserve"> (0.21*0.36+0.167*0.044)*1000*5988250</f>
        <v>496713360.99999994</v>
      </c>
      <c r="F3" s="62">
        <v>2</v>
      </c>
      <c r="G3" s="63">
        <f>0.000000000000189</f>
        <v>1.89E-13</v>
      </c>
      <c r="H3" s="62">
        <v>4</v>
      </c>
      <c r="I3" s="64">
        <f>E3*G3</f>
        <v>9.3878825228999987E-5</v>
      </c>
      <c r="K3" s="64">
        <f>I3*fishandmeatvalue</f>
        <v>1.9714553298089997E-4</v>
      </c>
    </row>
    <row r="4" spans="1:12">
      <c r="A4" s="62" t="s">
        <v>1383</v>
      </c>
      <c r="B4" s="62" t="s">
        <v>174</v>
      </c>
      <c r="C4" s="73" t="s">
        <v>167</v>
      </c>
      <c r="D4" s="73" t="s">
        <v>1393</v>
      </c>
      <c r="E4" s="62">
        <v>7.0000000000000001E-3</v>
      </c>
      <c r="F4" s="62">
        <v>3</v>
      </c>
      <c r="G4" s="63">
        <f>0.000000000000189</f>
        <v>1.89E-13</v>
      </c>
      <c r="H4" s="62">
        <v>4</v>
      </c>
      <c r="I4" s="64">
        <f>E4*G4</f>
        <v>1.323E-15</v>
      </c>
      <c r="K4" s="64">
        <f>I4*speciesvalue</f>
        <v>7.4087999999999999E-5</v>
      </c>
    </row>
    <row r="5" spans="1:12">
      <c r="A5" s="192" t="s">
        <v>1383</v>
      </c>
      <c r="B5" s="62" t="s">
        <v>159</v>
      </c>
      <c r="C5" s="73"/>
      <c r="D5" s="62" t="s">
        <v>159</v>
      </c>
      <c r="L5" s="204">
        <f>K3+K4</f>
        <v>2.7123353298089998E-4</v>
      </c>
    </row>
    <row r="6" spans="1:12">
      <c r="C6" s="73"/>
      <c r="D6" s="73"/>
      <c r="E6" s="63"/>
      <c r="L6" s="195"/>
    </row>
    <row r="7" spans="1:12">
      <c r="A7" s="62" t="s">
        <v>1384</v>
      </c>
      <c r="B7" s="62" t="s">
        <v>171</v>
      </c>
      <c r="C7" s="73" t="s">
        <v>7</v>
      </c>
      <c r="D7" s="73" t="s">
        <v>1382</v>
      </c>
      <c r="E7" s="42">
        <v>245000000</v>
      </c>
      <c r="F7" s="67">
        <v>3</v>
      </c>
      <c r="G7" s="63">
        <f>G3*0.5</f>
        <v>9.4500000000000001E-14</v>
      </c>
      <c r="H7" s="62">
        <v>5</v>
      </c>
      <c r="I7" s="64">
        <f>E7*G7</f>
        <v>2.3152499999999999E-5</v>
      </c>
      <c r="K7" s="64">
        <f>I7*fishandmeatvalue</f>
        <v>4.8620250000000003E-5</v>
      </c>
      <c r="L7" s="195"/>
    </row>
    <row r="8" spans="1:12">
      <c r="A8" s="62" t="s">
        <v>1384</v>
      </c>
      <c r="B8" s="62" t="s">
        <v>174</v>
      </c>
      <c r="C8" s="73" t="s">
        <v>167</v>
      </c>
      <c r="D8" s="62" t="s">
        <v>292</v>
      </c>
      <c r="E8" s="65">
        <f>0.0007</f>
        <v>6.9999999999999999E-4</v>
      </c>
      <c r="F8" s="62">
        <v>3</v>
      </c>
      <c r="G8" s="63">
        <f>G4*0.5</f>
        <v>9.4500000000000001E-14</v>
      </c>
      <c r="H8" s="62">
        <v>5</v>
      </c>
      <c r="I8" s="64">
        <f>E8*G8</f>
        <v>6.615E-17</v>
      </c>
      <c r="K8" s="64">
        <f>I8*speciesvalue</f>
        <v>3.7044000000000001E-6</v>
      </c>
      <c r="L8" s="195"/>
    </row>
    <row r="9" spans="1:12">
      <c r="A9" s="192" t="s">
        <v>1384</v>
      </c>
      <c r="B9" s="62" t="s">
        <v>159</v>
      </c>
      <c r="C9" s="73"/>
      <c r="D9" s="62" t="s">
        <v>159</v>
      </c>
      <c r="E9" s="63"/>
      <c r="L9" s="204">
        <f>K7+K8</f>
        <v>5.2324650000000001E-5</v>
      </c>
    </row>
    <row r="10" spans="1:12">
      <c r="C10" s="73"/>
      <c r="D10" s="73"/>
      <c r="E10" s="63"/>
      <c r="L10" s="195"/>
    </row>
    <row r="11" spans="1:12">
      <c r="A11" s="62" t="s">
        <v>1385</v>
      </c>
      <c r="B11" s="62" t="s">
        <v>171</v>
      </c>
      <c r="C11" s="73" t="s">
        <v>7</v>
      </c>
      <c r="D11" s="73" t="s">
        <v>1382</v>
      </c>
      <c r="E11" s="42">
        <f>E3</f>
        <v>496713360.99999994</v>
      </c>
      <c r="F11" s="67">
        <f>F3</f>
        <v>2</v>
      </c>
      <c r="G11" s="63">
        <f>3.46/26.14*G3</f>
        <v>2.50168324407039E-14</v>
      </c>
      <c r="H11" s="67">
        <f>H3</f>
        <v>4</v>
      </c>
      <c r="I11" s="64">
        <f>E11*G11</f>
        <v>1.2426194923195866E-5</v>
      </c>
      <c r="K11" s="64">
        <f>I11*fishandmeatvalue</f>
        <v>2.6095009338711319E-5</v>
      </c>
      <c r="L11" s="195"/>
    </row>
    <row r="12" spans="1:12">
      <c r="A12" s="62" t="s">
        <v>1385</v>
      </c>
      <c r="B12" s="62" t="s">
        <v>174</v>
      </c>
      <c r="C12" s="73" t="s">
        <v>167</v>
      </c>
      <c r="D12" s="73" t="s">
        <v>1393</v>
      </c>
      <c r="E12" s="67">
        <f>E4</f>
        <v>7.0000000000000001E-3</v>
      </c>
      <c r="F12" s="67">
        <f>F4</f>
        <v>3</v>
      </c>
      <c r="G12" s="63">
        <f>3.46/26.14*G4</f>
        <v>2.50168324407039E-14</v>
      </c>
      <c r="H12" s="67">
        <f>H4</f>
        <v>4</v>
      </c>
      <c r="I12" s="64">
        <f>E12*G12</f>
        <v>1.751178270849273E-16</v>
      </c>
      <c r="K12" s="64">
        <f>I12*speciesvalue</f>
        <v>9.8065983167559291E-6</v>
      </c>
      <c r="L12" s="195"/>
    </row>
    <row r="13" spans="1:12">
      <c r="A13" s="192" t="s">
        <v>1385</v>
      </c>
      <c r="B13" s="62" t="s">
        <v>159</v>
      </c>
      <c r="C13" s="73"/>
      <c r="D13" s="62" t="s">
        <v>159</v>
      </c>
      <c r="L13" s="204">
        <f>K11+K12</f>
        <v>3.5901607655467252E-5</v>
      </c>
    </row>
    <row r="14" spans="1:12">
      <c r="C14" s="73"/>
      <c r="D14" s="73"/>
      <c r="L14" s="195"/>
    </row>
    <row r="15" spans="1:12">
      <c r="A15" s="62" t="s">
        <v>1386</v>
      </c>
      <c r="B15" s="62" t="s">
        <v>171</v>
      </c>
      <c r="C15" s="73" t="s">
        <v>7</v>
      </c>
      <c r="D15" s="73" t="s">
        <v>1382</v>
      </c>
      <c r="E15" s="42">
        <f>E7</f>
        <v>245000000</v>
      </c>
      <c r="F15" s="67">
        <f>F7</f>
        <v>3</v>
      </c>
      <c r="G15" s="63">
        <f>3.46/26.14*G7</f>
        <v>1.250841622035195E-14</v>
      </c>
      <c r="H15" s="67">
        <f>H7</f>
        <v>5</v>
      </c>
      <c r="I15" s="64">
        <f>E15*G15</f>
        <v>3.0645619739862279E-6</v>
      </c>
      <c r="K15" s="64">
        <f>I15*fishandmeatvalue</f>
        <v>6.4355801453710785E-6</v>
      </c>
      <c r="L15" s="195"/>
    </row>
    <row r="16" spans="1:12">
      <c r="A16" s="62" t="s">
        <v>1386</v>
      </c>
      <c r="B16" s="62" t="s">
        <v>174</v>
      </c>
      <c r="C16" s="73" t="s">
        <v>167</v>
      </c>
      <c r="D16" s="73" t="s">
        <v>1393</v>
      </c>
      <c r="E16" s="67">
        <f>E8</f>
        <v>6.9999999999999999E-4</v>
      </c>
      <c r="F16" s="67">
        <f>F8</f>
        <v>3</v>
      </c>
      <c r="G16" s="63">
        <f>3.46/26.14*G8</f>
        <v>1.250841622035195E-14</v>
      </c>
      <c r="H16" s="67">
        <f>H8</f>
        <v>5</v>
      </c>
      <c r="I16" s="64">
        <f>E16*G16</f>
        <v>8.7558913542463645E-18</v>
      </c>
      <c r="K16" s="64">
        <f>I16*speciesvalue</f>
        <v>4.9032991583779646E-7</v>
      </c>
      <c r="L16" s="195"/>
    </row>
    <row r="17" spans="1:12">
      <c r="A17" s="192" t="s">
        <v>1386</v>
      </c>
      <c r="B17" s="62" t="s">
        <v>159</v>
      </c>
      <c r="C17" s="73"/>
      <c r="D17" s="62" t="s">
        <v>159</v>
      </c>
      <c r="J17" s="63"/>
      <c r="L17" s="204">
        <f>K15+K16</f>
        <v>6.9259100612088749E-6</v>
      </c>
    </row>
    <row r="18" spans="1:12">
      <c r="L18" s="195"/>
    </row>
    <row r="19" spans="1:12">
      <c r="A19" s="62" t="s">
        <v>1387</v>
      </c>
      <c r="B19" s="62" t="s">
        <v>171</v>
      </c>
      <c r="C19" s="73" t="s">
        <v>7</v>
      </c>
      <c r="D19" s="62" t="s">
        <v>1392</v>
      </c>
      <c r="E19" s="42">
        <f>E3</f>
        <v>496713360.99999994</v>
      </c>
      <c r="F19" s="67">
        <f>F3</f>
        <v>2</v>
      </c>
      <c r="G19" s="63">
        <f xml:space="preserve"> 0.4/(48300000000+830000000)</f>
        <v>8.1416649704864643E-12</v>
      </c>
      <c r="H19" s="62">
        <v>4</v>
      </c>
      <c r="I19" s="64">
        <f>E19*G19</f>
        <v>4.0440737716262972E-3</v>
      </c>
      <c r="K19" s="64">
        <f>I19*fishandmeatvalue</f>
        <v>8.4925549204152243E-3</v>
      </c>
      <c r="L19" s="195"/>
    </row>
    <row r="20" spans="1:12">
      <c r="A20" s="62" t="s">
        <v>1387</v>
      </c>
      <c r="B20" s="62" t="s">
        <v>171</v>
      </c>
      <c r="C20" s="73" t="s">
        <v>7</v>
      </c>
      <c r="D20" s="62" t="s">
        <v>663</v>
      </c>
      <c r="E20" s="42">
        <v>-123333333.33333334</v>
      </c>
      <c r="F20" s="67">
        <v>3</v>
      </c>
      <c r="G20" s="42">
        <f>G19</f>
        <v>8.1416649704864643E-12</v>
      </c>
      <c r="H20" s="62">
        <v>2</v>
      </c>
      <c r="I20" s="64">
        <f>E20*G20</f>
        <v>-1.0041386796933306E-3</v>
      </c>
      <c r="K20" s="64">
        <f>I20*fishandmeatvalue</f>
        <v>-2.1086912273559945E-3</v>
      </c>
      <c r="L20" s="195"/>
    </row>
    <row r="21" spans="1:12">
      <c r="A21" s="62" t="s">
        <v>1387</v>
      </c>
      <c r="B21" s="62" t="s">
        <v>174</v>
      </c>
      <c r="C21" s="73" t="s">
        <v>167</v>
      </c>
      <c r="D21" s="73" t="s">
        <v>1393</v>
      </c>
      <c r="E21" s="67">
        <f>E4</f>
        <v>7.0000000000000001E-3</v>
      </c>
      <c r="F21" s="67">
        <f>F4</f>
        <v>3</v>
      </c>
      <c r="G21" s="42">
        <f>G20</f>
        <v>8.1416649704864643E-12</v>
      </c>
      <c r="H21" s="62">
        <v>4</v>
      </c>
      <c r="I21" s="64">
        <f>E21*G21</f>
        <v>5.6991654793405246E-14</v>
      </c>
      <c r="K21" s="64">
        <f>I21*speciesvalue</f>
        <v>3.191532668430694E-3</v>
      </c>
      <c r="L21" s="195"/>
    </row>
    <row r="22" spans="1:12">
      <c r="A22" s="192" t="s">
        <v>1387</v>
      </c>
      <c r="B22" s="62" t="s">
        <v>159</v>
      </c>
      <c r="D22" s="62" t="s">
        <v>159</v>
      </c>
      <c r="L22" s="204">
        <f>K19+K20+K21</f>
        <v>9.5753963614899247E-3</v>
      </c>
    </row>
    <row r="24" spans="1:12">
      <c r="A24" s="62" t="s">
        <v>1388</v>
      </c>
      <c r="B24" s="62" t="s">
        <v>171</v>
      </c>
      <c r="C24" s="73" t="s">
        <v>7</v>
      </c>
      <c r="D24" s="62" t="s">
        <v>292</v>
      </c>
      <c r="E24" s="42">
        <f>E7</f>
        <v>245000000</v>
      </c>
      <c r="F24" s="67">
        <f>F7</f>
        <v>3</v>
      </c>
      <c r="G24" s="63">
        <f xml:space="preserve"> 1/(48300000000+830000000)</f>
        <v>2.035416242621616E-11</v>
      </c>
      <c r="H24" s="62">
        <v>4</v>
      </c>
      <c r="I24" s="64">
        <f>E24*G24</f>
        <v>4.9867697944229591E-3</v>
      </c>
      <c r="K24" s="64">
        <f>I24*fishandmeatvalue</f>
        <v>1.0472216568288215E-2</v>
      </c>
    </row>
    <row r="25" spans="1:12">
      <c r="A25" s="62" t="s">
        <v>1388</v>
      </c>
      <c r="B25" s="62" t="s">
        <v>171</v>
      </c>
      <c r="C25" s="73" t="s">
        <v>7</v>
      </c>
      <c r="D25" s="62" t="s">
        <v>663</v>
      </c>
      <c r="E25" s="42">
        <f>E20</f>
        <v>-123333333.33333334</v>
      </c>
      <c r="F25" s="67">
        <f>F20</f>
        <v>3</v>
      </c>
      <c r="G25" s="42">
        <f>G24</f>
        <v>2.035416242621616E-11</v>
      </c>
      <c r="H25" s="62">
        <v>2</v>
      </c>
      <c r="I25" s="64">
        <f>E25*G25</f>
        <v>-2.5103466992333267E-3</v>
      </c>
      <c r="K25" s="64">
        <f>I25*fishandmeatvalue</f>
        <v>-5.2717280683899862E-3</v>
      </c>
    </row>
    <row r="26" spans="1:12">
      <c r="A26" s="62" t="s">
        <v>1388</v>
      </c>
      <c r="B26" s="62" t="s">
        <v>174</v>
      </c>
      <c r="C26" s="73" t="s">
        <v>167</v>
      </c>
      <c r="D26" s="73" t="s">
        <v>1393</v>
      </c>
      <c r="E26" s="67">
        <f>E4</f>
        <v>7.0000000000000001E-3</v>
      </c>
      <c r="F26" s="67">
        <f>F4</f>
        <v>3</v>
      </c>
      <c r="G26" s="42">
        <f>G24</f>
        <v>2.035416242621616E-11</v>
      </c>
      <c r="H26" s="62">
        <v>4</v>
      </c>
      <c r="I26" s="64">
        <f>E26*G26</f>
        <v>1.4247913698351312E-13</v>
      </c>
      <c r="K26" s="64">
        <f>I26*speciesvalue</f>
        <v>7.9788316710767346E-3</v>
      </c>
    </row>
    <row r="27" spans="1:12">
      <c r="A27" s="192" t="s">
        <v>1388</v>
      </c>
      <c r="B27" s="62" t="s">
        <v>159</v>
      </c>
      <c r="D27" s="62" t="s">
        <v>159</v>
      </c>
      <c r="L27" s="204">
        <f>K24+K25+K26</f>
        <v>1.3179320170974963E-2</v>
      </c>
    </row>
    <row r="28" spans="1:12">
      <c r="J28" s="66"/>
    </row>
    <row r="29" spans="1:12">
      <c r="A29" s="62" t="s">
        <v>1389</v>
      </c>
      <c r="B29" s="62" t="s">
        <v>171</v>
      </c>
      <c r="C29" s="73" t="s">
        <v>7</v>
      </c>
      <c r="D29" s="73" t="s">
        <v>1382</v>
      </c>
      <c r="E29" s="42">
        <f>E3</f>
        <v>496713360.99999994</v>
      </c>
      <c r="F29" s="67">
        <f>F3</f>
        <v>2</v>
      </c>
      <c r="G29" s="63">
        <v>2.6200000000000001E-11</v>
      </c>
      <c r="H29" s="62">
        <v>4</v>
      </c>
      <c r="I29" s="64">
        <f>E29*G29</f>
        <v>1.3013890058199999E-2</v>
      </c>
      <c r="K29" s="64">
        <f>I29*fishandmeatvalue</f>
        <v>2.7329169122219998E-2</v>
      </c>
    </row>
    <row r="30" spans="1:12">
      <c r="A30" s="62" t="s">
        <v>1389</v>
      </c>
      <c r="B30" s="62" t="s">
        <v>174</v>
      </c>
      <c r="C30" s="73" t="s">
        <v>167</v>
      </c>
      <c r="D30" s="73" t="s">
        <v>1393</v>
      </c>
      <c r="E30" s="67">
        <f>E4</f>
        <v>7.0000000000000001E-3</v>
      </c>
      <c r="F30" s="67">
        <f>F4</f>
        <v>3</v>
      </c>
      <c r="G30" s="63">
        <v>2.6200000000000001E-11</v>
      </c>
      <c r="H30" s="62">
        <v>4</v>
      </c>
      <c r="I30" s="64">
        <f>E30*G30</f>
        <v>1.8340000000000001E-13</v>
      </c>
      <c r="K30" s="64">
        <f>I30*speciesvalue</f>
        <v>1.0270400000000001E-2</v>
      </c>
    </row>
    <row r="31" spans="1:12">
      <c r="A31" s="62" t="s">
        <v>1389</v>
      </c>
      <c r="B31" s="62" t="s">
        <v>159</v>
      </c>
      <c r="D31" s="62" t="s">
        <v>159</v>
      </c>
      <c r="L31" s="64">
        <f>K29+K30</f>
        <v>3.7599569122219997E-2</v>
      </c>
    </row>
    <row r="33" spans="1:12">
      <c r="A33" s="62" t="s">
        <v>1390</v>
      </c>
      <c r="B33" s="62" t="s">
        <v>171</v>
      </c>
      <c r="C33" s="73" t="s">
        <v>7</v>
      </c>
      <c r="D33" s="62" t="s">
        <v>292</v>
      </c>
      <c r="E33" s="62">
        <v>0</v>
      </c>
      <c r="F33" s="62">
        <v>1</v>
      </c>
      <c r="G33" s="62">
        <v>0</v>
      </c>
      <c r="H33" s="62">
        <v>1</v>
      </c>
      <c r="I33" s="64">
        <f>E33*G33</f>
        <v>0</v>
      </c>
      <c r="K33" s="64">
        <f>I33*fishandmeatvalue</f>
        <v>0</v>
      </c>
    </row>
    <row r="34" spans="1:12">
      <c r="A34" s="62" t="s">
        <v>1390</v>
      </c>
      <c r="B34" s="62" t="s">
        <v>174</v>
      </c>
      <c r="C34" s="73" t="s">
        <v>167</v>
      </c>
      <c r="D34" s="62" t="s">
        <v>292</v>
      </c>
      <c r="E34" s="62">
        <v>0</v>
      </c>
      <c r="F34" s="62">
        <v>1</v>
      </c>
      <c r="G34" s="62">
        <v>0</v>
      </c>
      <c r="H34" s="62">
        <v>1</v>
      </c>
      <c r="I34" s="64">
        <f>E34*G34</f>
        <v>0</v>
      </c>
      <c r="K34" s="64">
        <f>I34*speciesvalue</f>
        <v>0</v>
      </c>
    </row>
    <row r="35" spans="1:12">
      <c r="A35" s="62" t="s">
        <v>1390</v>
      </c>
      <c r="B35" s="62" t="s">
        <v>159</v>
      </c>
      <c r="D35" s="62" t="s">
        <v>159</v>
      </c>
      <c r="L35" s="64">
        <f>K33+K34</f>
        <v>0</v>
      </c>
    </row>
    <row r="37" spans="1:12">
      <c r="A37" s="62" t="s">
        <v>1535</v>
      </c>
      <c r="B37" s="62" t="s">
        <v>4</v>
      </c>
      <c r="C37" s="73" t="s">
        <v>5</v>
      </c>
      <c r="D37" s="73" t="s">
        <v>1536</v>
      </c>
      <c r="E37" s="71">
        <v>2.9032258064516134E-9</v>
      </c>
      <c r="F37" s="62">
        <v>4</v>
      </c>
      <c r="G37" s="62">
        <v>1</v>
      </c>
      <c r="H37" s="62">
        <v>1</v>
      </c>
      <c r="I37" s="64">
        <f>E37*G37</f>
        <v>2.9032258064516134E-9</v>
      </c>
      <c r="K37" s="64">
        <f>I37*YOLLvalue</f>
        <v>1.4516129032258066E-4</v>
      </c>
    </row>
    <row r="38" spans="1:12">
      <c r="A38" s="62" t="s">
        <v>1535</v>
      </c>
      <c r="B38" s="62" t="s">
        <v>4</v>
      </c>
      <c r="C38" s="73" t="s">
        <v>5</v>
      </c>
      <c r="D38" s="73" t="s">
        <v>1537</v>
      </c>
      <c r="E38" s="71">
        <f>0.00025*0.00875*5</f>
        <v>1.0937500000000002E-5</v>
      </c>
      <c r="F38" s="62">
        <v>4</v>
      </c>
      <c r="G38" s="62">
        <v>1</v>
      </c>
      <c r="H38" s="62">
        <v>1</v>
      </c>
      <c r="I38" s="64">
        <f>E38*G38</f>
        <v>1.0937500000000002E-5</v>
      </c>
      <c r="K38" s="64">
        <f>I38*YOLLvalue</f>
        <v>0.54687500000000011</v>
      </c>
    </row>
    <row r="39" spans="1:12">
      <c r="A39" s="62" t="s">
        <v>1535</v>
      </c>
      <c r="B39" s="62" t="s">
        <v>4</v>
      </c>
      <c r="C39" s="73" t="s">
        <v>5</v>
      </c>
      <c r="D39" s="73" t="s">
        <v>1538</v>
      </c>
      <c r="E39" s="71">
        <f>0.00857*0.0000000168*7.4*0.00518</f>
        <v>5.5188880319999992E-12</v>
      </c>
      <c r="F39" s="62">
        <v>4</v>
      </c>
      <c r="G39" s="62">
        <v>1</v>
      </c>
      <c r="H39" s="62">
        <v>1</v>
      </c>
      <c r="I39" s="64">
        <f>E39*G39</f>
        <v>5.5188880319999992E-12</v>
      </c>
      <c r="K39" s="64">
        <f>I39*YOLLvalue</f>
        <v>2.7594440159999997E-7</v>
      </c>
    </row>
    <row r="40" spans="1:12">
      <c r="A40" s="192" t="s">
        <v>1535</v>
      </c>
      <c r="B40" s="73" t="s">
        <v>159</v>
      </c>
      <c r="L40" s="64">
        <f>SUM(K37:K39)</f>
        <v>0.54702043723472427</v>
      </c>
    </row>
    <row r="41" spans="1:12">
      <c r="A41" s="192"/>
      <c r="L41" s="192"/>
    </row>
    <row r="42" spans="1:12">
      <c r="A42" s="192" t="s">
        <v>1539</v>
      </c>
      <c r="B42" s="73" t="s">
        <v>1540</v>
      </c>
      <c r="C42" s="73" t="s">
        <v>5</v>
      </c>
      <c r="D42" s="73" t="s">
        <v>1541</v>
      </c>
      <c r="E42" s="71">
        <f>0.008*0.00875</f>
        <v>7.0000000000000007E-5</v>
      </c>
      <c r="F42" s="62">
        <v>4</v>
      </c>
      <c r="G42" s="62">
        <v>1</v>
      </c>
      <c r="H42" s="62">
        <v>1</v>
      </c>
      <c r="I42" s="64">
        <f>E42*G42</f>
        <v>7.0000000000000007E-5</v>
      </c>
      <c r="K42" s="64">
        <f>I42*osteoporosisvalue</f>
        <v>4.4800000000000004</v>
      </c>
      <c r="L42" s="192"/>
    </row>
    <row r="43" spans="1:12">
      <c r="A43" s="192" t="s">
        <v>1539</v>
      </c>
      <c r="B43" s="73" t="s">
        <v>1542</v>
      </c>
      <c r="C43" s="73" t="s">
        <v>1543</v>
      </c>
      <c r="D43" s="73" t="s">
        <v>1541</v>
      </c>
      <c r="E43" s="71">
        <f>0.0004*0.00875</f>
        <v>3.5000000000000004E-6</v>
      </c>
      <c r="F43" s="62">
        <v>4</v>
      </c>
      <c r="G43" s="62">
        <v>1</v>
      </c>
      <c r="H43" s="62">
        <v>1</v>
      </c>
      <c r="I43" s="64">
        <f>E43*G43</f>
        <v>3.5000000000000004E-6</v>
      </c>
      <c r="K43" s="64">
        <f>I43*renaldysfunctionvalue</f>
        <v>0.11200000000000002</v>
      </c>
      <c r="L43" s="192"/>
    </row>
    <row r="44" spans="1:12">
      <c r="A44" s="192" t="s">
        <v>1539</v>
      </c>
      <c r="B44" s="73" t="s">
        <v>159</v>
      </c>
      <c r="L44" s="64">
        <f>SUM(K42:K43)</f>
        <v>4.5920000000000005</v>
      </c>
    </row>
    <row r="45" spans="1:12">
      <c r="A45" s="192"/>
      <c r="L45" s="192"/>
    </row>
    <row r="46" spans="1:12">
      <c r="A46" s="192" t="s">
        <v>1544</v>
      </c>
      <c r="B46" s="73" t="s">
        <v>1542</v>
      </c>
      <c r="C46" s="73" t="s">
        <v>1543</v>
      </c>
      <c r="D46" s="73" t="s">
        <v>1541</v>
      </c>
      <c r="E46" s="71">
        <f>0.045*0.003*0.00857</f>
        <v>1.15695E-6</v>
      </c>
      <c r="F46" s="62">
        <v>4</v>
      </c>
      <c r="G46" s="62">
        <v>1</v>
      </c>
      <c r="H46" s="62">
        <v>1</v>
      </c>
      <c r="I46" s="64">
        <f>E46*G46</f>
        <v>1.15695E-6</v>
      </c>
      <c r="K46" s="64">
        <f>I46*osteoporosisvalue</f>
        <v>7.4044799999999994E-2</v>
      </c>
      <c r="L46" s="64">
        <f>K46</f>
        <v>7.4044799999999994E-2</v>
      </c>
    </row>
    <row r="47" spans="1:12">
      <c r="A47" s="192"/>
      <c r="L47" s="192"/>
    </row>
    <row r="48" spans="1:12">
      <c r="A48" s="192" t="s">
        <v>1545</v>
      </c>
      <c r="B48" s="73" t="s">
        <v>1542</v>
      </c>
      <c r="C48" s="73" t="s">
        <v>1543</v>
      </c>
      <c r="D48" s="73" t="s">
        <v>1541</v>
      </c>
      <c r="E48" s="73" t="s">
        <v>645</v>
      </c>
      <c r="L48" s="192"/>
    </row>
    <row r="49" spans="1:12">
      <c r="A49" s="192"/>
      <c r="L49" s="192"/>
    </row>
    <row r="50" spans="1:12">
      <c r="A50" s="192" t="s">
        <v>1546</v>
      </c>
      <c r="B50" s="73" t="s">
        <v>1542</v>
      </c>
      <c r="C50" s="73" t="s">
        <v>1543</v>
      </c>
      <c r="D50" s="73" t="s">
        <v>1541</v>
      </c>
      <c r="E50" s="71">
        <f>0.0006*0.00857</f>
        <v>5.1419999999999992E-6</v>
      </c>
      <c r="F50" s="62">
        <v>4</v>
      </c>
      <c r="G50" s="62">
        <v>1</v>
      </c>
      <c r="H50" s="62">
        <v>1</v>
      </c>
      <c r="I50" s="64">
        <f>E50*G50</f>
        <v>5.1419999999999992E-6</v>
      </c>
      <c r="K50" s="64">
        <f>I50*osteoporosisvalue</f>
        <v>0.32908799999999994</v>
      </c>
      <c r="L50" s="64">
        <f>K50</f>
        <v>0.32908799999999994</v>
      </c>
    </row>
    <row r="51" spans="1:12">
      <c r="A51" s="192"/>
      <c r="L51" s="192"/>
    </row>
    <row r="52" spans="1:12">
      <c r="A52" s="193" t="s">
        <v>1547</v>
      </c>
      <c r="B52" s="62" t="s">
        <v>1407</v>
      </c>
      <c r="C52" s="73" t="s">
        <v>5</v>
      </c>
      <c r="D52" s="62" t="s">
        <v>258</v>
      </c>
      <c r="E52" s="63">
        <v>100000</v>
      </c>
      <c r="F52" s="62">
        <v>3</v>
      </c>
      <c r="G52" s="63">
        <f>1/7630000</f>
        <v>1.3106159895150722E-7</v>
      </c>
      <c r="H52" s="62">
        <v>2</v>
      </c>
      <c r="I52" s="64">
        <f>E52*G52</f>
        <v>1.3106159895150722E-2</v>
      </c>
      <c r="J52" s="63"/>
      <c r="K52" s="64">
        <f>I52*Intellectualdisabilityvalue</f>
        <v>20.314547837483619</v>
      </c>
      <c r="L52" s="64">
        <f>K52</f>
        <v>20.314547837483619</v>
      </c>
    </row>
    <row r="53" spans="1:12">
      <c r="L53" s="65"/>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01"/>
  <sheetViews>
    <sheetView zoomScaleNormal="100" workbookViewId="0">
      <pane xSplit="1" ySplit="1" topLeftCell="B2" activePane="bottomRight" state="frozenSplit"/>
      <selection activeCell="T43" sqref="T43"/>
      <selection pane="topRight" activeCell="T43" sqref="T43"/>
      <selection pane="bottomLeft" activeCell="T43" sqref="T43"/>
      <selection pane="bottomRight" activeCell="N1" sqref="N1"/>
    </sheetView>
  </sheetViews>
  <sheetFormatPr baseColWidth="10" defaultColWidth="11.5" defaultRowHeight="13"/>
  <cols>
    <col min="1" max="1" width="9.83203125" style="148" customWidth="1"/>
    <col min="2" max="2" width="17.33203125" style="148" customWidth="1"/>
    <col min="3" max="3" width="11.5" style="148" customWidth="1"/>
    <col min="4" max="4" width="18.83203125" style="148" bestFit="1" customWidth="1"/>
    <col min="5" max="5" width="10.6640625" style="148" customWidth="1"/>
    <col min="6" max="6" width="12.6640625" style="148" customWidth="1"/>
    <col min="7" max="7" width="13.1640625" style="148" customWidth="1"/>
    <col min="8" max="8" width="10.6640625" style="148" customWidth="1"/>
    <col min="9" max="9" width="13.1640625" style="148" customWidth="1"/>
    <col min="10" max="10" width="14.5" style="148" customWidth="1"/>
    <col min="11" max="11" width="12.5" style="156" bestFit="1" customWidth="1"/>
    <col min="12" max="12" width="13.5" style="156" customWidth="1"/>
    <col min="13" max="13" width="11.5" style="148" customWidth="1"/>
    <col min="14" max="14" width="16.5" style="165" customWidth="1"/>
    <col min="15" max="15" width="2" style="148" customWidth="1"/>
    <col min="16" max="16" width="23.33203125" style="148" customWidth="1"/>
    <col min="17" max="16384" width="11.5" style="148"/>
  </cols>
  <sheetData>
    <row r="1" spans="1:16" ht="56">
      <c r="A1" s="147" t="s">
        <v>499</v>
      </c>
      <c r="B1" s="148" t="s">
        <v>665</v>
      </c>
      <c r="C1" s="149" t="s">
        <v>293</v>
      </c>
      <c r="D1" s="148" t="s">
        <v>1</v>
      </c>
      <c r="E1" s="150" t="s">
        <v>1851</v>
      </c>
      <c r="F1" s="150" t="s">
        <v>1852</v>
      </c>
      <c r="G1" s="151" t="s">
        <v>1534</v>
      </c>
      <c r="H1" s="147" t="s">
        <v>501</v>
      </c>
      <c r="I1" s="147" t="s">
        <v>502</v>
      </c>
      <c r="J1" s="147" t="s">
        <v>528</v>
      </c>
      <c r="K1" s="152" t="s">
        <v>503</v>
      </c>
      <c r="L1" s="196" t="s">
        <v>504</v>
      </c>
    </row>
    <row r="3" spans="1:16">
      <c r="A3" s="148" t="s">
        <v>157</v>
      </c>
      <c r="B3" s="148" t="s">
        <v>4</v>
      </c>
      <c r="C3" s="149" t="s">
        <v>5</v>
      </c>
      <c r="D3" s="149" t="s">
        <v>156</v>
      </c>
      <c r="E3" s="153">
        <f>88*6787000</f>
        <v>597256000</v>
      </c>
      <c r="F3" s="148">
        <v>2</v>
      </c>
      <c r="G3" s="153">
        <f>1/(3885000000000000/0.88)</f>
        <v>2.2651222651222649E-16</v>
      </c>
      <c r="H3" s="148">
        <v>2.2000000000000002</v>
      </c>
      <c r="I3" s="154">
        <f>E3*G3</f>
        <v>1.3528578635778635E-7</v>
      </c>
      <c r="K3" s="155">
        <f>I3*YOLLvalue</f>
        <v>6.764289317889317E-3</v>
      </c>
      <c r="M3" s="168"/>
      <c r="N3" s="166"/>
      <c r="O3" s="169"/>
      <c r="P3" s="169"/>
    </row>
    <row r="4" spans="1:16">
      <c r="A4" s="148" t="s">
        <v>157</v>
      </c>
      <c r="B4" s="148" t="s">
        <v>4</v>
      </c>
      <c r="C4" s="149" t="s">
        <v>5</v>
      </c>
      <c r="D4" s="149" t="s">
        <v>524</v>
      </c>
      <c r="E4" s="153">
        <v>-5664000</v>
      </c>
      <c r="F4" s="148">
        <v>3</v>
      </c>
      <c r="G4" s="153">
        <f>1/(3885000000000000/0.88)</f>
        <v>2.2651222651222649E-16</v>
      </c>
      <c r="H4" s="148">
        <v>2.2000000000000002</v>
      </c>
      <c r="I4" s="154">
        <f>E4*G4</f>
        <v>-1.2829652509652508E-9</v>
      </c>
      <c r="K4" s="155">
        <f>I4*YOLLvalue</f>
        <v>-6.4148262548262546E-5</v>
      </c>
      <c r="M4" s="169"/>
      <c r="N4" s="166"/>
      <c r="O4" s="169"/>
      <c r="P4" s="169"/>
    </row>
    <row r="5" spans="1:16">
      <c r="A5" s="148" t="s">
        <v>157</v>
      </c>
      <c r="B5" s="148" t="s">
        <v>4</v>
      </c>
      <c r="C5" s="149" t="s">
        <v>5</v>
      </c>
      <c r="D5" s="148" t="s">
        <v>525</v>
      </c>
      <c r="E5" s="153">
        <f>88*25100000</f>
        <v>2208800000</v>
      </c>
      <c r="F5" s="148">
        <v>3</v>
      </c>
      <c r="G5" s="153">
        <f t="shared" ref="G5:G22" si="0">1/(3885000000000000/0.88)</f>
        <v>2.2651222651222649E-16</v>
      </c>
      <c r="H5" s="148">
        <v>2.2000000000000002</v>
      </c>
      <c r="I5" s="154">
        <f>E5*G5</f>
        <v>5.0032020592020582E-7</v>
      </c>
      <c r="K5" s="155">
        <f>I5*YOLLvalue</f>
        <v>2.5016010296010291E-2</v>
      </c>
      <c r="M5" s="169"/>
      <c r="N5" s="166"/>
      <c r="O5" s="169"/>
      <c r="P5" s="169"/>
    </row>
    <row r="6" spans="1:16">
      <c r="A6" s="148" t="s">
        <v>157</v>
      </c>
      <c r="B6" s="148" t="s">
        <v>4</v>
      </c>
      <c r="C6" s="149" t="s">
        <v>5</v>
      </c>
      <c r="D6" s="148" t="s">
        <v>158</v>
      </c>
      <c r="E6" s="153">
        <v>52000000</v>
      </c>
      <c r="F6" s="148">
        <v>3</v>
      </c>
      <c r="G6" s="153">
        <f t="shared" si="0"/>
        <v>2.2651222651222649E-16</v>
      </c>
      <c r="H6" s="148">
        <v>2.2000000000000002</v>
      </c>
      <c r="I6" s="154">
        <f>E6*G6</f>
        <v>1.1778635778635777E-8</v>
      </c>
      <c r="K6" s="155">
        <f>I6*YOLLvalue</f>
        <v>5.8893178893178882E-4</v>
      </c>
      <c r="M6" s="169"/>
      <c r="N6" s="166"/>
      <c r="O6" s="169"/>
      <c r="P6" s="169"/>
    </row>
    <row r="7" spans="1:16">
      <c r="A7" s="149" t="s">
        <v>157</v>
      </c>
      <c r="B7" s="148" t="s">
        <v>4</v>
      </c>
      <c r="C7" s="149" t="s">
        <v>5</v>
      </c>
      <c r="D7" s="149" t="s">
        <v>526</v>
      </c>
      <c r="E7" s="153">
        <f>1400000*0.1*88</f>
        <v>12320000</v>
      </c>
      <c r="F7" s="148">
        <v>3</v>
      </c>
      <c r="G7" s="153">
        <f t="shared" si="0"/>
        <v>2.2651222651222649E-16</v>
      </c>
      <c r="H7" s="148">
        <v>2.2000000000000002</v>
      </c>
      <c r="I7" s="154">
        <f>E7*G7</f>
        <v>2.7906306306306301E-9</v>
      </c>
      <c r="K7" s="155">
        <f>I7*YOLLvalue</f>
        <v>1.3953153153153149E-4</v>
      </c>
      <c r="M7" s="169"/>
      <c r="N7" s="166"/>
      <c r="O7" s="169"/>
      <c r="P7" s="169"/>
    </row>
    <row r="8" spans="1:16">
      <c r="A8" s="148" t="s">
        <v>157</v>
      </c>
      <c r="B8" s="148" t="s">
        <v>4</v>
      </c>
      <c r="C8" s="149" t="s">
        <v>5</v>
      </c>
      <c r="D8" s="149" t="s">
        <v>537</v>
      </c>
      <c r="E8" s="154">
        <f>SUM(E3:E7)</f>
        <v>2864712000</v>
      </c>
      <c r="G8" s="153">
        <f t="shared" si="0"/>
        <v>2.2651222651222649E-16</v>
      </c>
      <c r="H8" s="148">
        <v>2.2000000000000002</v>
      </c>
      <c r="J8" s="154">
        <f>SUM(I3:I7)</f>
        <v>6.4889229343629337E-7</v>
      </c>
      <c r="M8" s="168"/>
      <c r="N8" s="166"/>
      <c r="O8" s="169"/>
      <c r="P8" s="169"/>
    </row>
    <row r="9" spans="1:16">
      <c r="A9" s="148" t="s">
        <v>157</v>
      </c>
      <c r="B9" s="149" t="s">
        <v>519</v>
      </c>
      <c r="C9" s="149" t="s">
        <v>5</v>
      </c>
      <c r="D9" s="149" t="s">
        <v>518</v>
      </c>
      <c r="E9" s="148">
        <f>88*120000000</f>
        <v>10560000000</v>
      </c>
      <c r="F9" s="148">
        <v>2</v>
      </c>
      <c r="G9" s="153">
        <f t="shared" si="0"/>
        <v>2.2651222651222649E-16</v>
      </c>
      <c r="H9" s="148">
        <v>2.2000000000000002</v>
      </c>
      <c r="I9" s="154">
        <f t="shared" ref="I9:I23" si="1">E9*G9</f>
        <v>2.3919691119691116E-6</v>
      </c>
      <c r="J9" s="153"/>
      <c r="K9" s="155">
        <f>I9*malnutrition</f>
        <v>2.2843305019305017E-2</v>
      </c>
      <c r="M9" s="169"/>
      <c r="N9" s="166"/>
      <c r="O9" s="169"/>
      <c r="P9" s="169"/>
    </row>
    <row r="10" spans="1:16">
      <c r="A10" s="148" t="s">
        <v>157</v>
      </c>
      <c r="B10" s="149" t="s">
        <v>661</v>
      </c>
      <c r="C10" s="149" t="s">
        <v>5</v>
      </c>
      <c r="D10" s="149" t="s">
        <v>156</v>
      </c>
      <c r="E10" s="153">
        <f>6000000000*0.65*88*0.3*0.05</f>
        <v>5148000000</v>
      </c>
      <c r="F10" s="148">
        <v>2</v>
      </c>
      <c r="G10" s="153">
        <f t="shared" si="0"/>
        <v>2.2651222651222649E-16</v>
      </c>
      <c r="H10" s="148">
        <v>2.2000000000000002</v>
      </c>
      <c r="I10" s="154">
        <f>E10*G10</f>
        <v>1.1660849420849419E-6</v>
      </c>
      <c r="J10" s="153"/>
      <c r="K10" s="155">
        <f>I10*working_capacity</f>
        <v>6.8565794594594581E-2</v>
      </c>
      <c r="M10" s="169"/>
      <c r="N10" s="166"/>
      <c r="O10" s="169"/>
      <c r="P10" s="169"/>
    </row>
    <row r="11" spans="1:16">
      <c r="A11" s="148" t="s">
        <v>157</v>
      </c>
      <c r="B11" s="149" t="s">
        <v>1548</v>
      </c>
      <c r="C11" s="149" t="s">
        <v>5</v>
      </c>
      <c r="D11" s="149" t="s">
        <v>526</v>
      </c>
      <c r="E11" s="153">
        <f>8000000*0.1*88</f>
        <v>70400000</v>
      </c>
      <c r="F11" s="148">
        <v>2</v>
      </c>
      <c r="G11" s="153">
        <f t="shared" si="0"/>
        <v>2.2651222651222649E-16</v>
      </c>
      <c r="H11" s="148">
        <v>2.2000000000000002</v>
      </c>
      <c r="I11" s="154">
        <f t="shared" si="1"/>
        <v>1.5946460746460745E-8</v>
      </c>
      <c r="J11" s="153"/>
      <c r="K11" s="155">
        <f>I11*diarrhea</f>
        <v>8.3718918918918917E-5</v>
      </c>
      <c r="M11" s="169"/>
      <c r="N11" s="166"/>
      <c r="O11" s="169"/>
      <c r="P11" s="169"/>
    </row>
    <row r="12" spans="1:16">
      <c r="A12" s="148" t="s">
        <v>157</v>
      </c>
      <c r="B12" s="149" t="s">
        <v>160</v>
      </c>
      <c r="C12" s="149" t="s">
        <v>7</v>
      </c>
      <c r="D12" s="149" t="s">
        <v>530</v>
      </c>
      <c r="E12" s="148">
        <f>88*2900000000000*9/6.8*0.05</f>
        <v>16888235294117.648</v>
      </c>
      <c r="F12" s="148">
        <v>2</v>
      </c>
      <c r="G12" s="153">
        <f t="shared" si="0"/>
        <v>2.2651222651222649E-16</v>
      </c>
      <c r="H12" s="148">
        <v>2.2000000000000002</v>
      </c>
      <c r="I12" s="154">
        <f t="shared" si="1"/>
        <v>3.8253917783329545E-3</v>
      </c>
      <c r="J12" s="153"/>
      <c r="K12" s="155">
        <f>I12*cropvalue</f>
        <v>8.4158619123325001E-4</v>
      </c>
      <c r="M12" s="168"/>
      <c r="N12" s="166"/>
      <c r="O12" s="169"/>
      <c r="P12" s="169"/>
    </row>
    <row r="13" spans="1:16">
      <c r="A13" s="148" t="s">
        <v>157</v>
      </c>
      <c r="B13" s="149" t="s">
        <v>160</v>
      </c>
      <c r="C13" s="149" t="s">
        <v>7</v>
      </c>
      <c r="D13" s="149" t="s">
        <v>533</v>
      </c>
      <c r="E13" s="148">
        <f>12500000*5000*500</f>
        <v>31250000000000</v>
      </c>
      <c r="F13" s="148">
        <v>3</v>
      </c>
      <c r="G13" s="153">
        <f t="shared" si="0"/>
        <v>2.2651222651222649E-16</v>
      </c>
      <c r="H13" s="148">
        <v>2.2000000000000002</v>
      </c>
      <c r="I13" s="154">
        <f>E13*G13</f>
        <v>7.078507078507078E-3</v>
      </c>
      <c r="J13" s="153"/>
      <c r="K13" s="155">
        <f>I13*cropvalue</f>
        <v>1.5572715572715571E-3</v>
      </c>
      <c r="M13" s="168"/>
      <c r="N13" s="166"/>
      <c r="O13" s="168"/>
      <c r="P13" s="169"/>
    </row>
    <row r="14" spans="1:16">
      <c r="A14" s="148" t="s">
        <v>157</v>
      </c>
      <c r="B14" s="149" t="s">
        <v>160</v>
      </c>
      <c r="C14" s="149" t="s">
        <v>7</v>
      </c>
      <c r="D14" s="149" t="s">
        <v>537</v>
      </c>
      <c r="E14" s="154">
        <f>E12+E13</f>
        <v>48138235294117.648</v>
      </c>
      <c r="G14" s="153">
        <f t="shared" si="0"/>
        <v>2.2651222651222649E-16</v>
      </c>
      <c r="H14" s="148">
        <v>2.2000000000000002</v>
      </c>
      <c r="I14" s="153"/>
      <c r="J14" s="154">
        <f>I12+I13</f>
        <v>1.0903898856840032E-2</v>
      </c>
      <c r="M14" s="168"/>
      <c r="N14" s="166"/>
      <c r="O14" s="168"/>
      <c r="P14" s="169"/>
    </row>
    <row r="15" spans="1:16">
      <c r="A15" s="148" t="s">
        <v>157</v>
      </c>
      <c r="B15" s="149" t="s">
        <v>529</v>
      </c>
      <c r="C15" s="149" t="s">
        <v>7</v>
      </c>
      <c r="D15" s="149" t="s">
        <v>530</v>
      </c>
      <c r="E15" s="148">
        <f>88*990000000000*9/6.8*0.05</f>
        <v>5765294117647.0586</v>
      </c>
      <c r="F15" s="148">
        <v>2</v>
      </c>
      <c r="G15" s="153">
        <f t="shared" si="0"/>
        <v>2.2651222651222649E-16</v>
      </c>
      <c r="H15" s="148">
        <v>2.2000000000000002</v>
      </c>
      <c r="I15" s="154">
        <f t="shared" si="1"/>
        <v>1.3059096070860774E-3</v>
      </c>
      <c r="J15" s="153"/>
      <c r="K15" s="155">
        <f>I15*Fruitandveg_value</f>
        <v>5.0930474676357017E-4</v>
      </c>
      <c r="M15" s="168"/>
      <c r="N15" s="166"/>
      <c r="O15" s="168"/>
      <c r="P15" s="169"/>
    </row>
    <row r="16" spans="1:16">
      <c r="A16" s="148" t="s">
        <v>157</v>
      </c>
      <c r="B16" s="149" t="s">
        <v>538</v>
      </c>
      <c r="C16" s="149" t="s">
        <v>7</v>
      </c>
      <c r="D16" s="149" t="s">
        <v>509</v>
      </c>
      <c r="E16" s="148">
        <f>88*390000000000*9/6.8*0.05</f>
        <v>2271176470588.2358</v>
      </c>
      <c r="F16" s="148">
        <v>2</v>
      </c>
      <c r="G16" s="153">
        <f t="shared" si="0"/>
        <v>2.2651222651222649E-16</v>
      </c>
      <c r="H16" s="148">
        <v>2.2000000000000002</v>
      </c>
      <c r="I16" s="154">
        <f t="shared" si="1"/>
        <v>5.1444923915512154E-4</v>
      </c>
      <c r="J16" s="153"/>
      <c r="K16" s="155">
        <f>I16*fishandmeatvalue</f>
        <v>1.0803434022257552E-3</v>
      </c>
      <c r="M16" s="168"/>
      <c r="N16" s="166"/>
      <c r="O16" s="169"/>
      <c r="P16" s="169"/>
    </row>
    <row r="17" spans="1:16">
      <c r="A17" s="148" t="s">
        <v>157</v>
      </c>
      <c r="B17" s="148" t="s">
        <v>161</v>
      </c>
      <c r="C17" s="149" t="s">
        <v>7</v>
      </c>
      <c r="D17" s="149" t="s">
        <v>530</v>
      </c>
      <c r="E17" s="153">
        <v>0</v>
      </c>
      <c r="F17" s="153">
        <v>800000000000000</v>
      </c>
      <c r="G17" s="153">
        <f t="shared" si="0"/>
        <v>2.2651222651222649E-16</v>
      </c>
      <c r="H17" s="148">
        <v>2.2000000000000002</v>
      </c>
      <c r="I17" s="154">
        <f t="shared" si="1"/>
        <v>0</v>
      </c>
      <c r="J17" s="153"/>
      <c r="K17" s="155">
        <f>I17*woodvalue</f>
        <v>0</v>
      </c>
      <c r="M17" s="169"/>
      <c r="N17" s="166"/>
      <c r="O17" s="169"/>
      <c r="P17" s="169"/>
    </row>
    <row r="18" spans="1:16">
      <c r="A18" s="148" t="s">
        <v>157</v>
      </c>
      <c r="B18" s="148" t="s">
        <v>508</v>
      </c>
      <c r="C18" s="149" t="s">
        <v>7</v>
      </c>
      <c r="D18" s="149" t="s">
        <v>530</v>
      </c>
      <c r="E18" s="148">
        <f>6300000000000*88*0.5</f>
        <v>277200000000000</v>
      </c>
      <c r="F18" s="148">
        <v>3</v>
      </c>
      <c r="G18" s="153">
        <f t="shared" si="0"/>
        <v>2.2651222651222649E-16</v>
      </c>
      <c r="H18" s="148">
        <v>2.2000000000000002</v>
      </c>
      <c r="I18" s="154">
        <f t="shared" si="1"/>
        <v>6.2789189189189187E-2</v>
      </c>
      <c r="J18" s="153"/>
      <c r="K18" s="155">
        <f>I18*drinkingwatervalue</f>
        <v>1.2557837837837838E-4</v>
      </c>
      <c r="M18" s="168"/>
      <c r="N18" s="166"/>
      <c r="O18" s="169"/>
      <c r="P18" s="169"/>
    </row>
    <row r="19" spans="1:16">
      <c r="A19" s="148" t="s">
        <v>157</v>
      </c>
      <c r="B19" s="148" t="s">
        <v>510</v>
      </c>
      <c r="C19" s="149" t="s">
        <v>7</v>
      </c>
      <c r="D19" s="149" t="s">
        <v>530</v>
      </c>
      <c r="E19" s="148">
        <f>6300000000000*88</f>
        <v>554400000000000</v>
      </c>
      <c r="F19" s="148">
        <v>3</v>
      </c>
      <c r="G19" s="153">
        <f t="shared" si="0"/>
        <v>2.2651222651222649E-16</v>
      </c>
      <c r="H19" s="148">
        <v>2.2000000000000002</v>
      </c>
      <c r="I19" s="154">
        <f t="shared" si="1"/>
        <v>0.12557837837837837</v>
      </c>
      <c r="J19" s="153"/>
      <c r="K19" s="155">
        <f>I19*irrigationwatervalue</f>
        <v>1.2557837837837838E-4</v>
      </c>
      <c r="M19" s="168"/>
      <c r="N19" s="166"/>
      <c r="O19" s="169"/>
      <c r="P19" s="169"/>
    </row>
    <row r="20" spans="1:16">
      <c r="A20" s="148" t="s">
        <v>157</v>
      </c>
      <c r="B20" s="148" t="s">
        <v>511</v>
      </c>
      <c r="C20" s="149" t="s">
        <v>487</v>
      </c>
      <c r="D20" s="149" t="s">
        <v>512</v>
      </c>
      <c r="E20" s="153">
        <f>1400000000</f>
        <v>1400000000</v>
      </c>
      <c r="F20" s="148">
        <v>4</v>
      </c>
      <c r="G20" s="153">
        <f t="shared" si="0"/>
        <v>2.2651222651222649E-16</v>
      </c>
      <c r="H20" s="148">
        <v>2.2000000000000002</v>
      </c>
      <c r="I20" s="154">
        <f t="shared" si="1"/>
        <v>3.1711711711711707E-7</v>
      </c>
      <c r="J20" s="153"/>
      <c r="K20" s="155">
        <f>I20*energy_access</f>
        <v>8.879279279279278E-4</v>
      </c>
      <c r="M20" s="168"/>
      <c r="N20" s="166"/>
      <c r="O20" s="169"/>
      <c r="P20" s="169"/>
    </row>
    <row r="21" spans="1:16">
      <c r="A21" s="148" t="s">
        <v>157</v>
      </c>
      <c r="B21" s="149" t="s">
        <v>1499</v>
      </c>
      <c r="C21" s="149" t="s">
        <v>1483</v>
      </c>
      <c r="D21" s="149" t="s">
        <v>514</v>
      </c>
      <c r="E21" s="153">
        <f>1000000*88</f>
        <v>88000000</v>
      </c>
      <c r="F21" s="148">
        <v>4</v>
      </c>
      <c r="G21" s="153">
        <f t="shared" si="0"/>
        <v>2.2651222651222649E-16</v>
      </c>
      <c r="H21" s="148">
        <v>2.2000000000000002</v>
      </c>
      <c r="I21" s="154">
        <f t="shared" si="1"/>
        <v>1.9933075933075932E-8</v>
      </c>
      <c r="J21" s="153"/>
      <c r="K21" s="155">
        <f>I21*housingvalue</f>
        <v>3.9866151866151864E-5</v>
      </c>
      <c r="M21" s="168"/>
      <c r="N21" s="166"/>
      <c r="O21" s="169"/>
      <c r="P21" s="169"/>
    </row>
    <row r="22" spans="1:16">
      <c r="A22" s="148" t="s">
        <v>157</v>
      </c>
      <c r="B22" s="148" t="s">
        <v>515</v>
      </c>
      <c r="C22" s="149" t="s">
        <v>523</v>
      </c>
      <c r="D22" s="149" t="s">
        <v>516</v>
      </c>
      <c r="E22" s="153">
        <v>1000000000</v>
      </c>
      <c r="F22" s="148">
        <v>4</v>
      </c>
      <c r="G22" s="153">
        <f t="shared" si="0"/>
        <v>2.2651222651222649E-16</v>
      </c>
      <c r="H22" s="148">
        <v>2.2000000000000002</v>
      </c>
      <c r="I22" s="154">
        <f t="shared" si="1"/>
        <v>2.2651222651222648E-7</v>
      </c>
      <c r="J22" s="153"/>
      <c r="K22" s="155">
        <f>I22*migrationvalue</f>
        <v>5.6628056628056618E-3</v>
      </c>
      <c r="M22" s="168"/>
      <c r="N22" s="166"/>
      <c r="O22" s="169"/>
      <c r="P22" s="169"/>
    </row>
    <row r="23" spans="1:16">
      <c r="A23" s="148" t="s">
        <v>157</v>
      </c>
      <c r="B23" s="148" t="s">
        <v>174</v>
      </c>
      <c r="C23" s="149" t="s">
        <v>505</v>
      </c>
      <c r="D23" s="148" t="s">
        <v>507</v>
      </c>
      <c r="E23" s="148">
        <v>1</v>
      </c>
      <c r="F23" s="148">
        <v>4</v>
      </c>
      <c r="G23" s="153">
        <f>1/(3885000000000000/0.88)</f>
        <v>2.2651222651222649E-16</v>
      </c>
      <c r="H23" s="148">
        <v>2.2000000000000002</v>
      </c>
      <c r="I23" s="154">
        <f t="shared" si="1"/>
        <v>2.2651222651222649E-16</v>
      </c>
      <c r="J23" s="153"/>
      <c r="K23" s="155">
        <f>speciesvalue*I23</f>
        <v>1.2684684684684684E-5</v>
      </c>
      <c r="M23" s="168"/>
      <c r="N23" s="166"/>
      <c r="O23" s="169"/>
      <c r="P23" s="169"/>
    </row>
    <row r="24" spans="1:16">
      <c r="A24" s="148" t="s">
        <v>157</v>
      </c>
      <c r="B24" s="148" t="s">
        <v>159</v>
      </c>
      <c r="D24" s="148" t="s">
        <v>159</v>
      </c>
      <c r="L24" s="155">
        <f>SUM(K3:K23)</f>
        <v>0.13478038028616854</v>
      </c>
      <c r="M24" s="168"/>
      <c r="N24" s="166"/>
      <c r="O24" s="169"/>
      <c r="P24" s="169"/>
    </row>
    <row r="25" spans="1:16">
      <c r="M25" s="169"/>
      <c r="N25" s="166"/>
      <c r="O25" s="169"/>
      <c r="P25" s="169"/>
    </row>
    <row r="26" spans="1:16">
      <c r="A26" s="148" t="s">
        <v>163</v>
      </c>
      <c r="B26" s="148" t="s">
        <v>4</v>
      </c>
      <c r="C26" s="148" t="s">
        <v>5</v>
      </c>
      <c r="D26" s="148" t="s">
        <v>530</v>
      </c>
      <c r="E26" s="154">
        <f>E8</f>
        <v>2864712000</v>
      </c>
      <c r="F26" s="157">
        <f>F5</f>
        <v>3</v>
      </c>
      <c r="G26" s="153">
        <f>5.3/(3885000000000000/0.88)</f>
        <v>1.2005148005148004E-15</v>
      </c>
      <c r="H26" s="148">
        <v>1.25</v>
      </c>
      <c r="I26" s="154">
        <f>E26*G26</f>
        <v>3.4391291552123548E-6</v>
      </c>
      <c r="J26" s="154">
        <f>I26</f>
        <v>3.4391291552123548E-6</v>
      </c>
      <c r="K26" s="155">
        <f>YOLLvalue*I26</f>
        <v>0.17195645776061774</v>
      </c>
      <c r="M26" s="168"/>
      <c r="N26" s="166"/>
      <c r="O26" s="169"/>
      <c r="P26" s="169"/>
    </row>
    <row r="27" spans="1:16">
      <c r="A27" s="148" t="s">
        <v>163</v>
      </c>
      <c r="B27" s="148" t="s">
        <v>4</v>
      </c>
      <c r="C27" s="148" t="s">
        <v>5</v>
      </c>
      <c r="D27" s="149" t="s">
        <v>170</v>
      </c>
      <c r="E27" s="158">
        <f>NOx_YOLL_Oxidant_charfact</f>
        <v>3.5591248961506508E-6</v>
      </c>
      <c r="F27" s="159">
        <f>EXP(SQRT(LN(F46)^2+LN(H46)^2))</f>
        <v>3.225367609015227</v>
      </c>
      <c r="G27" s="153">
        <f>0.021/0.62</f>
        <v>3.3870967741935487E-2</v>
      </c>
      <c r="H27" s="149">
        <v>2</v>
      </c>
      <c r="I27" s="154">
        <f>E27*G27</f>
        <v>1.2055100454703817E-7</v>
      </c>
      <c r="J27" s="153"/>
      <c r="K27" s="155">
        <f>YOLLvalue*I27</f>
        <v>6.0275502273519086E-3</v>
      </c>
      <c r="M27" s="168"/>
      <c r="N27" s="166"/>
      <c r="O27" s="169"/>
      <c r="P27" s="169"/>
    </row>
    <row r="28" spans="1:16">
      <c r="A28" s="148" t="s">
        <v>163</v>
      </c>
      <c r="B28" s="148" t="s">
        <v>535</v>
      </c>
      <c r="C28" s="148" t="s">
        <v>5</v>
      </c>
      <c r="D28" s="148" t="s">
        <v>164</v>
      </c>
      <c r="E28" s="160">
        <v>4300</v>
      </c>
      <c r="F28" s="148">
        <v>4</v>
      </c>
      <c r="G28" s="153">
        <f>1/1560000000000</f>
        <v>6.4102564102564103E-13</v>
      </c>
      <c r="H28" s="148">
        <v>5</v>
      </c>
      <c r="I28" s="154">
        <f>E28*G28</f>
        <v>2.7564102564102565E-9</v>
      </c>
      <c r="K28" s="155">
        <f>I28*anginavalue</f>
        <v>8.2692307692307695E-6</v>
      </c>
      <c r="M28" s="169"/>
      <c r="N28" s="166"/>
      <c r="O28" s="169"/>
      <c r="P28" s="169"/>
    </row>
    <row r="29" spans="1:16">
      <c r="A29" s="148" t="s">
        <v>163</v>
      </c>
      <c r="B29" s="149" t="s">
        <v>519</v>
      </c>
      <c r="C29" s="149" t="s">
        <v>5</v>
      </c>
      <c r="D29" s="148" t="s">
        <v>530</v>
      </c>
      <c r="E29" s="154">
        <f>E10</f>
        <v>5148000000</v>
      </c>
      <c r="F29" s="159">
        <f>EXP(SQRT(LN(F9)^2+LN(H9)^2))</f>
        <v>2.8571313313055411</v>
      </c>
      <c r="G29" s="153">
        <f>5.3*G9</f>
        <v>1.2005148005148004E-15</v>
      </c>
      <c r="H29" s="159">
        <f>EXP(SQRT(LN(F9)^2+LN(H9)^2))</f>
        <v>2.8571313313055411</v>
      </c>
      <c r="I29" s="154">
        <f t="shared" ref="I29:I41" si="2">E29*G29</f>
        <v>6.1802501930501926E-6</v>
      </c>
      <c r="K29" s="155">
        <f>I29*malnutrition</f>
        <v>5.9021389343629341E-2</v>
      </c>
      <c r="M29" s="169"/>
      <c r="N29" s="170"/>
      <c r="O29" s="169"/>
      <c r="P29" s="169"/>
    </row>
    <row r="30" spans="1:16">
      <c r="A30" s="148" t="s">
        <v>163</v>
      </c>
      <c r="B30" s="149" t="s">
        <v>661</v>
      </c>
      <c r="C30" s="149" t="s">
        <v>5</v>
      </c>
      <c r="D30" s="148" t="s">
        <v>530</v>
      </c>
      <c r="E30" s="158">
        <f>I10</f>
        <v>1.1660849420849419E-6</v>
      </c>
      <c r="F30" s="159">
        <f>EXP(SQRT(LN(F10)^2+LN(H10)^2))</f>
        <v>2.8571313313055411</v>
      </c>
      <c r="G30" s="148">
        <v>5.3</v>
      </c>
      <c r="H30" s="148">
        <v>1.25</v>
      </c>
      <c r="I30" s="154">
        <f t="shared" si="2"/>
        <v>6.1802501930501918E-6</v>
      </c>
      <c r="J30" s="154">
        <f>SUM(I28:I29)</f>
        <v>6.1830066033066025E-6</v>
      </c>
      <c r="K30" s="155">
        <f>I30*working_capacity</f>
        <v>0.36339871135135127</v>
      </c>
      <c r="M30" s="168"/>
      <c r="N30" s="166"/>
      <c r="O30" s="169"/>
      <c r="P30" s="169"/>
    </row>
    <row r="31" spans="1:16">
      <c r="A31" s="148" t="s">
        <v>163</v>
      </c>
      <c r="B31" s="149" t="s">
        <v>1548</v>
      </c>
      <c r="C31" s="149" t="s">
        <v>7</v>
      </c>
      <c r="D31" s="148" t="s">
        <v>530</v>
      </c>
      <c r="E31" s="158">
        <f>I11</f>
        <v>1.5946460746460745E-8</v>
      </c>
      <c r="F31" s="159">
        <f>EXP(SQRT(LN(F11)^2+LN(H11)^2))</f>
        <v>2.8571313313055411</v>
      </c>
      <c r="G31" s="148">
        <v>5.3</v>
      </c>
      <c r="H31" s="148">
        <v>1.25</v>
      </c>
      <c r="I31" s="154">
        <f t="shared" si="2"/>
        <v>8.4516241956241952E-8</v>
      </c>
      <c r="J31" s="154">
        <f>I31</f>
        <v>8.4516241956241952E-8</v>
      </c>
      <c r="K31" s="155">
        <f>I31*diarrhea</f>
        <v>4.4371027027027024E-4</v>
      </c>
      <c r="M31" s="168"/>
      <c r="N31" s="166"/>
      <c r="O31" s="169"/>
      <c r="P31" s="169"/>
    </row>
    <row r="32" spans="1:16">
      <c r="A32" s="148" t="s">
        <v>163</v>
      </c>
      <c r="B32" s="148" t="s">
        <v>160</v>
      </c>
      <c r="C32" s="149" t="s">
        <v>7</v>
      </c>
      <c r="D32" s="148" t="s">
        <v>530</v>
      </c>
      <c r="E32" s="158">
        <f>I12+I13</f>
        <v>1.0903898856840032E-2</v>
      </c>
      <c r="F32" s="159">
        <f>EXP(SQRT(LN(F13)^2+LN(H13)^2))</f>
        <v>3.8661629807182414</v>
      </c>
      <c r="G32" s="148">
        <v>5.3</v>
      </c>
      <c r="H32" s="148">
        <v>1.25</v>
      </c>
      <c r="I32" s="154">
        <f>E32*G32</f>
        <v>5.7790663941252166E-2</v>
      </c>
      <c r="J32" s="154">
        <f>I32</f>
        <v>5.7790663941252166E-2</v>
      </c>
      <c r="K32" s="155">
        <f>I32*cropvalue</f>
        <v>1.2713946067075476E-2</v>
      </c>
      <c r="M32" s="168"/>
      <c r="N32" s="166"/>
      <c r="O32" s="169"/>
      <c r="P32" s="169"/>
    </row>
    <row r="33" spans="1:18">
      <c r="A33" s="148" t="s">
        <v>163</v>
      </c>
      <c r="B33" s="149" t="s">
        <v>529</v>
      </c>
      <c r="C33" s="149" t="s">
        <v>7</v>
      </c>
      <c r="D33" s="148" t="s">
        <v>530</v>
      </c>
      <c r="E33" s="158">
        <f>I15</f>
        <v>1.3059096070860774E-3</v>
      </c>
      <c r="F33" s="159">
        <f>EXP(SQRT(LN(F15)^2+LN(H15)^2))</f>
        <v>2.8571313313055411</v>
      </c>
      <c r="G33" s="148">
        <v>5.3</v>
      </c>
      <c r="H33" s="148">
        <v>1.25</v>
      </c>
      <c r="I33" s="154">
        <f t="shared" si="2"/>
        <v>6.9213209175562106E-3</v>
      </c>
      <c r="J33" s="154">
        <f>I33</f>
        <v>6.9213209175562106E-3</v>
      </c>
      <c r="K33" s="155">
        <f>I33*Fruitandveg_value</f>
        <v>2.699315157846922E-3</v>
      </c>
      <c r="M33" s="168"/>
      <c r="N33" s="166"/>
      <c r="O33" s="169"/>
      <c r="P33" s="169"/>
    </row>
    <row r="34" spans="1:18">
      <c r="A34" s="148" t="s">
        <v>163</v>
      </c>
      <c r="B34" s="148" t="s">
        <v>538</v>
      </c>
      <c r="C34" s="149" t="s">
        <v>7</v>
      </c>
      <c r="D34" s="148" t="s">
        <v>530</v>
      </c>
      <c r="E34" s="158">
        <f>I16</f>
        <v>5.1444923915512154E-4</v>
      </c>
      <c r="F34" s="159">
        <f t="shared" ref="F34:F41" si="3">EXP(SQRT(LN(F16)^2+LN(H16)^2))</f>
        <v>2.8571313313055411</v>
      </c>
      <c r="G34" s="148">
        <v>5.3</v>
      </c>
      <c r="H34" s="148">
        <v>1.25</v>
      </c>
      <c r="I34" s="154">
        <f t="shared" si="2"/>
        <v>2.7265809675221441E-3</v>
      </c>
      <c r="K34" s="155">
        <f>I34*fishandmeatvalue</f>
        <v>5.7258200317965033E-3</v>
      </c>
      <c r="M34" s="169"/>
      <c r="N34" s="166"/>
      <c r="O34" s="169"/>
      <c r="P34" s="169"/>
    </row>
    <row r="35" spans="1:18">
      <c r="A35" s="148" t="s">
        <v>163</v>
      </c>
      <c r="B35" s="148" t="s">
        <v>161</v>
      </c>
      <c r="C35" s="149" t="s">
        <v>7</v>
      </c>
      <c r="D35" s="148" t="s">
        <v>530</v>
      </c>
      <c r="E35" s="158">
        <f>charco2woodgw</f>
        <v>0</v>
      </c>
      <c r="F35" s="154">
        <f>F17</f>
        <v>800000000000000</v>
      </c>
      <c r="G35" s="148">
        <v>5.3</v>
      </c>
      <c r="H35" s="148">
        <v>1.25</v>
      </c>
      <c r="I35" s="154">
        <f t="shared" si="2"/>
        <v>0</v>
      </c>
      <c r="K35" s="155">
        <f>I35*woodvalue</f>
        <v>0</v>
      </c>
      <c r="M35" s="169"/>
      <c r="N35" s="166"/>
      <c r="O35" s="169"/>
      <c r="P35" s="169"/>
    </row>
    <row r="36" spans="1:18">
      <c r="A36" s="148" t="s">
        <v>163</v>
      </c>
      <c r="B36" s="148" t="s">
        <v>508</v>
      </c>
      <c r="C36" s="149" t="s">
        <v>7</v>
      </c>
      <c r="D36" s="148" t="s">
        <v>530</v>
      </c>
      <c r="E36" s="158">
        <f t="shared" ref="E36:E41" si="4">I18</f>
        <v>6.2789189189189187E-2</v>
      </c>
      <c r="F36" s="159">
        <f t="shared" si="3"/>
        <v>3.8661629807182414</v>
      </c>
      <c r="G36" s="148">
        <v>5.3</v>
      </c>
      <c r="H36" s="148">
        <v>1.25</v>
      </c>
      <c r="I36" s="154">
        <f t="shared" si="2"/>
        <v>0.33278270270270266</v>
      </c>
      <c r="J36" s="154">
        <f>SUM(I34:I35)</f>
        <v>2.7265809675221441E-3</v>
      </c>
      <c r="K36" s="155">
        <f>I36*drinkingwatervalue</f>
        <v>6.6556540540540533E-4</v>
      </c>
      <c r="M36" s="168"/>
      <c r="N36" s="166"/>
      <c r="O36" s="169"/>
      <c r="P36" s="169"/>
    </row>
    <row r="37" spans="1:18">
      <c r="A37" s="148" t="s">
        <v>163</v>
      </c>
      <c r="B37" s="148" t="s">
        <v>510</v>
      </c>
      <c r="C37" s="149" t="s">
        <v>7</v>
      </c>
      <c r="D37" s="148" t="s">
        <v>530</v>
      </c>
      <c r="E37" s="158">
        <f t="shared" si="4"/>
        <v>0.12557837837837837</v>
      </c>
      <c r="F37" s="159">
        <f t="shared" si="3"/>
        <v>3.8661629807182414</v>
      </c>
      <c r="G37" s="148">
        <v>5.3</v>
      </c>
      <c r="H37" s="148">
        <v>1.25</v>
      </c>
      <c r="I37" s="154">
        <f t="shared" si="2"/>
        <v>0.66556540540540532</v>
      </c>
      <c r="J37" s="153"/>
      <c r="K37" s="155">
        <f>I37*irrigationwatervalue</f>
        <v>6.6556540540540533E-4</v>
      </c>
      <c r="M37" s="168"/>
      <c r="N37" s="166"/>
      <c r="O37" s="169"/>
      <c r="P37" s="169"/>
    </row>
    <row r="38" spans="1:18">
      <c r="A38" s="148" t="s">
        <v>163</v>
      </c>
      <c r="B38" s="148" t="s">
        <v>511</v>
      </c>
      <c r="C38" s="149" t="s">
        <v>487</v>
      </c>
      <c r="D38" s="148" t="s">
        <v>530</v>
      </c>
      <c r="E38" s="158">
        <f t="shared" si="4"/>
        <v>3.1711711711711707E-7</v>
      </c>
      <c r="F38" s="159">
        <f t="shared" si="3"/>
        <v>4.9274825772801725</v>
      </c>
      <c r="G38" s="148">
        <v>5.3</v>
      </c>
      <c r="H38" s="148">
        <v>1.25</v>
      </c>
      <c r="I38" s="154">
        <f t="shared" si="2"/>
        <v>1.6807207207207205E-6</v>
      </c>
      <c r="J38" s="153"/>
      <c r="K38" s="155">
        <f>I38*energy_access</f>
        <v>4.7060180180180169E-3</v>
      </c>
      <c r="M38" s="168"/>
      <c r="N38" s="166"/>
      <c r="O38" s="169"/>
      <c r="P38" s="169"/>
    </row>
    <row r="39" spans="1:18">
      <c r="A39" s="148" t="s">
        <v>163</v>
      </c>
      <c r="B39" s="149" t="s">
        <v>513</v>
      </c>
      <c r="C39" s="149" t="s">
        <v>5</v>
      </c>
      <c r="D39" s="148" t="s">
        <v>530</v>
      </c>
      <c r="E39" s="158">
        <f t="shared" si="4"/>
        <v>1.9933075933075932E-8</v>
      </c>
      <c r="F39" s="159">
        <f t="shared" si="3"/>
        <v>4.9274825772801725</v>
      </c>
      <c r="G39" s="148">
        <v>5.3</v>
      </c>
      <c r="H39" s="148">
        <v>1.25</v>
      </c>
      <c r="I39" s="154">
        <f t="shared" si="2"/>
        <v>1.0564530244530244E-7</v>
      </c>
      <c r="J39" s="153"/>
      <c r="K39" s="155">
        <f>I39*housingvalue</f>
        <v>2.1129060489060488E-4</v>
      </c>
      <c r="M39" s="168"/>
      <c r="N39" s="166"/>
      <c r="O39" s="169"/>
      <c r="P39" s="169"/>
    </row>
    <row r="40" spans="1:18">
      <c r="A40" s="148" t="s">
        <v>163</v>
      </c>
      <c r="B40" s="148" t="s">
        <v>515</v>
      </c>
      <c r="C40" s="149" t="s">
        <v>523</v>
      </c>
      <c r="D40" s="148" t="s">
        <v>530</v>
      </c>
      <c r="E40" s="158">
        <f t="shared" si="4"/>
        <v>2.2651222651222648E-7</v>
      </c>
      <c r="F40" s="159">
        <f t="shared" si="3"/>
        <v>4.9274825772801725</v>
      </c>
      <c r="G40" s="148">
        <v>5.3</v>
      </c>
      <c r="H40" s="148">
        <v>1.25</v>
      </c>
      <c r="I40" s="154">
        <f t="shared" si="2"/>
        <v>1.2005148005148003E-6</v>
      </c>
      <c r="J40" s="153"/>
      <c r="K40" s="155">
        <f>I40*migrationvalue</f>
        <v>3.0012870012870008E-2</v>
      </c>
      <c r="M40" s="168"/>
      <c r="N40" s="166"/>
      <c r="O40" s="169"/>
      <c r="P40" s="169"/>
    </row>
    <row r="41" spans="1:18">
      <c r="A41" s="148" t="s">
        <v>163</v>
      </c>
      <c r="B41" s="148" t="s">
        <v>174</v>
      </c>
      <c r="C41" s="149" t="s">
        <v>505</v>
      </c>
      <c r="D41" s="148" t="s">
        <v>162</v>
      </c>
      <c r="E41" s="158">
        <f t="shared" si="4"/>
        <v>2.2651222651222649E-16</v>
      </c>
      <c r="F41" s="159">
        <f t="shared" si="3"/>
        <v>4.9274825772801725</v>
      </c>
      <c r="G41" s="148">
        <v>5.3</v>
      </c>
      <c r="H41" s="148">
        <v>1.25</v>
      </c>
      <c r="I41" s="154">
        <f t="shared" si="2"/>
        <v>1.2005148005148004E-15</v>
      </c>
      <c r="J41" s="154">
        <f>I41</f>
        <v>1.2005148005148004E-15</v>
      </c>
      <c r="K41" s="155">
        <f>speciesvalue*I41</f>
        <v>6.7228828828828826E-5</v>
      </c>
      <c r="M41" s="168"/>
      <c r="N41" s="166"/>
      <c r="O41" s="169"/>
      <c r="P41" s="169"/>
    </row>
    <row r="42" spans="1:18">
      <c r="A42" s="148" t="s">
        <v>163</v>
      </c>
      <c r="B42" s="148" t="s">
        <v>159</v>
      </c>
      <c r="D42" s="148" t="s">
        <v>159</v>
      </c>
      <c r="L42" s="155">
        <f>SUM(K26:K41)</f>
        <v>0.65832370771612692</v>
      </c>
      <c r="M42" s="169"/>
      <c r="N42" s="166"/>
      <c r="O42" s="169"/>
      <c r="P42" s="169"/>
    </row>
    <row r="43" spans="1:18">
      <c r="M43" s="169"/>
      <c r="N43" s="171"/>
      <c r="O43" s="169"/>
      <c r="P43" s="169"/>
    </row>
    <row r="44" spans="1:18">
      <c r="A44" s="148" t="s">
        <v>168</v>
      </c>
      <c r="B44" s="169" t="s">
        <v>4</v>
      </c>
      <c r="C44" s="188" t="s">
        <v>5</v>
      </c>
      <c r="D44" s="169" t="s">
        <v>169</v>
      </c>
      <c r="E44" s="154">
        <v>-9.928052089575288E-5</v>
      </c>
      <c r="F44" s="148">
        <v>4</v>
      </c>
      <c r="G44" s="153">
        <f>0.63</f>
        <v>0.63</v>
      </c>
      <c r="H44" s="148">
        <v>1.5</v>
      </c>
      <c r="I44" s="154">
        <f>E44*G44</f>
        <v>-6.2546728164324309E-5</v>
      </c>
      <c r="K44" s="189">
        <f>I44*YOLLvalue</f>
        <v>-3.1273364082162156</v>
      </c>
      <c r="M44" s="169"/>
      <c r="N44" s="171"/>
      <c r="O44" s="172"/>
      <c r="P44" s="169"/>
      <c r="R44" s="153"/>
    </row>
    <row r="45" spans="1:18">
      <c r="A45" s="148" t="s">
        <v>168</v>
      </c>
      <c r="B45" s="169" t="s">
        <v>4</v>
      </c>
      <c r="C45" s="188" t="s">
        <v>5</v>
      </c>
      <c r="D45" s="188" t="s">
        <v>530</v>
      </c>
      <c r="E45" s="158">
        <f>charco2yoll</f>
        <v>6.4889229343629337E-7</v>
      </c>
      <c r="F45" s="148">
        <v>4</v>
      </c>
      <c r="G45" s="153">
        <f>-50</f>
        <v>-50</v>
      </c>
      <c r="H45" s="148">
        <v>1.5</v>
      </c>
      <c r="I45" s="154">
        <f>E45*G45</f>
        <v>-3.2444614671814671E-5</v>
      </c>
      <c r="K45" s="189">
        <f>I45*YOLLvalue</f>
        <v>-1.6222307335907336</v>
      </c>
      <c r="M45" s="169"/>
      <c r="N45" s="171"/>
      <c r="O45" s="172"/>
      <c r="P45" s="169"/>
      <c r="R45" s="153"/>
    </row>
    <row r="46" spans="1:18">
      <c r="A46" s="148" t="s">
        <v>168</v>
      </c>
      <c r="B46" s="148" t="s">
        <v>4</v>
      </c>
      <c r="C46" s="149" t="s">
        <v>5</v>
      </c>
      <c r="D46" s="148" t="s">
        <v>170</v>
      </c>
      <c r="E46" s="153">
        <f>36000/314*7200*0.527</f>
        <v>435026.75159235671</v>
      </c>
      <c r="F46" s="148">
        <v>3</v>
      </c>
      <c r="G46" s="148">
        <f>1/(37200000000*46/14)</f>
        <v>8.1813931743805515E-12</v>
      </c>
      <c r="H46" s="148">
        <v>1.5</v>
      </c>
      <c r="I46" s="154">
        <f>E46*G46</f>
        <v>3.5591248961506508E-6</v>
      </c>
      <c r="K46" s="155">
        <f>I46*YOLLvalue</f>
        <v>0.17795624480753253</v>
      </c>
      <c r="M46" s="169"/>
      <c r="N46" s="166"/>
      <c r="O46" s="169"/>
      <c r="P46" s="169"/>
    </row>
    <row r="47" spans="1:18">
      <c r="A47" s="148" t="s">
        <v>168</v>
      </c>
      <c r="B47" s="148" t="s">
        <v>4</v>
      </c>
      <c r="D47" s="148" t="s">
        <v>159</v>
      </c>
      <c r="I47" s="153"/>
      <c r="J47" s="154">
        <f>SUM(I44:I46)</f>
        <v>-9.1432217939988323E-5</v>
      </c>
      <c r="M47" s="168"/>
      <c r="N47" s="166"/>
      <c r="O47" s="169"/>
      <c r="P47" s="169"/>
    </row>
    <row r="48" spans="1:18">
      <c r="A48" s="148" t="s">
        <v>168</v>
      </c>
      <c r="B48" s="149" t="s">
        <v>558</v>
      </c>
      <c r="D48" s="148" t="s">
        <v>169</v>
      </c>
      <c r="E48" s="153">
        <v>408671.99999999994</v>
      </c>
      <c r="F48" s="148">
        <v>3</v>
      </c>
      <c r="G48" s="148">
        <f>1/(37200000000*46/14)</f>
        <v>8.1813931743805515E-12</v>
      </c>
      <c r="H48" s="148">
        <v>2</v>
      </c>
      <c r="I48" s="154">
        <f t="shared" ref="I48:I69" si="5">E48*G48</f>
        <v>3.3435063113604485E-6</v>
      </c>
      <c r="K48" s="155">
        <f>I48*asthmacasesvalue</f>
        <v>7.1885385694249642E-3</v>
      </c>
      <c r="M48" s="169"/>
      <c r="N48" s="166"/>
      <c r="O48" s="169"/>
      <c r="P48" s="169"/>
    </row>
    <row r="49" spans="1:16">
      <c r="A49" s="148" t="s">
        <v>168</v>
      </c>
      <c r="B49" s="149" t="s">
        <v>658</v>
      </c>
      <c r="D49" s="148" t="s">
        <v>169</v>
      </c>
      <c r="E49" s="153">
        <v>31900</v>
      </c>
      <c r="F49" s="148">
        <v>3</v>
      </c>
      <c r="G49" s="148">
        <f>1/(37200000000*46/14)</f>
        <v>8.1813931743805515E-12</v>
      </c>
      <c r="H49" s="148">
        <v>2</v>
      </c>
      <c r="I49" s="154">
        <f t="shared" si="5"/>
        <v>2.6098644226273958E-7</v>
      </c>
      <c r="K49" s="154">
        <f>I49*COPDvalue</f>
        <v>4.9978903693314626E-3</v>
      </c>
      <c r="M49" s="169"/>
      <c r="N49" s="166"/>
      <c r="O49" s="169"/>
      <c r="P49" s="169"/>
    </row>
    <row r="50" spans="1:16">
      <c r="A50" s="148" t="s">
        <v>168</v>
      </c>
      <c r="B50" s="188" t="s">
        <v>519</v>
      </c>
      <c r="C50" s="188" t="s">
        <v>5</v>
      </c>
      <c r="D50" s="169" t="s">
        <v>530</v>
      </c>
      <c r="E50" s="158">
        <f>I9</f>
        <v>2.3919691119691116E-6</v>
      </c>
      <c r="F50" s="148">
        <v>4</v>
      </c>
      <c r="G50" s="148">
        <v>-95</v>
      </c>
      <c r="H50" s="148">
        <v>1.3</v>
      </c>
      <c r="I50" s="154">
        <f t="shared" si="5"/>
        <v>-2.2723706563706559E-4</v>
      </c>
      <c r="K50" s="189">
        <f>I50*malnutrition</f>
        <v>-2.1701139768339766</v>
      </c>
      <c r="M50" s="169"/>
      <c r="N50" s="171"/>
      <c r="O50" s="172"/>
      <c r="P50" s="169"/>
    </row>
    <row r="51" spans="1:16">
      <c r="A51" s="148" t="s">
        <v>168</v>
      </c>
      <c r="B51" s="188" t="s">
        <v>661</v>
      </c>
      <c r="C51" s="188" t="s">
        <v>5</v>
      </c>
      <c r="D51" s="169" t="s">
        <v>530</v>
      </c>
      <c r="E51" s="158">
        <f>I10</f>
        <v>1.1660849420849419E-6</v>
      </c>
      <c r="F51" s="148">
        <v>4</v>
      </c>
      <c r="G51" s="148">
        <v>-95</v>
      </c>
      <c r="H51" s="148">
        <v>1.3</v>
      </c>
      <c r="I51" s="154">
        <f>E51*G51</f>
        <v>-1.1077806949806948E-4</v>
      </c>
      <c r="J51" s="153"/>
      <c r="K51" s="189">
        <f>I51*working_capacity</f>
        <v>-6.5137504864864857</v>
      </c>
      <c r="M51" s="168"/>
      <c r="N51" s="171"/>
      <c r="O51" s="172"/>
      <c r="P51" s="169"/>
    </row>
    <row r="52" spans="1:16">
      <c r="A52" s="148" t="s">
        <v>168</v>
      </c>
      <c r="B52" s="149" t="s">
        <v>1548</v>
      </c>
      <c r="C52" s="149" t="s">
        <v>7</v>
      </c>
      <c r="D52" s="148" t="s">
        <v>530</v>
      </c>
      <c r="E52" s="158">
        <f>I11</f>
        <v>1.5946460746460745E-8</v>
      </c>
      <c r="F52" s="148">
        <v>4</v>
      </c>
      <c r="G52" s="148">
        <v>-95</v>
      </c>
      <c r="H52" s="148">
        <v>1.3</v>
      </c>
      <c r="I52" s="154">
        <f t="shared" si="5"/>
        <v>-1.5149137709137707E-6</v>
      </c>
      <c r="J52" s="153"/>
      <c r="K52" s="189">
        <f>I52*diarrhea</f>
        <v>-7.953297297297296E-3</v>
      </c>
      <c r="M52" s="168"/>
      <c r="N52" s="166"/>
      <c r="O52" s="169"/>
      <c r="P52" s="169"/>
    </row>
    <row r="53" spans="1:16">
      <c r="A53" s="148" t="s">
        <v>168</v>
      </c>
      <c r="B53" s="148" t="s">
        <v>160</v>
      </c>
      <c r="C53" s="149" t="s">
        <v>7</v>
      </c>
      <c r="D53" s="148" t="s">
        <v>170</v>
      </c>
      <c r="E53" s="153">
        <f>90000000000</f>
        <v>90000000000</v>
      </c>
      <c r="F53" s="148">
        <v>1.5</v>
      </c>
      <c r="G53" s="148">
        <f>1/(37200000000*46/14)</f>
        <v>8.1813931743805515E-12</v>
      </c>
      <c r="H53" s="148">
        <v>2</v>
      </c>
      <c r="I53" s="154">
        <f t="shared" si="5"/>
        <v>0.73632538569424966</v>
      </c>
      <c r="J53" s="153"/>
      <c r="K53" s="155">
        <f>I53*cropvalue</f>
        <v>0.16199158485273493</v>
      </c>
      <c r="M53" s="169"/>
      <c r="N53" s="166"/>
      <c r="O53" s="169"/>
      <c r="P53" s="169"/>
    </row>
    <row r="54" spans="1:16">
      <c r="A54" s="148" t="s">
        <v>168</v>
      </c>
      <c r="B54" s="148" t="s">
        <v>160</v>
      </c>
      <c r="C54" s="149" t="s">
        <v>7</v>
      </c>
      <c r="D54" s="148" t="s">
        <v>530</v>
      </c>
      <c r="E54" s="158">
        <f>I12</f>
        <v>3.8253917783329545E-3</v>
      </c>
      <c r="F54" s="148">
        <v>4</v>
      </c>
      <c r="G54" s="148">
        <v>-95</v>
      </c>
      <c r="H54" s="148">
        <v>1.3</v>
      </c>
      <c r="I54" s="154">
        <f t="shared" si="5"/>
        <v>-0.36341221894163067</v>
      </c>
      <c r="K54" s="189">
        <f>I54*cropvalue</f>
        <v>-7.9950688167158751E-2</v>
      </c>
      <c r="M54" s="169"/>
      <c r="N54" s="166"/>
      <c r="O54" s="169"/>
      <c r="P54" s="169"/>
    </row>
    <row r="55" spans="1:16">
      <c r="A55" s="148" t="s">
        <v>168</v>
      </c>
      <c r="B55" s="149" t="s">
        <v>529</v>
      </c>
      <c r="C55" s="149" t="s">
        <v>7</v>
      </c>
      <c r="D55" s="148" t="s">
        <v>530</v>
      </c>
      <c r="E55" s="158">
        <f>I15</f>
        <v>1.3059096070860774E-3</v>
      </c>
      <c r="F55" s="148">
        <v>4</v>
      </c>
      <c r="G55" s="148">
        <v>-95</v>
      </c>
      <c r="H55" s="148">
        <v>1.3</v>
      </c>
      <c r="I55" s="154">
        <f t="shared" si="5"/>
        <v>-0.12406141267317736</v>
      </c>
      <c r="K55" s="189">
        <f>I55*Fruitandveg_value</f>
        <v>-4.8383950942539174E-2</v>
      </c>
      <c r="M55" s="169"/>
      <c r="N55" s="166"/>
      <c r="O55" s="169"/>
      <c r="P55" s="169"/>
    </row>
    <row r="56" spans="1:16">
      <c r="A56" s="148" t="s">
        <v>168</v>
      </c>
      <c r="B56" s="148" t="s">
        <v>538</v>
      </c>
      <c r="C56" s="149" t="s">
        <v>7</v>
      </c>
      <c r="D56" s="148" t="s">
        <v>530</v>
      </c>
      <c r="E56" s="158">
        <f>I16</f>
        <v>5.1444923915512154E-4</v>
      </c>
      <c r="F56" s="148">
        <v>4</v>
      </c>
      <c r="G56" s="148">
        <v>-95</v>
      </c>
      <c r="H56" s="148">
        <v>1.3</v>
      </c>
      <c r="I56" s="154">
        <f t="shared" si="5"/>
        <v>-4.8872677719736544E-2</v>
      </c>
      <c r="J56" s="153"/>
      <c r="K56" s="189">
        <f>I56*fishandmeatvalue</f>
        <v>-0.10263262321144674</v>
      </c>
      <c r="M56" s="168"/>
      <c r="N56" s="166"/>
      <c r="O56" s="173"/>
      <c r="P56" s="169"/>
    </row>
    <row r="57" spans="1:16">
      <c r="A57" s="148" t="s">
        <v>168</v>
      </c>
      <c r="B57" s="148" t="s">
        <v>538</v>
      </c>
      <c r="C57" s="149" t="s">
        <v>7</v>
      </c>
      <c r="D57" s="149" t="s">
        <v>662</v>
      </c>
      <c r="E57" s="153">
        <f>24500000*10</f>
        <v>245000000</v>
      </c>
      <c r="F57" s="148">
        <v>3</v>
      </c>
      <c r="G57" s="148">
        <f>1/(37200000000*46/14)*0.24</f>
        <v>1.9635343618513324E-12</v>
      </c>
      <c r="H57" s="148">
        <v>2</v>
      </c>
      <c r="I57" s="154">
        <f t="shared" si="5"/>
        <v>4.8106591865357642E-4</v>
      </c>
      <c r="J57" s="153"/>
      <c r="K57" s="154">
        <f>I57*fishandmeatvalue</f>
        <v>1.0102384291725106E-3</v>
      </c>
      <c r="M57" s="168"/>
      <c r="N57" s="166"/>
      <c r="O57" s="173"/>
      <c r="P57" s="169"/>
    </row>
    <row r="58" spans="1:16">
      <c r="A58" s="148" t="s">
        <v>168</v>
      </c>
      <c r="B58" s="148" t="s">
        <v>538</v>
      </c>
      <c r="C58" s="149" t="s">
        <v>7</v>
      </c>
      <c r="D58" s="149" t="s">
        <v>664</v>
      </c>
      <c r="E58" s="153">
        <f>-100000000000*0.00111/0.9</f>
        <v>-123333333.33333334</v>
      </c>
      <c r="F58" s="148">
        <v>3</v>
      </c>
      <c r="G58" s="161">
        <f>G57</f>
        <v>1.9635343618513324E-12</v>
      </c>
      <c r="H58" s="148">
        <v>2</v>
      </c>
      <c r="I58" s="154">
        <f t="shared" si="5"/>
        <v>-2.4216923796166435E-4</v>
      </c>
      <c r="J58" s="153"/>
      <c r="K58" s="167">
        <f>I58*fishandmeatvalue</f>
        <v>-5.0855539971949519E-4</v>
      </c>
      <c r="M58" s="168"/>
      <c r="N58" s="166"/>
      <c r="O58" s="169"/>
      <c r="P58" s="169"/>
    </row>
    <row r="59" spans="1:16">
      <c r="A59" s="148" t="s">
        <v>168</v>
      </c>
      <c r="B59" s="148" t="s">
        <v>538</v>
      </c>
      <c r="C59" s="149" t="s">
        <v>7</v>
      </c>
      <c r="D59" s="149" t="s">
        <v>173</v>
      </c>
      <c r="E59" s="153">
        <f>200000000</f>
        <v>200000000</v>
      </c>
      <c r="F59" s="148">
        <v>3</v>
      </c>
      <c r="G59" s="148">
        <f>1/37200000000*2660/(2660+3910)</f>
        <v>1.088361892604049E-11</v>
      </c>
      <c r="H59" s="148">
        <v>2</v>
      </c>
      <c r="I59" s="154">
        <f t="shared" si="5"/>
        <v>2.176723785208098E-3</v>
      </c>
      <c r="J59" s="153"/>
      <c r="K59" s="154">
        <f>I59*fishandmeatvalue</f>
        <v>4.5711199489370056E-3</v>
      </c>
      <c r="M59" s="168"/>
      <c r="N59" s="166"/>
      <c r="O59" s="169"/>
      <c r="P59" s="169"/>
    </row>
    <row r="60" spans="1:16">
      <c r="A60" s="148" t="s">
        <v>168</v>
      </c>
      <c r="B60" s="148" t="s">
        <v>161</v>
      </c>
      <c r="C60" s="149" t="s">
        <v>7</v>
      </c>
      <c r="D60" s="148" t="s">
        <v>170</v>
      </c>
      <c r="E60" s="148">
        <f>0.015*1500000000000</f>
        <v>22500000000</v>
      </c>
      <c r="F60" s="148">
        <v>2</v>
      </c>
      <c r="G60" s="148">
        <f>1/(37200000000*46/14)*0.31</f>
        <v>2.5362318840579709E-12</v>
      </c>
      <c r="H60" s="148">
        <v>2</v>
      </c>
      <c r="I60" s="154">
        <f t="shared" si="5"/>
        <v>5.7065217391304345E-2</v>
      </c>
      <c r="J60" s="153"/>
      <c r="K60" s="154">
        <f>I60*woodvalue</f>
        <v>2.2826086956521737E-3</v>
      </c>
      <c r="M60" s="168"/>
      <c r="N60" s="166"/>
      <c r="O60" s="169"/>
      <c r="P60" s="169"/>
    </row>
    <row r="61" spans="1:16">
      <c r="A61" s="148" t="s">
        <v>168</v>
      </c>
      <c r="B61" s="148" t="s">
        <v>161</v>
      </c>
      <c r="C61" s="149" t="s">
        <v>7</v>
      </c>
      <c r="D61" s="149" t="s">
        <v>663</v>
      </c>
      <c r="E61" s="148">
        <f>-0.4*0.5*0.5*0.89*14/46*100</f>
        <v>-2.7086956521739136</v>
      </c>
      <c r="F61" s="148">
        <v>2</v>
      </c>
      <c r="G61" s="148">
        <v>1</v>
      </c>
      <c r="H61" s="148">
        <v>1</v>
      </c>
      <c r="I61" s="154">
        <f t="shared" si="5"/>
        <v>-2.7086956521739136</v>
      </c>
      <c r="J61" s="153"/>
      <c r="K61" s="189">
        <f>I61*woodvalue</f>
        <v>-0.10834782608695655</v>
      </c>
      <c r="M61" s="168"/>
      <c r="N61" s="166"/>
      <c r="O61" s="169"/>
      <c r="P61" s="169"/>
    </row>
    <row r="62" spans="1:16">
      <c r="A62" s="148" t="s">
        <v>168</v>
      </c>
      <c r="B62" s="148" t="s">
        <v>161</v>
      </c>
      <c r="C62" s="149" t="s">
        <v>7</v>
      </c>
      <c r="D62" s="148" t="s">
        <v>530</v>
      </c>
      <c r="E62" s="158">
        <f>charco2woodgw</f>
        <v>0</v>
      </c>
      <c r="F62" s="153">
        <f>F17</f>
        <v>800000000000000</v>
      </c>
      <c r="G62" s="148">
        <v>-95</v>
      </c>
      <c r="H62" s="148">
        <v>1.3</v>
      </c>
      <c r="I62" s="154">
        <f t="shared" si="5"/>
        <v>0</v>
      </c>
      <c r="K62" s="154">
        <f>I62*woodvalue</f>
        <v>0</v>
      </c>
      <c r="M62" s="169"/>
      <c r="N62" s="166"/>
      <c r="O62" s="169"/>
      <c r="P62" s="169"/>
    </row>
    <row r="63" spans="1:16">
      <c r="A63" s="148" t="s">
        <v>168</v>
      </c>
      <c r="B63" s="148" t="s">
        <v>508</v>
      </c>
      <c r="C63" s="149" t="s">
        <v>7</v>
      </c>
      <c r="D63" s="148" t="s">
        <v>530</v>
      </c>
      <c r="E63" s="158">
        <f t="shared" ref="E63:E68" si="6">I18</f>
        <v>6.2789189189189187E-2</v>
      </c>
      <c r="F63" s="148">
        <v>4</v>
      </c>
      <c r="G63" s="148">
        <v>-95</v>
      </c>
      <c r="H63" s="148">
        <v>1.3</v>
      </c>
      <c r="I63" s="154">
        <f t="shared" si="5"/>
        <v>-5.9649729729729728</v>
      </c>
      <c r="K63" s="189">
        <f>I63*drinkingwatervalue</f>
        <v>-1.1929945945945946E-2</v>
      </c>
      <c r="M63" s="169"/>
      <c r="N63" s="166"/>
      <c r="O63" s="169"/>
      <c r="P63" s="169"/>
    </row>
    <row r="64" spans="1:16">
      <c r="A64" s="148" t="s">
        <v>168</v>
      </c>
      <c r="B64" s="148" t="s">
        <v>510</v>
      </c>
      <c r="C64" s="149" t="s">
        <v>7</v>
      </c>
      <c r="D64" s="148" t="s">
        <v>530</v>
      </c>
      <c r="E64" s="158">
        <f t="shared" si="6"/>
        <v>0.12557837837837837</v>
      </c>
      <c r="F64" s="148">
        <v>4</v>
      </c>
      <c r="G64" s="148">
        <v>-95</v>
      </c>
      <c r="H64" s="148">
        <v>1.3</v>
      </c>
      <c r="I64" s="154">
        <f t="shared" si="5"/>
        <v>-11.929945945945946</v>
      </c>
      <c r="J64" s="153"/>
      <c r="K64" s="189">
        <f>I64*irrigationwatervalue</f>
        <v>-1.1929945945945946E-2</v>
      </c>
      <c r="M64" s="168"/>
      <c r="N64" s="166"/>
      <c r="O64" s="169"/>
      <c r="P64" s="169"/>
    </row>
    <row r="65" spans="1:16">
      <c r="A65" s="148" t="s">
        <v>168</v>
      </c>
      <c r="B65" s="148" t="s">
        <v>511</v>
      </c>
      <c r="C65" s="149" t="s">
        <v>487</v>
      </c>
      <c r="D65" s="148" t="s">
        <v>530</v>
      </c>
      <c r="E65" s="158">
        <f t="shared" si="6"/>
        <v>3.1711711711711707E-7</v>
      </c>
      <c r="F65" s="148">
        <v>4</v>
      </c>
      <c r="G65" s="148">
        <v>-95</v>
      </c>
      <c r="H65" s="148">
        <v>1.3</v>
      </c>
      <c r="I65" s="154">
        <f t="shared" si="5"/>
        <v>-3.012612612612612E-5</v>
      </c>
      <c r="J65" s="153"/>
      <c r="K65" s="189">
        <f>I65*energy_access</f>
        <v>-8.4353153153153143E-2</v>
      </c>
      <c r="M65" s="168"/>
      <c r="N65" s="166"/>
      <c r="O65" s="169"/>
      <c r="P65" s="169"/>
    </row>
    <row r="66" spans="1:16">
      <c r="A66" s="148" t="s">
        <v>168</v>
      </c>
      <c r="B66" s="149" t="s">
        <v>513</v>
      </c>
      <c r="C66" s="149" t="s">
        <v>5</v>
      </c>
      <c r="D66" s="148" t="s">
        <v>530</v>
      </c>
      <c r="E66" s="158">
        <f t="shared" si="6"/>
        <v>1.9933075933075932E-8</v>
      </c>
      <c r="F66" s="148">
        <v>4</v>
      </c>
      <c r="G66" s="148">
        <v>-95</v>
      </c>
      <c r="H66" s="148">
        <v>1.3</v>
      </c>
      <c r="I66" s="154">
        <f t="shared" si="5"/>
        <v>-1.8936422136422135E-6</v>
      </c>
      <c r="K66" s="167">
        <f>I66*housingvalue</f>
        <v>-3.7872844272844272E-3</v>
      </c>
      <c r="M66" s="169"/>
      <c r="N66" s="166"/>
      <c r="O66" s="169"/>
      <c r="P66" s="169"/>
    </row>
    <row r="67" spans="1:16">
      <c r="A67" s="148" t="s">
        <v>168</v>
      </c>
      <c r="B67" s="169" t="s">
        <v>515</v>
      </c>
      <c r="C67" s="149" t="s">
        <v>523</v>
      </c>
      <c r="D67" s="148" t="s">
        <v>530</v>
      </c>
      <c r="E67" s="158">
        <f t="shared" si="6"/>
        <v>2.2651222651222648E-7</v>
      </c>
      <c r="F67" s="148">
        <v>4</v>
      </c>
      <c r="G67" s="148">
        <v>-95</v>
      </c>
      <c r="H67" s="148">
        <v>1.3</v>
      </c>
      <c r="I67" s="154">
        <f t="shared" si="5"/>
        <v>-2.1518661518661517E-5</v>
      </c>
      <c r="K67" s="189">
        <f>I67*migrationvalue</f>
        <v>-0.53796653796653793</v>
      </c>
      <c r="L67" s="190"/>
      <c r="M67" s="174"/>
      <c r="N67" s="166"/>
      <c r="O67" s="172"/>
      <c r="P67" s="169"/>
    </row>
    <row r="68" spans="1:16">
      <c r="A68" s="148" t="s">
        <v>168</v>
      </c>
      <c r="B68" s="148" t="s">
        <v>174</v>
      </c>
      <c r="C68" s="149" t="s">
        <v>505</v>
      </c>
      <c r="D68" s="148" t="s">
        <v>530</v>
      </c>
      <c r="E68" s="158">
        <f t="shared" si="6"/>
        <v>2.2651222651222649E-16</v>
      </c>
      <c r="F68" s="148">
        <v>4</v>
      </c>
      <c r="G68" s="148">
        <v>-95</v>
      </c>
      <c r="H68" s="148">
        <v>1.3</v>
      </c>
      <c r="I68" s="154">
        <f t="shared" si="5"/>
        <v>-2.1518661518661515E-14</v>
      </c>
      <c r="J68" s="153"/>
      <c r="K68" s="167">
        <f>I68*speciesvalue</f>
        <v>-1.2050450450450448E-3</v>
      </c>
      <c r="L68" s="191"/>
      <c r="M68" s="175"/>
      <c r="N68" s="176"/>
      <c r="O68" s="172"/>
      <c r="P68" s="169"/>
    </row>
    <row r="69" spans="1:16">
      <c r="A69" s="148" t="s">
        <v>168</v>
      </c>
      <c r="B69" s="148" t="s">
        <v>174</v>
      </c>
      <c r="C69" s="149" t="s">
        <v>505</v>
      </c>
      <c r="D69" s="149" t="s">
        <v>172</v>
      </c>
      <c r="E69" s="148">
        <v>7.0000000000000001E-3</v>
      </c>
      <c r="F69" s="148">
        <v>4</v>
      </c>
      <c r="G69" s="148">
        <f>1/(37200000000*46/14)*0.24</f>
        <v>1.9635343618513324E-12</v>
      </c>
      <c r="H69" s="148">
        <v>1.3</v>
      </c>
      <c r="I69" s="154">
        <f t="shared" si="5"/>
        <v>1.3744740532959327E-14</v>
      </c>
      <c r="J69" s="153"/>
      <c r="K69" s="167">
        <f>I69*speciesvalue</f>
        <v>7.6970546984572231E-4</v>
      </c>
      <c r="M69" s="177"/>
      <c r="N69" s="166"/>
      <c r="O69" s="169"/>
      <c r="P69" s="169"/>
    </row>
    <row r="70" spans="1:16">
      <c r="A70" s="148" t="s">
        <v>168</v>
      </c>
      <c r="B70" s="148" t="s">
        <v>159</v>
      </c>
      <c r="D70" s="148" t="s">
        <v>159</v>
      </c>
      <c r="I70" s="153"/>
      <c r="J70" s="153"/>
      <c r="L70" s="189">
        <f>SUM(K44:K69)</f>
        <v>-14.07161252757381</v>
      </c>
      <c r="M70" s="177"/>
      <c r="N70" s="176"/>
      <c r="O70" s="172"/>
      <c r="P70" s="177"/>
    </row>
    <row r="71" spans="1:16">
      <c r="I71" s="153"/>
      <c r="J71" s="153"/>
      <c r="M71" s="169"/>
      <c r="N71" s="166"/>
      <c r="O71" s="169"/>
      <c r="P71" s="169"/>
    </row>
    <row r="72" spans="1:16">
      <c r="A72" s="148" t="s">
        <v>179</v>
      </c>
      <c r="B72" s="148" t="s">
        <v>181</v>
      </c>
      <c r="I72" s="153"/>
      <c r="J72" s="153"/>
      <c r="L72" s="155">
        <f>0.941*NOxvalue</f>
        <v>-13.241387388446954</v>
      </c>
      <c r="M72" s="169"/>
      <c r="N72" s="166"/>
      <c r="O72" s="169"/>
      <c r="P72" s="169"/>
    </row>
    <row r="73" spans="1:16">
      <c r="A73" s="148" t="s">
        <v>180</v>
      </c>
      <c r="B73" s="148" t="s">
        <v>182</v>
      </c>
      <c r="I73" s="153"/>
      <c r="J73" s="153"/>
      <c r="L73" s="155">
        <f>0.73*NOxvalue</f>
        <v>-10.272277145128882</v>
      </c>
      <c r="M73" s="169"/>
      <c r="N73" s="166"/>
      <c r="O73" s="169"/>
      <c r="P73" s="169"/>
    </row>
    <row r="74" spans="1:16">
      <c r="I74" s="153"/>
      <c r="J74" s="153"/>
      <c r="M74" s="169"/>
      <c r="N74" s="166"/>
      <c r="O74" s="169"/>
      <c r="P74" s="169"/>
    </row>
    <row r="75" spans="1:16">
      <c r="A75" s="148" t="s">
        <v>183</v>
      </c>
      <c r="B75" s="148" t="s">
        <v>4</v>
      </c>
      <c r="C75" s="149" t="s">
        <v>5</v>
      </c>
      <c r="D75" s="149" t="s">
        <v>530</v>
      </c>
      <c r="E75" s="161">
        <f>charco2yoll</f>
        <v>6.4889229343629337E-7</v>
      </c>
      <c r="F75" s="148">
        <f>F5</f>
        <v>3</v>
      </c>
      <c r="G75" s="148">
        <v>264.8</v>
      </c>
      <c r="H75" s="148">
        <v>1.1000000000000001</v>
      </c>
      <c r="I75" s="154">
        <f>E75*G75</f>
        <v>1.7182667930193049E-4</v>
      </c>
      <c r="J75" s="153"/>
      <c r="K75" s="155">
        <f>I75*YOLLvalue</f>
        <v>8.5913339650965241</v>
      </c>
      <c r="M75" s="169"/>
      <c r="N75" s="166"/>
      <c r="O75" s="169"/>
      <c r="P75" s="169"/>
    </row>
    <row r="76" spans="1:16">
      <c r="A76" s="148" t="s">
        <v>183</v>
      </c>
      <c r="B76" s="148" t="s">
        <v>4</v>
      </c>
      <c r="C76" s="149" t="s">
        <v>5</v>
      </c>
      <c r="D76" s="149" t="s">
        <v>1011</v>
      </c>
      <c r="E76" s="158">
        <v>1.7899999999999999E-4</v>
      </c>
      <c r="F76" s="148">
        <v>3</v>
      </c>
      <c r="G76" s="148">
        <v>1.7000000000000001E-2</v>
      </c>
      <c r="H76" s="148">
        <v>1.5</v>
      </c>
      <c r="I76" s="154">
        <f>E76*G76</f>
        <v>3.0429999999999999E-6</v>
      </c>
      <c r="J76" s="153"/>
      <c r="K76" s="155">
        <f>I76*YOLLvalue</f>
        <v>0.15215000000000001</v>
      </c>
      <c r="M76" s="169"/>
      <c r="N76" s="166"/>
      <c r="O76" s="169"/>
      <c r="P76" s="169"/>
    </row>
    <row r="77" spans="1:16">
      <c r="A77" s="148" t="s">
        <v>183</v>
      </c>
      <c r="B77" s="149" t="s">
        <v>519</v>
      </c>
      <c r="C77" s="149" t="s">
        <v>5</v>
      </c>
      <c r="D77" s="149" t="s">
        <v>530</v>
      </c>
      <c r="E77" s="158">
        <f>I9</f>
        <v>2.3919691119691116E-6</v>
      </c>
      <c r="F77" s="148">
        <f>F9</f>
        <v>2</v>
      </c>
      <c r="G77" s="148">
        <v>264.8</v>
      </c>
      <c r="H77" s="148">
        <v>1.1000000000000001</v>
      </c>
      <c r="I77" s="154">
        <f>E77*G77</f>
        <v>6.3339342084942074E-4</v>
      </c>
      <c r="J77" s="153"/>
      <c r="K77" s="155">
        <f>I77*malnutrition</f>
        <v>6.0489071691119678</v>
      </c>
      <c r="M77" s="168"/>
      <c r="N77" s="166"/>
      <c r="O77" s="169"/>
      <c r="P77" s="169"/>
    </row>
    <row r="78" spans="1:16">
      <c r="A78" s="148" t="s">
        <v>183</v>
      </c>
      <c r="B78" s="149" t="s">
        <v>661</v>
      </c>
      <c r="C78" s="149" t="s">
        <v>5</v>
      </c>
      <c r="D78" s="149" t="s">
        <v>530</v>
      </c>
      <c r="E78" s="158">
        <f>I10</f>
        <v>1.1660849420849419E-6</v>
      </c>
      <c r="F78" s="148">
        <f>F10</f>
        <v>2</v>
      </c>
      <c r="G78" s="148">
        <v>264.8</v>
      </c>
      <c r="H78" s="148">
        <v>1.1000000000000001</v>
      </c>
      <c r="I78" s="154">
        <f t="shared" ref="I78:I89" si="7">E78*G78</f>
        <v>3.0877929266409263E-4</v>
      </c>
      <c r="J78" s="153"/>
      <c r="K78" s="155">
        <f>I78*working_capacity</f>
        <v>18.156222408648645</v>
      </c>
      <c r="M78" s="168"/>
      <c r="N78" s="166"/>
      <c r="O78" s="169"/>
      <c r="P78" s="169"/>
    </row>
    <row r="79" spans="1:16">
      <c r="A79" s="148" t="s">
        <v>183</v>
      </c>
      <c r="B79" s="149" t="s">
        <v>1548</v>
      </c>
      <c r="C79" s="149" t="s">
        <v>5</v>
      </c>
      <c r="D79" s="149" t="s">
        <v>530</v>
      </c>
      <c r="E79" s="158">
        <f>I11</f>
        <v>1.5946460746460745E-8</v>
      </c>
      <c r="F79" s="148">
        <f>F11</f>
        <v>2</v>
      </c>
      <c r="G79" s="148">
        <v>264.8</v>
      </c>
      <c r="H79" s="148">
        <v>1.1000000000000001</v>
      </c>
      <c r="I79" s="154">
        <f t="shared" si="7"/>
        <v>4.2226228056628055E-6</v>
      </c>
      <c r="J79" s="153"/>
      <c r="K79" s="155">
        <f>I79*diarrhea</f>
        <v>2.2168769729729729E-2</v>
      </c>
      <c r="M79" s="168"/>
      <c r="N79" s="166"/>
      <c r="O79" s="169"/>
      <c r="P79" s="169"/>
    </row>
    <row r="80" spans="1:16">
      <c r="A80" s="148" t="s">
        <v>183</v>
      </c>
      <c r="B80" s="149" t="s">
        <v>160</v>
      </c>
      <c r="C80" s="149" t="s">
        <v>7</v>
      </c>
      <c r="D80" s="149" t="s">
        <v>530</v>
      </c>
      <c r="E80" s="158">
        <f>J14</f>
        <v>1.0903898856840032E-2</v>
      </c>
      <c r="F80" s="148">
        <f>F12</f>
        <v>2</v>
      </c>
      <c r="G80" s="148">
        <v>264.8</v>
      </c>
      <c r="H80" s="148">
        <v>1.1000000000000001</v>
      </c>
      <c r="I80" s="154">
        <f t="shared" si="7"/>
        <v>2.8873524172912406</v>
      </c>
      <c r="J80" s="153"/>
      <c r="K80" s="155">
        <f>I80*cropvalue</f>
        <v>0.63521753180407292</v>
      </c>
      <c r="M80" s="168"/>
      <c r="N80" s="166"/>
      <c r="O80" s="169"/>
      <c r="P80" s="169"/>
    </row>
    <row r="81" spans="1:16">
      <c r="A81" s="148" t="s">
        <v>183</v>
      </c>
      <c r="B81" s="149" t="s">
        <v>529</v>
      </c>
      <c r="C81" s="149" t="s">
        <v>7</v>
      </c>
      <c r="D81" s="149" t="s">
        <v>530</v>
      </c>
      <c r="E81" s="158">
        <f t="shared" ref="E81:E89" si="8">I15</f>
        <v>1.3059096070860774E-3</v>
      </c>
      <c r="F81" s="148">
        <f t="shared" ref="F81:F89" si="9">F15</f>
        <v>2</v>
      </c>
      <c r="G81" s="148">
        <v>264.8</v>
      </c>
      <c r="H81" s="148">
        <v>1.1000000000000001</v>
      </c>
      <c r="I81" s="154">
        <f t="shared" si="7"/>
        <v>0.34580486395639332</v>
      </c>
      <c r="J81" s="153"/>
      <c r="K81" s="155">
        <f>I81*Fruitandveg_value</f>
        <v>0.13486389694299339</v>
      </c>
      <c r="M81" s="169"/>
      <c r="N81" s="166"/>
      <c r="O81" s="169"/>
      <c r="P81" s="169"/>
    </row>
    <row r="82" spans="1:16">
      <c r="A82" s="148" t="s">
        <v>183</v>
      </c>
      <c r="B82" s="149" t="s">
        <v>538</v>
      </c>
      <c r="C82" s="149" t="s">
        <v>7</v>
      </c>
      <c r="D82" s="149" t="s">
        <v>530</v>
      </c>
      <c r="E82" s="158">
        <f t="shared" si="8"/>
        <v>5.1444923915512154E-4</v>
      </c>
      <c r="F82" s="148">
        <f t="shared" si="9"/>
        <v>2</v>
      </c>
      <c r="G82" s="148">
        <v>264.8</v>
      </c>
      <c r="H82" s="148">
        <v>1.1000000000000001</v>
      </c>
      <c r="I82" s="154">
        <f t="shared" si="7"/>
        <v>0.13622615852827619</v>
      </c>
      <c r="J82" s="153"/>
      <c r="K82" s="155">
        <f>I82*fishandmeatvalue</f>
        <v>0.28607493290938002</v>
      </c>
      <c r="M82" s="168"/>
      <c r="N82" s="166"/>
      <c r="O82" s="169"/>
      <c r="P82" s="169"/>
    </row>
    <row r="83" spans="1:16">
      <c r="A83" s="148" t="s">
        <v>183</v>
      </c>
      <c r="B83" s="148" t="s">
        <v>161</v>
      </c>
      <c r="C83" s="149" t="s">
        <v>7</v>
      </c>
      <c r="D83" s="149" t="s">
        <v>530</v>
      </c>
      <c r="E83" s="158">
        <f t="shared" si="8"/>
        <v>0</v>
      </c>
      <c r="F83" s="153">
        <f t="shared" si="9"/>
        <v>800000000000000</v>
      </c>
      <c r="G83" s="148">
        <v>264.8</v>
      </c>
      <c r="H83" s="148">
        <v>1.1000000000000001</v>
      </c>
      <c r="I83" s="154">
        <f t="shared" si="7"/>
        <v>0</v>
      </c>
      <c r="J83" s="153"/>
      <c r="K83" s="155">
        <f>I83*woodvalue</f>
        <v>0</v>
      </c>
      <c r="M83" s="169"/>
      <c r="N83" s="166"/>
      <c r="O83" s="169"/>
      <c r="P83" s="169"/>
    </row>
    <row r="84" spans="1:16">
      <c r="A84" s="148" t="s">
        <v>183</v>
      </c>
      <c r="B84" s="148" t="s">
        <v>508</v>
      </c>
      <c r="C84" s="149" t="s">
        <v>7</v>
      </c>
      <c r="D84" s="149" t="s">
        <v>530</v>
      </c>
      <c r="E84" s="158">
        <f t="shared" si="8"/>
        <v>6.2789189189189187E-2</v>
      </c>
      <c r="F84" s="148">
        <f t="shared" si="9"/>
        <v>3</v>
      </c>
      <c r="G84" s="148">
        <v>264.8</v>
      </c>
      <c r="H84" s="148">
        <v>1.1000000000000001</v>
      </c>
      <c r="I84" s="154">
        <f t="shared" si="7"/>
        <v>16.626577297297299</v>
      </c>
      <c r="J84" s="153"/>
      <c r="K84" s="155">
        <f>I84*drinkingwatervalue</f>
        <v>3.3253154594594596E-2</v>
      </c>
      <c r="M84" s="169"/>
      <c r="N84" s="166"/>
      <c r="O84" s="169"/>
      <c r="P84" s="169"/>
    </row>
    <row r="85" spans="1:16">
      <c r="A85" s="148" t="s">
        <v>183</v>
      </c>
      <c r="B85" s="148" t="s">
        <v>510</v>
      </c>
      <c r="C85" s="149" t="s">
        <v>7</v>
      </c>
      <c r="D85" s="149" t="s">
        <v>530</v>
      </c>
      <c r="E85" s="158">
        <f t="shared" si="8"/>
        <v>0.12557837837837837</v>
      </c>
      <c r="F85" s="148">
        <f t="shared" si="9"/>
        <v>3</v>
      </c>
      <c r="G85" s="148">
        <v>264.8</v>
      </c>
      <c r="H85" s="148">
        <v>1.1000000000000001</v>
      </c>
      <c r="I85" s="154">
        <f t="shared" si="7"/>
        <v>33.253154594594598</v>
      </c>
      <c r="J85" s="153"/>
      <c r="K85" s="155">
        <f>I85*irrigationwatervalue</f>
        <v>3.3253154594594596E-2</v>
      </c>
      <c r="M85" s="169"/>
      <c r="N85" s="166"/>
      <c r="O85" s="169"/>
      <c r="P85" s="169"/>
    </row>
    <row r="86" spans="1:16">
      <c r="A86" s="148" t="s">
        <v>183</v>
      </c>
      <c r="B86" s="148" t="s">
        <v>511</v>
      </c>
      <c r="C86" s="149" t="s">
        <v>487</v>
      </c>
      <c r="D86" s="149" t="s">
        <v>530</v>
      </c>
      <c r="E86" s="158">
        <f t="shared" si="8"/>
        <v>3.1711711711711707E-7</v>
      </c>
      <c r="F86" s="148">
        <f t="shared" si="9"/>
        <v>4</v>
      </c>
      <c r="G86" s="148">
        <v>264.8</v>
      </c>
      <c r="H86" s="148">
        <v>1.1000000000000001</v>
      </c>
      <c r="I86" s="154">
        <f t="shared" si="7"/>
        <v>8.3972612612612604E-5</v>
      </c>
      <c r="J86" s="153"/>
      <c r="K86" s="155">
        <f>I86*energy_access</f>
        <v>0.2351233153153153</v>
      </c>
      <c r="M86" s="168"/>
      <c r="N86" s="166"/>
      <c r="O86" s="169"/>
      <c r="P86" s="169"/>
    </row>
    <row r="87" spans="1:16">
      <c r="A87" s="148" t="s">
        <v>183</v>
      </c>
      <c r="B87" s="149" t="s">
        <v>513</v>
      </c>
      <c r="C87" s="149" t="s">
        <v>5</v>
      </c>
      <c r="D87" s="149" t="s">
        <v>530</v>
      </c>
      <c r="E87" s="158">
        <f t="shared" si="8"/>
        <v>1.9933075933075932E-8</v>
      </c>
      <c r="F87" s="148">
        <f t="shared" si="9"/>
        <v>4</v>
      </c>
      <c r="G87" s="148">
        <v>264.8</v>
      </c>
      <c r="H87" s="148">
        <v>1.1000000000000001</v>
      </c>
      <c r="I87" s="154">
        <f t="shared" si="7"/>
        <v>5.2782785070785072E-6</v>
      </c>
      <c r="J87" s="153"/>
      <c r="K87" s="155">
        <f>I87*housingvalue</f>
        <v>1.0556557014157015E-2</v>
      </c>
      <c r="M87" s="169"/>
      <c r="N87" s="166"/>
      <c r="O87" s="169"/>
      <c r="P87" s="169"/>
    </row>
    <row r="88" spans="1:16">
      <c r="A88" s="148" t="s">
        <v>183</v>
      </c>
      <c r="B88" s="148" t="s">
        <v>515</v>
      </c>
      <c r="C88" s="149" t="s">
        <v>523</v>
      </c>
      <c r="D88" s="149" t="s">
        <v>530</v>
      </c>
      <c r="E88" s="158">
        <f t="shared" si="8"/>
        <v>2.2651222651222648E-7</v>
      </c>
      <c r="F88" s="148">
        <f t="shared" si="9"/>
        <v>4</v>
      </c>
      <c r="G88" s="148">
        <v>264.8</v>
      </c>
      <c r="H88" s="148">
        <v>1.1000000000000001</v>
      </c>
      <c r="I88" s="154">
        <f t="shared" si="7"/>
        <v>5.9980437580437574E-5</v>
      </c>
      <c r="J88" s="153"/>
      <c r="K88" s="155">
        <f>I88*migrationvalue</f>
        <v>1.4995109395109394</v>
      </c>
      <c r="M88" s="169"/>
      <c r="N88" s="166"/>
      <c r="O88" s="169"/>
      <c r="P88" s="169"/>
    </row>
    <row r="89" spans="1:16">
      <c r="A89" s="148" t="s">
        <v>183</v>
      </c>
      <c r="B89" s="148" t="s">
        <v>174</v>
      </c>
      <c r="C89" s="149" t="s">
        <v>505</v>
      </c>
      <c r="D89" s="149" t="s">
        <v>530</v>
      </c>
      <c r="E89" s="158">
        <f t="shared" si="8"/>
        <v>2.2651222651222649E-16</v>
      </c>
      <c r="F89" s="148">
        <f t="shared" si="9"/>
        <v>4</v>
      </c>
      <c r="G89" s="148">
        <v>264.8</v>
      </c>
      <c r="H89" s="148">
        <v>1.1000000000000001</v>
      </c>
      <c r="I89" s="154">
        <f t="shared" si="7"/>
        <v>5.9980437580437572E-14</v>
      </c>
      <c r="J89" s="153"/>
      <c r="K89" s="155">
        <f>I89*speciesvalue</f>
        <v>3.3589045045045039E-3</v>
      </c>
      <c r="M89" s="169"/>
      <c r="N89" s="166"/>
      <c r="O89" s="169"/>
      <c r="P89" s="169"/>
    </row>
    <row r="90" spans="1:16">
      <c r="A90" s="148" t="s">
        <v>183</v>
      </c>
      <c r="B90" s="148" t="s">
        <v>159</v>
      </c>
      <c r="D90" s="148" t="s">
        <v>159</v>
      </c>
      <c r="I90" s="153"/>
      <c r="J90" s="153"/>
      <c r="L90" s="155">
        <f>SUM(K75:K89)</f>
        <v>35.841994699777423</v>
      </c>
      <c r="M90" s="168"/>
      <c r="N90" s="166"/>
      <c r="O90" s="169"/>
      <c r="P90" s="169"/>
    </row>
    <row r="91" spans="1:16">
      <c r="M91" s="169"/>
      <c r="N91" s="171"/>
      <c r="O91" s="169"/>
      <c r="P91" s="169"/>
    </row>
    <row r="92" spans="1:16">
      <c r="A92" s="148" t="s">
        <v>175</v>
      </c>
      <c r="B92" s="148" t="s">
        <v>4</v>
      </c>
      <c r="C92" s="149" t="s">
        <v>5</v>
      </c>
      <c r="D92" s="148" t="s">
        <v>164</v>
      </c>
      <c r="E92" s="153">
        <f xml:space="preserve"> 0.006*30/10*0.516*7200000000/75*1/12</f>
        <v>74303.999999999985</v>
      </c>
      <c r="F92" s="148">
        <v>2</v>
      </c>
      <c r="G92" s="153">
        <f>1/110000000000</f>
        <v>9.0909090909090904E-12</v>
      </c>
      <c r="H92" s="148">
        <v>3</v>
      </c>
      <c r="I92" s="154">
        <f>E92*G92</f>
        <v>6.7549090909090896E-7</v>
      </c>
      <c r="K92" s="155">
        <f>I92*YOLLvalue</f>
        <v>3.3774545454545446E-2</v>
      </c>
      <c r="M92" s="169"/>
      <c r="N92" s="166"/>
      <c r="O92" s="169"/>
      <c r="P92" s="169"/>
    </row>
    <row r="93" spans="1:16">
      <c r="A93" s="148" t="s">
        <v>175</v>
      </c>
      <c r="B93" s="169" t="s">
        <v>4</v>
      </c>
      <c r="C93" s="188" t="s">
        <v>5</v>
      </c>
      <c r="D93" s="169" t="s">
        <v>169</v>
      </c>
      <c r="E93" s="158">
        <v>-9.928052089575288E-5</v>
      </c>
      <c r="F93" s="162">
        <f>F44</f>
        <v>4</v>
      </c>
      <c r="G93" s="153">
        <f>0.5*96/64</f>
        <v>0.75</v>
      </c>
      <c r="H93" s="148">
        <v>2</v>
      </c>
      <c r="I93" s="154">
        <f>E93*G93</f>
        <v>-7.4460390671814657E-5</v>
      </c>
      <c r="K93" s="155">
        <f>I93*YOLLvalue</f>
        <v>-3.7230195335907328</v>
      </c>
      <c r="M93" s="169"/>
      <c r="N93" s="171"/>
      <c r="O93" s="169"/>
      <c r="P93" s="169"/>
    </row>
    <row r="94" spans="1:16">
      <c r="A94" s="148" t="s">
        <v>175</v>
      </c>
      <c r="B94" s="148" t="s">
        <v>4</v>
      </c>
      <c r="C94" s="149" t="s">
        <v>5</v>
      </c>
      <c r="D94" s="148" t="s">
        <v>159</v>
      </c>
      <c r="I94" s="153"/>
      <c r="J94" s="154">
        <f>SUM(I92:I93)</f>
        <v>-7.3784899762723743E-5</v>
      </c>
      <c r="M94" s="168"/>
      <c r="N94" s="166"/>
      <c r="O94" s="169"/>
      <c r="P94" s="169"/>
    </row>
    <row r="95" spans="1:16">
      <c r="A95" s="148" t="s">
        <v>175</v>
      </c>
      <c r="B95" s="149" t="s">
        <v>558</v>
      </c>
      <c r="C95" s="149" t="s">
        <v>5</v>
      </c>
      <c r="D95" s="148" t="s">
        <v>169</v>
      </c>
      <c r="E95" s="158">
        <v>4.8297599999999996E-5</v>
      </c>
      <c r="F95" s="162">
        <f>F48</f>
        <v>3</v>
      </c>
      <c r="G95" s="153">
        <f>0.5*96/64</f>
        <v>0.75</v>
      </c>
      <c r="H95" s="148">
        <v>2</v>
      </c>
      <c r="I95" s="154">
        <f>E95*G95</f>
        <v>3.6223199999999996E-5</v>
      </c>
      <c r="K95" s="154">
        <f>I95*asthmacasesvalue</f>
        <v>7.7879879999999985E-2</v>
      </c>
      <c r="M95" s="169"/>
      <c r="N95" s="166"/>
      <c r="O95" s="169"/>
      <c r="P95" s="169"/>
    </row>
    <row r="96" spans="1:16">
      <c r="A96" s="148" t="s">
        <v>175</v>
      </c>
      <c r="B96" s="149" t="s">
        <v>558</v>
      </c>
      <c r="C96" s="149" t="s">
        <v>5</v>
      </c>
      <c r="D96" s="149" t="s">
        <v>164</v>
      </c>
      <c r="E96" s="153">
        <f xml:space="preserve"> 0.005*30/10*0.516*72000000000*0.01*3/365</f>
        <v>45803.835616438359</v>
      </c>
      <c r="F96" s="148">
        <v>2</v>
      </c>
      <c r="G96" s="153">
        <f>1/110000000000</f>
        <v>9.0909090909090904E-12</v>
      </c>
      <c r="H96" s="148">
        <v>3</v>
      </c>
      <c r="I96" s="154">
        <f>E96*G96</f>
        <v>4.1639850560398507E-7</v>
      </c>
      <c r="K96" s="154">
        <f>I96*asthmacasesvalue</f>
        <v>8.952567870485679E-4</v>
      </c>
      <c r="M96" s="169"/>
      <c r="N96" s="166"/>
      <c r="O96" s="169"/>
      <c r="P96" s="169"/>
    </row>
    <row r="97" spans="1:16">
      <c r="A97" s="148" t="s">
        <v>175</v>
      </c>
      <c r="B97" s="148" t="s">
        <v>538</v>
      </c>
      <c r="D97" s="148" t="s">
        <v>173</v>
      </c>
      <c r="E97" s="153">
        <f>200000000</f>
        <v>200000000</v>
      </c>
      <c r="F97" s="148">
        <v>2</v>
      </c>
      <c r="G97" s="153">
        <f>1/110000000000</f>
        <v>9.0909090909090904E-12</v>
      </c>
      <c r="H97" s="148">
        <v>3</v>
      </c>
      <c r="I97" s="154">
        <f>E97*G97</f>
        <v>1.8181818181818182E-3</v>
      </c>
      <c r="J97" s="153"/>
      <c r="K97" s="154">
        <f>I97*fishandmeatvalue</f>
        <v>3.8181818181818182E-3</v>
      </c>
      <c r="M97" s="168"/>
      <c r="N97" s="166"/>
      <c r="O97" s="169"/>
      <c r="P97" s="169"/>
    </row>
    <row r="98" spans="1:16">
      <c r="A98" s="148" t="s">
        <v>175</v>
      </c>
      <c r="B98" s="149" t="s">
        <v>519</v>
      </c>
      <c r="C98" s="149" t="s">
        <v>5</v>
      </c>
      <c r="D98" s="149" t="s">
        <v>530</v>
      </c>
      <c r="E98" s="158">
        <f>I9</f>
        <v>2.3919691119691116E-6</v>
      </c>
      <c r="F98" s="148">
        <v>3</v>
      </c>
      <c r="G98" s="148">
        <v>-38.4</v>
      </c>
      <c r="H98" s="148">
        <v>1.3</v>
      </c>
      <c r="I98" s="154">
        <f>E98*G98</f>
        <v>-9.1851613899613882E-5</v>
      </c>
      <c r="J98" s="153"/>
      <c r="K98" s="167">
        <f>I98*fishandmeatvalue</f>
        <v>-1.9288838918918915E-4</v>
      </c>
      <c r="M98" s="168"/>
      <c r="N98" s="166"/>
      <c r="O98" s="169"/>
      <c r="P98" s="169"/>
    </row>
    <row r="99" spans="1:16">
      <c r="A99" s="148" t="s">
        <v>175</v>
      </c>
      <c r="B99" s="188" t="s">
        <v>661</v>
      </c>
      <c r="C99" s="188" t="s">
        <v>5</v>
      </c>
      <c r="D99" s="188" t="s">
        <v>530</v>
      </c>
      <c r="E99" s="158">
        <f>I10</f>
        <v>1.1660849420849419E-6</v>
      </c>
      <c r="F99" s="148">
        <v>3</v>
      </c>
      <c r="G99" s="148">
        <v>-38.4</v>
      </c>
      <c r="H99" s="148">
        <v>1.3</v>
      </c>
      <c r="I99" s="154">
        <f t="shared" ref="I99:I111" si="10">E99*G99</f>
        <v>-4.4777661776061767E-5</v>
      </c>
      <c r="J99" s="153"/>
      <c r="K99" s="167">
        <f>I99*working_capacity</f>
        <v>-2.6329265124324319</v>
      </c>
      <c r="M99" s="168"/>
      <c r="N99" s="171"/>
      <c r="O99" s="169"/>
      <c r="P99" s="169"/>
    </row>
    <row r="100" spans="1:16">
      <c r="A100" s="148" t="s">
        <v>175</v>
      </c>
      <c r="B100" s="149" t="s">
        <v>1548</v>
      </c>
      <c r="C100" s="149" t="s">
        <v>5</v>
      </c>
      <c r="D100" s="149" t="s">
        <v>530</v>
      </c>
      <c r="E100" s="158">
        <f>I11</f>
        <v>1.5946460746460745E-8</v>
      </c>
      <c r="F100" s="148">
        <v>3</v>
      </c>
      <c r="G100" s="148">
        <v>-38.4</v>
      </c>
      <c r="H100" s="148">
        <v>1.3</v>
      </c>
      <c r="I100" s="154">
        <f t="shared" si="10"/>
        <v>-6.1234409266409258E-7</v>
      </c>
      <c r="J100" s="153"/>
      <c r="K100" s="167">
        <f>I100*diarrhea</f>
        <v>-3.2148064864864863E-3</v>
      </c>
      <c r="M100" s="168"/>
      <c r="N100" s="166"/>
      <c r="O100" s="169"/>
      <c r="P100" s="169"/>
    </row>
    <row r="101" spans="1:16">
      <c r="A101" s="148" t="s">
        <v>175</v>
      </c>
      <c r="B101" s="149" t="s">
        <v>160</v>
      </c>
      <c r="C101" s="149" t="s">
        <v>7</v>
      </c>
      <c r="D101" s="149" t="s">
        <v>530</v>
      </c>
      <c r="E101" s="158">
        <f>J14</f>
        <v>1.0903898856840032E-2</v>
      </c>
      <c r="F101" s="148">
        <v>3</v>
      </c>
      <c r="G101" s="148">
        <v>-38.4</v>
      </c>
      <c r="H101" s="148">
        <v>1.3</v>
      </c>
      <c r="I101" s="154">
        <f t="shared" si="10"/>
        <v>-0.41870971610265723</v>
      </c>
      <c r="J101" s="153"/>
      <c r="K101" s="167">
        <f>I101*cropvalue</f>
        <v>-9.2116137542584589E-2</v>
      </c>
      <c r="M101" s="168"/>
      <c r="N101" s="166"/>
      <c r="O101" s="169"/>
      <c r="P101" s="169"/>
    </row>
    <row r="102" spans="1:16">
      <c r="A102" s="148" t="s">
        <v>175</v>
      </c>
      <c r="B102" s="149" t="s">
        <v>529</v>
      </c>
      <c r="C102" s="149" t="s">
        <v>7</v>
      </c>
      <c r="D102" s="149" t="s">
        <v>530</v>
      </c>
      <c r="E102" s="158">
        <f t="shared" ref="E102:E110" si="11">I15</f>
        <v>1.3059096070860774E-3</v>
      </c>
      <c r="F102" s="148">
        <v>3</v>
      </c>
      <c r="G102" s="148">
        <v>-38.4</v>
      </c>
      <c r="H102" s="148">
        <v>1.3</v>
      </c>
      <c r="I102" s="154">
        <f t="shared" si="10"/>
        <v>-5.0146928912105371E-2</v>
      </c>
      <c r="J102" s="153"/>
      <c r="K102" s="167">
        <f>I102*Fruitandveg_value</f>
        <v>-1.9557302275721094E-2</v>
      </c>
      <c r="M102" s="168"/>
      <c r="N102" s="166"/>
      <c r="O102" s="169"/>
      <c r="P102" s="169"/>
    </row>
    <row r="103" spans="1:16">
      <c r="A103" s="148" t="s">
        <v>175</v>
      </c>
      <c r="B103" s="149" t="s">
        <v>538</v>
      </c>
      <c r="C103" s="149" t="s">
        <v>7</v>
      </c>
      <c r="D103" s="149" t="s">
        <v>530</v>
      </c>
      <c r="E103" s="158">
        <f t="shared" si="11"/>
        <v>5.1444923915512154E-4</v>
      </c>
      <c r="F103" s="148">
        <v>3</v>
      </c>
      <c r="G103" s="148">
        <v>-38.4</v>
      </c>
      <c r="H103" s="148">
        <v>1.3</v>
      </c>
      <c r="I103" s="154">
        <f t="shared" si="10"/>
        <v>-1.9754850783556665E-2</v>
      </c>
      <c r="J103" s="153"/>
      <c r="K103" s="167">
        <f>I103*fishandmeatvalue</f>
        <v>-4.1485186645468998E-2</v>
      </c>
      <c r="M103" s="168"/>
      <c r="N103" s="166"/>
      <c r="O103" s="169"/>
      <c r="P103" s="169"/>
    </row>
    <row r="104" spans="1:16">
      <c r="A104" s="148" t="s">
        <v>175</v>
      </c>
      <c r="B104" s="148" t="s">
        <v>161</v>
      </c>
      <c r="C104" s="149" t="s">
        <v>7</v>
      </c>
      <c r="D104" s="149" t="s">
        <v>530</v>
      </c>
      <c r="E104" s="158">
        <f t="shared" si="11"/>
        <v>0</v>
      </c>
      <c r="F104" s="148">
        <v>3</v>
      </c>
      <c r="G104" s="148">
        <v>-38.4</v>
      </c>
      <c r="H104" s="148">
        <v>1.3</v>
      </c>
      <c r="I104" s="154">
        <f t="shared" si="10"/>
        <v>0</v>
      </c>
      <c r="J104" s="153"/>
      <c r="K104" s="154">
        <f>I104*woodvalue</f>
        <v>0</v>
      </c>
      <c r="M104" s="168"/>
      <c r="N104" s="166"/>
      <c r="O104" s="169"/>
      <c r="P104" s="169"/>
    </row>
    <row r="105" spans="1:16">
      <c r="A105" s="148" t="s">
        <v>175</v>
      </c>
      <c r="B105" s="148" t="s">
        <v>508</v>
      </c>
      <c r="C105" s="149" t="s">
        <v>7</v>
      </c>
      <c r="D105" s="149" t="s">
        <v>530</v>
      </c>
      <c r="E105" s="158">
        <f t="shared" si="11"/>
        <v>6.2789189189189187E-2</v>
      </c>
      <c r="F105" s="148">
        <v>3</v>
      </c>
      <c r="G105" s="148">
        <v>-38.4</v>
      </c>
      <c r="H105" s="148">
        <v>1.3</v>
      </c>
      <c r="I105" s="154">
        <f t="shared" si="10"/>
        <v>-2.4111048648648645</v>
      </c>
      <c r="J105" s="153"/>
      <c r="K105" s="167">
        <f>I105*drinkingwatervalue</f>
        <v>-4.8222097297297289E-3</v>
      </c>
      <c r="M105" s="168"/>
      <c r="N105" s="166"/>
      <c r="O105" s="169"/>
      <c r="P105" s="169"/>
    </row>
    <row r="106" spans="1:16">
      <c r="A106" s="148" t="s">
        <v>175</v>
      </c>
      <c r="B106" s="148" t="s">
        <v>510</v>
      </c>
      <c r="C106" s="149" t="s">
        <v>7</v>
      </c>
      <c r="D106" s="149" t="s">
        <v>530</v>
      </c>
      <c r="E106" s="158">
        <f t="shared" si="11"/>
        <v>0.12557837837837837</v>
      </c>
      <c r="F106" s="148">
        <v>3</v>
      </c>
      <c r="G106" s="148">
        <v>-38.4</v>
      </c>
      <c r="H106" s="148">
        <v>1.3</v>
      </c>
      <c r="I106" s="154">
        <f t="shared" si="10"/>
        <v>-4.8222097297297291</v>
      </c>
      <c r="J106" s="153"/>
      <c r="K106" s="167">
        <f>I106*irrigationwatervalue</f>
        <v>-4.8222097297297289E-3</v>
      </c>
      <c r="M106" s="168"/>
      <c r="N106" s="166"/>
      <c r="O106" s="169"/>
      <c r="P106" s="169"/>
    </row>
    <row r="107" spans="1:16">
      <c r="A107" s="148" t="s">
        <v>175</v>
      </c>
      <c r="B107" s="148" t="s">
        <v>511</v>
      </c>
      <c r="C107" s="149" t="s">
        <v>487</v>
      </c>
      <c r="D107" s="149" t="s">
        <v>530</v>
      </c>
      <c r="E107" s="158">
        <f t="shared" si="11"/>
        <v>3.1711711711711707E-7</v>
      </c>
      <c r="F107" s="148">
        <v>3</v>
      </c>
      <c r="G107" s="148">
        <v>-38.4</v>
      </c>
      <c r="H107" s="148">
        <v>1.3</v>
      </c>
      <c r="I107" s="154">
        <f t="shared" si="10"/>
        <v>-1.2177297297297295E-5</v>
      </c>
      <c r="J107" s="153"/>
      <c r="K107" s="167">
        <f>I107*energy_access</f>
        <v>-3.4096432432432426E-2</v>
      </c>
      <c r="M107" s="169"/>
      <c r="N107" s="166"/>
      <c r="O107" s="169"/>
      <c r="P107" s="169"/>
    </row>
    <row r="108" spans="1:16">
      <c r="A108" s="148" t="s">
        <v>175</v>
      </c>
      <c r="B108" s="149" t="s">
        <v>513</v>
      </c>
      <c r="C108" s="149" t="s">
        <v>5</v>
      </c>
      <c r="D108" s="149" t="s">
        <v>530</v>
      </c>
      <c r="E108" s="158">
        <f t="shared" si="11"/>
        <v>1.9933075933075932E-8</v>
      </c>
      <c r="F108" s="148">
        <v>3</v>
      </c>
      <c r="G108" s="148">
        <v>-38.4</v>
      </c>
      <c r="H108" s="148">
        <v>1.3</v>
      </c>
      <c r="I108" s="154">
        <f t="shared" si="10"/>
        <v>-7.6543011583011578E-7</v>
      </c>
      <c r="J108" s="153"/>
      <c r="K108" s="167">
        <f>I108*housingvalue</f>
        <v>-1.5308602316602316E-3</v>
      </c>
      <c r="M108" s="168"/>
      <c r="N108" s="166"/>
      <c r="O108" s="169"/>
      <c r="P108" s="169"/>
    </row>
    <row r="109" spans="1:16">
      <c r="A109" s="148" t="s">
        <v>175</v>
      </c>
      <c r="B109" s="149" t="s">
        <v>516</v>
      </c>
      <c r="C109" s="149" t="s">
        <v>523</v>
      </c>
      <c r="D109" s="149" t="s">
        <v>530</v>
      </c>
      <c r="E109" s="158">
        <f t="shared" si="11"/>
        <v>2.2651222651222648E-7</v>
      </c>
      <c r="F109" s="148">
        <v>3</v>
      </c>
      <c r="G109" s="148">
        <v>-38.4</v>
      </c>
      <c r="H109" s="148">
        <v>1.3</v>
      </c>
      <c r="I109" s="154">
        <f t="shared" si="10"/>
        <v>-8.6980694980694972E-6</v>
      </c>
      <c r="J109" s="153"/>
      <c r="K109" s="167">
        <f>I109*migrationvalue</f>
        <v>-0.21745173745173743</v>
      </c>
      <c r="M109" s="169"/>
      <c r="N109" s="166"/>
      <c r="O109" s="169"/>
      <c r="P109" s="169"/>
    </row>
    <row r="110" spans="1:16">
      <c r="A110" s="148" t="s">
        <v>175</v>
      </c>
      <c r="B110" s="148" t="s">
        <v>174</v>
      </c>
      <c r="C110" s="149" t="s">
        <v>505</v>
      </c>
      <c r="D110" s="149" t="s">
        <v>530</v>
      </c>
      <c r="E110" s="158">
        <f t="shared" si="11"/>
        <v>2.2651222651222649E-16</v>
      </c>
      <c r="F110" s="148">
        <v>3</v>
      </c>
      <c r="G110" s="148">
        <v>-38.4</v>
      </c>
      <c r="H110" s="148">
        <v>1.3</v>
      </c>
      <c r="I110" s="154">
        <f t="shared" si="10"/>
        <v>-8.6980694980694971E-15</v>
      </c>
      <c r="K110" s="167">
        <f>I110*speciesvalue</f>
        <v>-4.8709189189189182E-4</v>
      </c>
      <c r="M110" s="169"/>
      <c r="N110" s="166"/>
      <c r="O110" s="169"/>
      <c r="P110" s="169"/>
    </row>
    <row r="111" spans="1:16">
      <c r="A111" s="148" t="s">
        <v>175</v>
      </c>
      <c r="B111" s="148" t="s">
        <v>174</v>
      </c>
      <c r="C111" s="149" t="s">
        <v>505</v>
      </c>
      <c r="D111" s="148" t="s">
        <v>173</v>
      </c>
      <c r="E111" s="148">
        <v>2E-3</v>
      </c>
      <c r="F111" s="148">
        <v>2</v>
      </c>
      <c r="G111" s="153">
        <f>1/110000000000*3910/(2660+3910)</f>
        <v>5.4102670541026701E-12</v>
      </c>
      <c r="H111" s="148">
        <v>1.1000000000000001</v>
      </c>
      <c r="I111" s="154">
        <f t="shared" si="10"/>
        <v>1.082053410820534E-14</v>
      </c>
      <c r="K111" s="154">
        <f>I111*speciesvalue</f>
        <v>6.0594991005949905E-4</v>
      </c>
      <c r="L111" s="190"/>
      <c r="M111" s="174"/>
      <c r="N111" s="166"/>
      <c r="O111" s="169"/>
      <c r="P111" s="169"/>
    </row>
    <row r="112" spans="1:16">
      <c r="A112" s="148" t="s">
        <v>175</v>
      </c>
      <c r="B112" s="149" t="s">
        <v>666</v>
      </c>
      <c r="C112" s="149" t="s">
        <v>7</v>
      </c>
      <c r="D112" s="148" t="s">
        <v>176</v>
      </c>
      <c r="E112" s="153">
        <f>32000000000*0.4*0.05*1.2</f>
        <v>768000000</v>
      </c>
      <c r="F112" s="148">
        <v>3</v>
      </c>
      <c r="G112" s="153">
        <f>1/110000000000</f>
        <v>9.0909090909090904E-12</v>
      </c>
      <c r="H112" s="148">
        <v>1.1000000000000001</v>
      </c>
      <c r="I112" s="154">
        <f>E112*G112</f>
        <v>6.981818181818181E-3</v>
      </c>
      <c r="J112" s="153"/>
      <c r="K112" s="154">
        <f>I112*CO2value</f>
        <v>9.410121096343402E-4</v>
      </c>
      <c r="L112" s="191"/>
      <c r="M112" s="175"/>
      <c r="N112" s="166"/>
      <c r="O112" s="169"/>
      <c r="P112" s="169"/>
    </row>
    <row r="113" spans="1:16">
      <c r="A113" s="148" t="s">
        <v>175</v>
      </c>
      <c r="B113" s="148" t="s">
        <v>159</v>
      </c>
      <c r="D113" s="148" t="s">
        <v>159</v>
      </c>
      <c r="L113" s="189">
        <f>SUM(K92:K112)</f>
        <v>-6.657808082750325</v>
      </c>
      <c r="M113" s="169"/>
      <c r="N113" s="166"/>
      <c r="O113" s="169"/>
      <c r="P113" s="169"/>
    </row>
    <row r="114" spans="1:16">
      <c r="M114" s="169"/>
      <c r="N114" s="166"/>
      <c r="O114" s="169"/>
      <c r="P114" s="169"/>
    </row>
    <row r="115" spans="1:16">
      <c r="A115" s="148" t="s">
        <v>184</v>
      </c>
      <c r="B115" s="148" t="s">
        <v>159</v>
      </c>
      <c r="C115" s="148" t="s">
        <v>667</v>
      </c>
      <c r="D115" s="148" t="s">
        <v>185</v>
      </c>
      <c r="E115" s="158">
        <f>L113</f>
        <v>-6.657808082750325</v>
      </c>
      <c r="F115" s="148">
        <v>4</v>
      </c>
      <c r="G115" s="153">
        <f>64/34</f>
        <v>1.8823529411764706</v>
      </c>
      <c r="H115" s="148">
        <v>1.2</v>
      </c>
      <c r="I115" s="154">
        <f>E115*G115</f>
        <v>-12.532344626353552</v>
      </c>
      <c r="J115" s="153"/>
      <c r="K115" s="155">
        <f>I115</f>
        <v>-12.532344626353552</v>
      </c>
      <c r="L115" s="155">
        <f>K115</f>
        <v>-12.532344626353552</v>
      </c>
      <c r="M115" s="168"/>
      <c r="N115" s="166"/>
      <c r="O115" s="169"/>
      <c r="P115" s="169"/>
    </row>
    <row r="116" spans="1:16">
      <c r="M116" s="169"/>
      <c r="N116" s="166"/>
      <c r="O116" s="169"/>
      <c r="P116" s="169"/>
    </row>
    <row r="117" spans="1:16">
      <c r="A117" s="148" t="s">
        <v>186</v>
      </c>
      <c r="B117" s="148" t="s">
        <v>4</v>
      </c>
      <c r="C117" s="149" t="s">
        <v>5</v>
      </c>
      <c r="D117" s="148" t="s">
        <v>668</v>
      </c>
      <c r="E117" s="158">
        <v>-9.928052089575288E-5</v>
      </c>
      <c r="F117" s="159">
        <v>3.6656305802779316</v>
      </c>
      <c r="G117" s="153">
        <f>19/20</f>
        <v>0.95</v>
      </c>
      <c r="H117" s="148">
        <v>1.1000000000000001</v>
      </c>
      <c r="I117" s="154">
        <f>E117*G117</f>
        <v>-9.4316494850965227E-5</v>
      </c>
      <c r="J117" s="153"/>
      <c r="K117" s="155">
        <f>I117*YOLLvalue</f>
        <v>-4.7158247425482616</v>
      </c>
      <c r="M117" s="168"/>
      <c r="N117" s="166"/>
      <c r="O117" s="169"/>
      <c r="P117" s="169"/>
    </row>
    <row r="118" spans="1:16">
      <c r="A118" s="148" t="s">
        <v>186</v>
      </c>
      <c r="B118" s="149" t="s">
        <v>558</v>
      </c>
      <c r="C118" s="149" t="s">
        <v>5</v>
      </c>
      <c r="D118" s="148" t="s">
        <v>668</v>
      </c>
      <c r="E118" s="158">
        <v>4.8297599999999996E-5</v>
      </c>
      <c r="F118" s="159">
        <v>4.7288043878374149</v>
      </c>
      <c r="G118" s="153">
        <f t="shared" ref="G118:G132" si="12">19/20</f>
        <v>0.95</v>
      </c>
      <c r="H118" s="148">
        <v>1.1000000000000001</v>
      </c>
      <c r="I118" s="154">
        <f t="shared" ref="I118:I135" si="13">E118*G118</f>
        <v>4.5882719999999995E-5</v>
      </c>
      <c r="J118" s="153"/>
      <c r="K118" s="155">
        <f>I118*asthmacasesvalue</f>
        <v>9.8647847999999982E-2</v>
      </c>
      <c r="M118" s="168"/>
      <c r="N118" s="166"/>
      <c r="O118" s="169"/>
      <c r="P118" s="169"/>
    </row>
    <row r="119" spans="1:16">
      <c r="A119" s="148" t="s">
        <v>186</v>
      </c>
      <c r="B119" s="149" t="s">
        <v>658</v>
      </c>
      <c r="C119" s="149" t="s">
        <v>5</v>
      </c>
      <c r="D119" s="148" t="s">
        <v>668</v>
      </c>
      <c r="E119" s="158">
        <v>3.7699999999999999E-6</v>
      </c>
      <c r="F119" s="159">
        <v>4.7288043878374149</v>
      </c>
      <c r="G119" s="153">
        <f t="shared" si="12"/>
        <v>0.95</v>
      </c>
      <c r="H119" s="148">
        <v>1.1000000000000001</v>
      </c>
      <c r="I119" s="154">
        <f t="shared" si="13"/>
        <v>3.5814999999999999E-6</v>
      </c>
      <c r="J119" s="153"/>
      <c r="K119" s="155">
        <f>I119*COPDvalue</f>
        <v>6.8585725E-2</v>
      </c>
      <c r="M119" s="168"/>
      <c r="N119" s="166"/>
      <c r="O119" s="169"/>
      <c r="P119" s="169"/>
    </row>
    <row r="120" spans="1:16">
      <c r="A120" s="148" t="s">
        <v>186</v>
      </c>
      <c r="B120" s="149" t="s">
        <v>519</v>
      </c>
      <c r="C120" s="149" t="s">
        <v>5</v>
      </c>
      <c r="D120" s="148" t="s">
        <v>668</v>
      </c>
      <c r="E120" s="158">
        <v>-3.6597127413127409E-4</v>
      </c>
      <c r="F120" s="159">
        <v>3.6656305802779316</v>
      </c>
      <c r="G120" s="153">
        <f t="shared" si="12"/>
        <v>0.95</v>
      </c>
      <c r="H120" s="148">
        <v>1.1000000000000001</v>
      </c>
      <c r="I120" s="154">
        <f t="shared" si="13"/>
        <v>-3.4767271042471037E-4</v>
      </c>
      <c r="J120" s="153"/>
      <c r="K120" s="155">
        <f>I120*malnutrition</f>
        <v>-3.3202743845559839</v>
      </c>
      <c r="M120" s="168"/>
      <c r="N120" s="166"/>
      <c r="O120" s="169"/>
      <c r="P120" s="169"/>
    </row>
    <row r="121" spans="1:16">
      <c r="A121" s="148" t="s">
        <v>186</v>
      </c>
      <c r="B121" s="149" t="s">
        <v>661</v>
      </c>
      <c r="C121" s="149" t="s">
        <v>5</v>
      </c>
      <c r="D121" s="148" t="s">
        <v>668</v>
      </c>
      <c r="E121" s="158">
        <v>-3.6597127413127409E-4</v>
      </c>
      <c r="F121" s="159">
        <v>3.6656305802779316</v>
      </c>
      <c r="G121" s="153">
        <f t="shared" si="12"/>
        <v>0.95</v>
      </c>
      <c r="H121" s="148">
        <v>1.1000000000000001</v>
      </c>
      <c r="I121" s="154">
        <f t="shared" si="13"/>
        <v>-3.4767271042471037E-4</v>
      </c>
      <c r="J121" s="153"/>
      <c r="K121" s="155">
        <f>I121*working_capacity</f>
        <v>-20.443155372972971</v>
      </c>
      <c r="M121" s="168"/>
      <c r="N121" s="166"/>
      <c r="O121" s="169"/>
      <c r="P121" s="169"/>
    </row>
    <row r="122" spans="1:16">
      <c r="A122" s="148" t="s">
        <v>186</v>
      </c>
      <c r="B122" s="149" t="s">
        <v>1548</v>
      </c>
      <c r="C122" s="149" t="s">
        <v>5</v>
      </c>
      <c r="D122" s="148" t="s">
        <v>668</v>
      </c>
      <c r="E122" s="158">
        <v>-2.4398084942084942E-6</v>
      </c>
      <c r="F122" s="159">
        <v>3.6656305802779316</v>
      </c>
      <c r="G122" s="153">
        <f t="shared" si="12"/>
        <v>0.95</v>
      </c>
      <c r="H122" s="148">
        <v>1.1000000000000001</v>
      </c>
      <c r="I122" s="154">
        <f t="shared" si="13"/>
        <v>-2.3178180694980692E-6</v>
      </c>
      <c r="J122" s="153"/>
      <c r="K122" s="155">
        <f>I122*diarrhea</f>
        <v>-1.2168544864864864E-2</v>
      </c>
      <c r="M122" s="168"/>
      <c r="N122" s="166"/>
      <c r="O122" s="169"/>
      <c r="P122" s="169"/>
    </row>
    <row r="123" spans="1:16">
      <c r="A123" s="148" t="s">
        <v>186</v>
      </c>
      <c r="B123" s="149" t="s">
        <v>160</v>
      </c>
      <c r="C123" s="149" t="s">
        <v>7</v>
      </c>
      <c r="D123" s="148" t="s">
        <v>668</v>
      </c>
      <c r="E123" s="158">
        <v>-1.6682965250965249</v>
      </c>
      <c r="F123" s="159">
        <v>3.6656305802779316</v>
      </c>
      <c r="G123" s="153">
        <f t="shared" si="12"/>
        <v>0.95</v>
      </c>
      <c r="H123" s="148">
        <v>1.1000000000000001</v>
      </c>
      <c r="I123" s="154">
        <f t="shared" si="13"/>
        <v>-1.5848816988416987</v>
      </c>
      <c r="J123" s="153"/>
      <c r="K123" s="155">
        <f>I123*cropvalue</f>
        <v>-0.34867397374517373</v>
      </c>
      <c r="M123" s="168"/>
      <c r="N123" s="166"/>
      <c r="O123" s="169"/>
      <c r="P123" s="169"/>
    </row>
    <row r="124" spans="1:16">
      <c r="A124" s="148" t="s">
        <v>186</v>
      </c>
      <c r="B124" s="149" t="s">
        <v>529</v>
      </c>
      <c r="C124" s="149" t="s">
        <v>7</v>
      </c>
      <c r="D124" s="148" t="s">
        <v>668</v>
      </c>
      <c r="E124" s="158">
        <v>-0.19980416988416985</v>
      </c>
      <c r="F124" s="159">
        <v>3.6656305802779316</v>
      </c>
      <c r="G124" s="153">
        <f t="shared" si="12"/>
        <v>0.95</v>
      </c>
      <c r="H124" s="148">
        <v>1.1000000000000001</v>
      </c>
      <c r="I124" s="154">
        <f t="shared" si="13"/>
        <v>-0.18981396138996134</v>
      </c>
      <c r="J124" s="153"/>
      <c r="K124" s="155">
        <f>I124*Fruitandveg_value</f>
        <v>-7.4027444942084922E-2</v>
      </c>
      <c r="M124" s="168"/>
      <c r="N124" s="166"/>
      <c r="O124" s="169"/>
      <c r="P124" s="169"/>
    </row>
    <row r="125" spans="1:16">
      <c r="A125" s="148" t="s">
        <v>186</v>
      </c>
      <c r="B125" s="149" t="s">
        <v>538</v>
      </c>
      <c r="C125" s="149" t="s">
        <v>7</v>
      </c>
      <c r="D125" s="148" t="s">
        <v>668</v>
      </c>
      <c r="E125" s="158">
        <v>-7.8710733590733592E-2</v>
      </c>
      <c r="F125" s="159">
        <v>3.6656305802779316</v>
      </c>
      <c r="G125" s="153">
        <f t="shared" si="12"/>
        <v>0.95</v>
      </c>
      <c r="H125" s="148">
        <v>1.1000000000000001</v>
      </c>
      <c r="I125" s="154">
        <f t="shared" si="13"/>
        <v>-7.4775196911196912E-2</v>
      </c>
      <c r="J125" s="153"/>
      <c r="K125" s="155">
        <f>I125*fishandmeatvalue</f>
        <v>-0.15702791351351353</v>
      </c>
      <c r="M125" s="168"/>
      <c r="N125" s="166"/>
      <c r="O125" s="169"/>
      <c r="P125" s="169"/>
    </row>
    <row r="126" spans="1:16">
      <c r="A126" s="148" t="s">
        <v>186</v>
      </c>
      <c r="B126" s="148" t="s">
        <v>161</v>
      </c>
      <c r="C126" s="149" t="s">
        <v>7</v>
      </c>
      <c r="D126" s="148" t="s">
        <v>668</v>
      </c>
      <c r="E126" s="158">
        <v>0</v>
      </c>
      <c r="F126" s="159">
        <v>6.3246562435360429</v>
      </c>
      <c r="G126" s="153">
        <f t="shared" si="12"/>
        <v>0.95</v>
      </c>
      <c r="H126" s="148">
        <v>1.1000000000000001</v>
      </c>
      <c r="I126" s="154">
        <f t="shared" si="13"/>
        <v>0</v>
      </c>
      <c r="J126" s="153"/>
      <c r="K126" s="155">
        <f>I126*woodvalue</f>
        <v>0</v>
      </c>
      <c r="M126" s="168"/>
      <c r="N126" s="166"/>
      <c r="O126" s="169"/>
      <c r="P126" s="169"/>
    </row>
    <row r="127" spans="1:16">
      <c r="A127" s="148" t="s">
        <v>186</v>
      </c>
      <c r="B127" s="148" t="s">
        <v>508</v>
      </c>
      <c r="C127" s="149" t="s">
        <v>7</v>
      </c>
      <c r="D127" s="148" t="s">
        <v>668</v>
      </c>
      <c r="E127" s="158">
        <v>-9.6067459459459457</v>
      </c>
      <c r="F127" s="159">
        <v>3.6656305802779316</v>
      </c>
      <c r="G127" s="153">
        <f t="shared" si="12"/>
        <v>0.95</v>
      </c>
      <c r="H127" s="148">
        <v>1.1000000000000001</v>
      </c>
      <c r="I127" s="154">
        <f t="shared" si="13"/>
        <v>-9.1264086486486473</v>
      </c>
      <c r="J127" s="153"/>
      <c r="K127" s="155">
        <f>I127*drinkingwatervalue</f>
        <v>-1.8252817297297295E-2</v>
      </c>
      <c r="M127" s="168"/>
      <c r="N127" s="166"/>
      <c r="O127" s="169"/>
      <c r="P127" s="169"/>
    </row>
    <row r="128" spans="1:16">
      <c r="A128" s="148" t="s">
        <v>186</v>
      </c>
      <c r="B128" s="148" t="s">
        <v>510</v>
      </c>
      <c r="C128" s="149" t="s">
        <v>7</v>
      </c>
      <c r="D128" s="148" t="s">
        <v>668</v>
      </c>
      <c r="E128" s="158">
        <v>-19.213491891891891</v>
      </c>
      <c r="F128" s="159">
        <v>3.6656305802779316</v>
      </c>
      <c r="G128" s="153">
        <f t="shared" si="12"/>
        <v>0.95</v>
      </c>
      <c r="H128" s="148">
        <v>1.1000000000000001</v>
      </c>
      <c r="I128" s="154">
        <f t="shared" si="13"/>
        <v>-18.252817297297295</v>
      </c>
      <c r="J128" s="153"/>
      <c r="K128" s="155">
        <f>I128*irrigationwatervalue</f>
        <v>-1.8252817297297295E-2</v>
      </c>
      <c r="M128" s="168"/>
      <c r="N128" s="166"/>
      <c r="O128" s="169"/>
      <c r="P128" s="169"/>
    </row>
    <row r="129" spans="1:16">
      <c r="A129" s="148" t="s">
        <v>186</v>
      </c>
      <c r="B129" s="148" t="s">
        <v>511</v>
      </c>
      <c r="C129" s="149" t="s">
        <v>487</v>
      </c>
      <c r="D129" s="148" t="s">
        <v>668</v>
      </c>
      <c r="E129" s="158">
        <v>-4.8518918918918909E-5</v>
      </c>
      <c r="F129" s="159">
        <v>3.6656305802779316</v>
      </c>
      <c r="G129" s="153">
        <f t="shared" si="12"/>
        <v>0.95</v>
      </c>
      <c r="H129" s="148">
        <v>1.1000000000000001</v>
      </c>
      <c r="I129" s="154">
        <f t="shared" si="13"/>
        <v>-4.6092972972972961E-5</v>
      </c>
      <c r="J129" s="153"/>
      <c r="K129" s="155">
        <f>I129*energy_access</f>
        <v>-0.12906032432432429</v>
      </c>
      <c r="M129" s="168"/>
      <c r="N129" s="166"/>
      <c r="O129" s="169"/>
      <c r="P129" s="169"/>
    </row>
    <row r="130" spans="1:16">
      <c r="A130" s="148" t="s">
        <v>186</v>
      </c>
      <c r="B130" s="149" t="s">
        <v>513</v>
      </c>
      <c r="C130" s="149" t="s">
        <v>5</v>
      </c>
      <c r="D130" s="148" t="s">
        <v>668</v>
      </c>
      <c r="E130" s="158">
        <v>-3.0497606177606176E-6</v>
      </c>
      <c r="F130" s="159">
        <v>3.6656305802779316</v>
      </c>
      <c r="G130" s="153">
        <f t="shared" si="12"/>
        <v>0.95</v>
      </c>
      <c r="H130" s="148">
        <v>1.1000000000000001</v>
      </c>
      <c r="I130" s="154">
        <f t="shared" si="13"/>
        <v>-2.8972725868725867E-6</v>
      </c>
      <c r="J130" s="153"/>
      <c r="K130" s="155">
        <f>I130*housingvalue</f>
        <v>-5.7945451737451735E-3</v>
      </c>
      <c r="M130" s="168"/>
      <c r="N130" s="166"/>
      <c r="O130" s="169"/>
      <c r="P130" s="169"/>
    </row>
    <row r="131" spans="1:16">
      <c r="A131" s="148" t="s">
        <v>186</v>
      </c>
      <c r="B131" s="149" t="s">
        <v>516</v>
      </c>
      <c r="C131" s="149" t="s">
        <v>523</v>
      </c>
      <c r="D131" s="148" t="s">
        <v>668</v>
      </c>
      <c r="E131" s="158">
        <v>-3.4656370656370649E-5</v>
      </c>
      <c r="F131" s="159">
        <v>3.6656305802779316</v>
      </c>
      <c r="G131" s="153">
        <f t="shared" si="12"/>
        <v>0.95</v>
      </c>
      <c r="H131" s="148">
        <v>1.1000000000000001</v>
      </c>
      <c r="I131" s="154">
        <f t="shared" si="13"/>
        <v>-3.2923552123552115E-5</v>
      </c>
      <c r="J131" s="153"/>
      <c r="K131" s="155">
        <f>I131*migrationvalue</f>
        <v>-0.82308880308880283</v>
      </c>
      <c r="M131" s="168"/>
      <c r="N131" s="166"/>
      <c r="O131" s="169"/>
      <c r="P131" s="169"/>
    </row>
    <row r="132" spans="1:16">
      <c r="A132" s="148" t="s">
        <v>186</v>
      </c>
      <c r="B132" s="148" t="s">
        <v>174</v>
      </c>
      <c r="C132" s="149" t="s">
        <v>505</v>
      </c>
      <c r="D132" s="148" t="s">
        <v>668</v>
      </c>
      <c r="E132" s="158">
        <v>-3.4656370656370654E-14</v>
      </c>
      <c r="F132" s="159">
        <v>3.6656305802779316</v>
      </c>
      <c r="G132" s="153">
        <f t="shared" si="12"/>
        <v>0.95</v>
      </c>
      <c r="H132" s="148">
        <v>1.1000000000000001</v>
      </c>
      <c r="I132" s="154">
        <f t="shared" si="13"/>
        <v>-3.2923552123552119E-14</v>
      </c>
      <c r="J132" s="153"/>
      <c r="K132" s="155">
        <f>I132*speciesvalue</f>
        <v>-1.8437189189189187E-3</v>
      </c>
      <c r="M132" s="169"/>
      <c r="N132" s="166"/>
      <c r="O132" s="169"/>
      <c r="P132" s="169"/>
    </row>
    <row r="133" spans="1:16">
      <c r="A133" s="148" t="s">
        <v>186</v>
      </c>
      <c r="B133" s="148" t="s">
        <v>538</v>
      </c>
      <c r="C133" s="149" t="s">
        <v>7</v>
      </c>
      <c r="D133" s="148" t="s">
        <v>173</v>
      </c>
      <c r="E133" s="158">
        <f>I97</f>
        <v>1.8181818181818182E-3</v>
      </c>
      <c r="F133" s="159">
        <f>EXP(SQRT(LN(F97)^2+LN(H97)^2))</f>
        <v>3.6656305802779316</v>
      </c>
      <c r="G133" s="153">
        <f>64/(2*20)</f>
        <v>1.6</v>
      </c>
      <c r="H133" s="148">
        <v>1.1000000000000001</v>
      </c>
      <c r="I133" s="154">
        <f t="shared" si="13"/>
        <v>2.9090909090909093E-3</v>
      </c>
      <c r="J133" s="153"/>
      <c r="K133" s="155">
        <f>I133*fishandmeatvalue</f>
        <v>6.1090909090909095E-3</v>
      </c>
      <c r="M133" s="168"/>
      <c r="N133" s="166"/>
      <c r="O133" s="169"/>
      <c r="P133" s="169"/>
    </row>
    <row r="134" spans="1:16">
      <c r="A134" s="148" t="s">
        <v>186</v>
      </c>
      <c r="B134" s="148" t="s">
        <v>174</v>
      </c>
      <c r="C134" s="149" t="s">
        <v>505</v>
      </c>
      <c r="D134" s="148" t="s">
        <v>173</v>
      </c>
      <c r="E134" s="158">
        <f>I111</f>
        <v>1.082053410820534E-14</v>
      </c>
      <c r="F134" s="159">
        <f>EXP(SQRT(LN(F111)^2+LN(H111)^2))</f>
        <v>2.0130867471709437</v>
      </c>
      <c r="G134" s="153">
        <f>64/(2*20)</f>
        <v>1.6</v>
      </c>
      <c r="H134" s="148">
        <v>1.1000000000000001</v>
      </c>
      <c r="I134" s="154">
        <f t="shared" si="13"/>
        <v>1.7312854573128546E-14</v>
      </c>
      <c r="K134" s="155">
        <f>I134*speciesvalue</f>
        <v>9.695198560951986E-4</v>
      </c>
      <c r="M134" s="169"/>
      <c r="N134" s="166"/>
      <c r="O134" s="169"/>
      <c r="P134" s="169"/>
    </row>
    <row r="135" spans="1:16">
      <c r="A135" s="148" t="s">
        <v>186</v>
      </c>
      <c r="B135" s="149" t="s">
        <v>666</v>
      </c>
      <c r="C135" s="149" t="s">
        <v>7</v>
      </c>
      <c r="D135" s="148" t="s">
        <v>176</v>
      </c>
      <c r="E135" s="158">
        <f>I112</f>
        <v>6.981818181818181E-3</v>
      </c>
      <c r="F135" s="159">
        <f>EXP(SQRT(LN(F99)^2+LN(H99)^2))</f>
        <v>3.0941278481682999</v>
      </c>
      <c r="G135" s="153">
        <f>64/(2*20)</f>
        <v>1.6</v>
      </c>
      <c r="H135" s="148">
        <v>1.1000000000000001</v>
      </c>
      <c r="I135" s="154">
        <f t="shared" si="13"/>
        <v>1.1170909090909091E-2</v>
      </c>
      <c r="K135" s="155">
        <f>I135*CO2value</f>
        <v>1.5056193754149445E-3</v>
      </c>
      <c r="M135" s="169"/>
      <c r="N135" s="166"/>
      <c r="O135" s="169"/>
      <c r="P135" s="169"/>
    </row>
    <row r="136" spans="1:16">
      <c r="A136" s="148" t="s">
        <v>186</v>
      </c>
      <c r="B136" s="148" t="s">
        <v>159</v>
      </c>
      <c r="D136" s="148" t="s">
        <v>159</v>
      </c>
      <c r="L136" s="155">
        <f>SUM(K117:K135)</f>
        <v>-29.891627600102641</v>
      </c>
      <c r="M136" s="169"/>
      <c r="N136" s="166"/>
      <c r="O136" s="169"/>
      <c r="P136" s="169"/>
    </row>
    <row r="137" spans="1:16">
      <c r="M137" s="169"/>
      <c r="N137" s="166"/>
      <c r="O137" s="169"/>
      <c r="P137" s="169"/>
    </row>
    <row r="138" spans="1:16">
      <c r="A138" s="148" t="s">
        <v>188</v>
      </c>
      <c r="B138" s="148" t="s">
        <v>4</v>
      </c>
      <c r="C138" s="149" t="s">
        <v>5</v>
      </c>
      <c r="D138" s="148" t="s">
        <v>668</v>
      </c>
      <c r="E138" s="158">
        <v>-9.928052089575288E-5</v>
      </c>
      <c r="F138" s="159">
        <f>F117</f>
        <v>3.6656305802779316</v>
      </c>
      <c r="G138" s="153">
        <f>35/36</f>
        <v>0.97222222222222221</v>
      </c>
      <c r="H138" s="162">
        <f>H117</f>
        <v>1.1000000000000001</v>
      </c>
      <c r="I138" s="154">
        <f>E138*G138</f>
        <v>-9.6522728648648629E-5</v>
      </c>
      <c r="J138" s="153"/>
      <c r="K138" s="155">
        <f>I138*YOLLvalue</f>
        <v>-4.8261364324324312</v>
      </c>
      <c r="M138" s="168"/>
      <c r="N138" s="166"/>
      <c r="O138" s="169"/>
      <c r="P138" s="169"/>
    </row>
    <row r="139" spans="1:16">
      <c r="A139" s="148" t="s">
        <v>188</v>
      </c>
      <c r="B139" s="149" t="s">
        <v>558</v>
      </c>
      <c r="C139" s="149" t="s">
        <v>5</v>
      </c>
      <c r="D139" s="148" t="s">
        <v>668</v>
      </c>
      <c r="E139" s="158">
        <v>4.8297599999999996E-5</v>
      </c>
      <c r="F139" s="159">
        <f t="shared" ref="F139:F156" si="14">F118</f>
        <v>4.7288043878374149</v>
      </c>
      <c r="G139" s="153">
        <f t="shared" ref="G139:G153" si="15">35/36</f>
        <v>0.97222222222222221</v>
      </c>
      <c r="H139" s="162">
        <f t="shared" ref="H139:H156" si="16">H118</f>
        <v>1.1000000000000001</v>
      </c>
      <c r="I139" s="154">
        <f t="shared" ref="I139:I156" si="17">E139*G139</f>
        <v>4.6955999999999996E-5</v>
      </c>
      <c r="J139" s="153"/>
      <c r="K139" s="155">
        <f>I139*asthmacasesvalue</f>
        <v>0.10095539999999999</v>
      </c>
      <c r="M139" s="168"/>
      <c r="N139" s="166"/>
      <c r="O139" s="169"/>
      <c r="P139" s="169"/>
    </row>
    <row r="140" spans="1:16">
      <c r="A140" s="148" t="s">
        <v>188</v>
      </c>
      <c r="B140" s="149" t="s">
        <v>658</v>
      </c>
      <c r="C140" s="149" t="s">
        <v>5</v>
      </c>
      <c r="D140" s="148" t="s">
        <v>668</v>
      </c>
      <c r="E140" s="158">
        <v>3.7699999999999999E-6</v>
      </c>
      <c r="F140" s="159">
        <f t="shared" si="14"/>
        <v>4.7288043878374149</v>
      </c>
      <c r="G140" s="153">
        <f t="shared" si="15"/>
        <v>0.97222222222222221</v>
      </c>
      <c r="H140" s="162">
        <f t="shared" si="16"/>
        <v>1.1000000000000001</v>
      </c>
      <c r="I140" s="154">
        <f t="shared" si="17"/>
        <v>3.6652777777777775E-6</v>
      </c>
      <c r="J140" s="153"/>
      <c r="K140" s="155">
        <f>I140*COPDvalue</f>
        <v>7.0190069444444433E-2</v>
      </c>
      <c r="M140" s="168"/>
      <c r="N140" s="166"/>
      <c r="O140" s="169"/>
      <c r="P140" s="169"/>
    </row>
    <row r="141" spans="1:16">
      <c r="A141" s="148" t="s">
        <v>188</v>
      </c>
      <c r="B141" s="149" t="s">
        <v>519</v>
      </c>
      <c r="C141" s="149" t="s">
        <v>5</v>
      </c>
      <c r="D141" s="148" t="s">
        <v>668</v>
      </c>
      <c r="E141" s="158">
        <v>-3.6597127413127409E-4</v>
      </c>
      <c r="F141" s="159">
        <f t="shared" si="14"/>
        <v>3.6656305802779316</v>
      </c>
      <c r="G141" s="153">
        <f t="shared" si="15"/>
        <v>0.97222222222222221</v>
      </c>
      <c r="H141" s="162">
        <f t="shared" si="16"/>
        <v>1.1000000000000001</v>
      </c>
      <c r="I141" s="154">
        <f t="shared" si="17"/>
        <v>-3.5580540540540537E-4</v>
      </c>
      <c r="J141" s="153"/>
      <c r="K141" s="155">
        <f>I141*malnutrition</f>
        <v>-3.3979416216216212</v>
      </c>
      <c r="M141" s="168"/>
      <c r="N141" s="166"/>
      <c r="O141" s="169"/>
      <c r="P141" s="169"/>
    </row>
    <row r="142" spans="1:16">
      <c r="A142" s="148" t="s">
        <v>188</v>
      </c>
      <c r="B142" s="149" t="s">
        <v>661</v>
      </c>
      <c r="C142" s="149" t="s">
        <v>5</v>
      </c>
      <c r="D142" s="148" t="s">
        <v>668</v>
      </c>
      <c r="E142" s="158">
        <v>-3.6597127413127409E-4</v>
      </c>
      <c r="F142" s="159">
        <f t="shared" si="14"/>
        <v>3.6656305802779316</v>
      </c>
      <c r="G142" s="153">
        <f t="shared" si="15"/>
        <v>0.97222222222222221</v>
      </c>
      <c r="H142" s="162">
        <f t="shared" si="16"/>
        <v>1.1000000000000001</v>
      </c>
      <c r="I142" s="154">
        <f t="shared" si="17"/>
        <v>-3.5580540540540537E-4</v>
      </c>
      <c r="J142" s="153"/>
      <c r="K142" s="155">
        <f>I142*working_capacity</f>
        <v>-20.921357837837835</v>
      </c>
      <c r="M142" s="168"/>
      <c r="N142" s="166"/>
      <c r="O142" s="169"/>
      <c r="P142" s="169"/>
    </row>
    <row r="143" spans="1:16">
      <c r="A143" s="148" t="s">
        <v>188</v>
      </c>
      <c r="B143" s="149" t="s">
        <v>1548</v>
      </c>
      <c r="C143" s="149" t="s">
        <v>5</v>
      </c>
      <c r="D143" s="148" t="s">
        <v>668</v>
      </c>
      <c r="E143" s="158">
        <v>-2.4398084942084942E-6</v>
      </c>
      <c r="F143" s="159">
        <f t="shared" si="14"/>
        <v>3.6656305802779316</v>
      </c>
      <c r="G143" s="153">
        <f t="shared" si="15"/>
        <v>0.97222222222222221</v>
      </c>
      <c r="H143" s="162">
        <f t="shared" si="16"/>
        <v>1.1000000000000001</v>
      </c>
      <c r="I143" s="154">
        <f t="shared" si="17"/>
        <v>-2.3720360360360359E-6</v>
      </c>
      <c r="J143" s="153"/>
      <c r="K143" s="155">
        <f>I143*diarrhea</f>
        <v>-1.2453189189189189E-2</v>
      </c>
      <c r="M143" s="168"/>
      <c r="N143" s="166"/>
      <c r="O143" s="169"/>
      <c r="P143" s="169"/>
    </row>
    <row r="144" spans="1:16">
      <c r="A144" s="148" t="s">
        <v>188</v>
      </c>
      <c r="B144" s="149" t="s">
        <v>160</v>
      </c>
      <c r="C144" s="149" t="s">
        <v>7</v>
      </c>
      <c r="D144" s="148" t="s">
        <v>668</v>
      </c>
      <c r="E144" s="158">
        <v>-1.6682965250965249</v>
      </c>
      <c r="F144" s="159">
        <f t="shared" si="14"/>
        <v>3.6656305802779316</v>
      </c>
      <c r="G144" s="153">
        <f t="shared" si="15"/>
        <v>0.97222222222222221</v>
      </c>
      <c r="H144" s="162">
        <f t="shared" si="16"/>
        <v>1.1000000000000001</v>
      </c>
      <c r="I144" s="154">
        <f t="shared" si="17"/>
        <v>-1.6219549549549548</v>
      </c>
      <c r="J144" s="153"/>
      <c r="K144" s="155">
        <f>I144*cropvalue</f>
        <v>-0.35683009009009004</v>
      </c>
      <c r="M144" s="168"/>
      <c r="N144" s="166"/>
      <c r="O144" s="169"/>
      <c r="P144" s="169"/>
    </row>
    <row r="145" spans="1:16">
      <c r="A145" s="148" t="s">
        <v>188</v>
      </c>
      <c r="B145" s="149" t="s">
        <v>529</v>
      </c>
      <c r="C145" s="149" t="s">
        <v>7</v>
      </c>
      <c r="D145" s="148" t="s">
        <v>668</v>
      </c>
      <c r="E145" s="158">
        <v>-0.19980416988416985</v>
      </c>
      <c r="F145" s="159">
        <f t="shared" si="14"/>
        <v>3.6656305802779316</v>
      </c>
      <c r="G145" s="153">
        <f t="shared" si="15"/>
        <v>0.97222222222222221</v>
      </c>
      <c r="H145" s="162">
        <f t="shared" si="16"/>
        <v>1.1000000000000001</v>
      </c>
      <c r="I145" s="154">
        <f t="shared" si="17"/>
        <v>-0.19425405405405402</v>
      </c>
      <c r="J145" s="153"/>
      <c r="K145" s="155">
        <f>I145*Fruitandveg_value</f>
        <v>-7.5759081081081064E-2</v>
      </c>
      <c r="M145" s="168"/>
      <c r="N145" s="166"/>
      <c r="O145" s="169"/>
      <c r="P145" s="169"/>
    </row>
    <row r="146" spans="1:16">
      <c r="A146" s="148" t="s">
        <v>188</v>
      </c>
      <c r="B146" s="149" t="s">
        <v>538</v>
      </c>
      <c r="C146" s="149" t="s">
        <v>7</v>
      </c>
      <c r="D146" s="148" t="s">
        <v>668</v>
      </c>
      <c r="E146" s="158">
        <v>-7.8710733590733592E-2</v>
      </c>
      <c r="F146" s="159">
        <f t="shared" si="14"/>
        <v>3.6656305802779316</v>
      </c>
      <c r="G146" s="153">
        <f t="shared" si="15"/>
        <v>0.97222222222222221</v>
      </c>
      <c r="H146" s="162">
        <f t="shared" si="16"/>
        <v>1.1000000000000001</v>
      </c>
      <c r="I146" s="154">
        <f t="shared" si="17"/>
        <v>-7.6524324324324322E-2</v>
      </c>
      <c r="J146" s="153"/>
      <c r="K146" s="155">
        <f>I146*fishandmeatvalue</f>
        <v>-0.16070108108108108</v>
      </c>
      <c r="M146" s="168"/>
      <c r="N146" s="166"/>
      <c r="O146" s="169"/>
      <c r="P146" s="169"/>
    </row>
    <row r="147" spans="1:16">
      <c r="A147" s="148" t="s">
        <v>188</v>
      </c>
      <c r="B147" s="148" t="s">
        <v>161</v>
      </c>
      <c r="C147" s="149" t="s">
        <v>7</v>
      </c>
      <c r="D147" s="148" t="s">
        <v>668</v>
      </c>
      <c r="E147" s="158">
        <v>0</v>
      </c>
      <c r="F147" s="159">
        <f t="shared" si="14"/>
        <v>6.3246562435360429</v>
      </c>
      <c r="G147" s="153">
        <f t="shared" si="15"/>
        <v>0.97222222222222221</v>
      </c>
      <c r="H147" s="162">
        <f t="shared" si="16"/>
        <v>1.1000000000000001</v>
      </c>
      <c r="I147" s="154">
        <f t="shared" si="17"/>
        <v>0</v>
      </c>
      <c r="J147" s="153"/>
      <c r="K147" s="155">
        <f>I147*woodvalue</f>
        <v>0</v>
      </c>
      <c r="M147" s="168"/>
      <c r="N147" s="166"/>
      <c r="O147" s="169"/>
      <c r="P147" s="169"/>
    </row>
    <row r="148" spans="1:16">
      <c r="A148" s="148" t="s">
        <v>188</v>
      </c>
      <c r="B148" s="148" t="s">
        <v>508</v>
      </c>
      <c r="C148" s="149" t="s">
        <v>7</v>
      </c>
      <c r="D148" s="148" t="s">
        <v>668</v>
      </c>
      <c r="E148" s="158">
        <v>-9.6067459459459457</v>
      </c>
      <c r="F148" s="159">
        <f t="shared" si="14"/>
        <v>3.6656305802779316</v>
      </c>
      <c r="G148" s="153">
        <f t="shared" si="15"/>
        <v>0.97222222222222221</v>
      </c>
      <c r="H148" s="162">
        <f t="shared" si="16"/>
        <v>1.1000000000000001</v>
      </c>
      <c r="I148" s="154">
        <f t="shared" si="17"/>
        <v>-9.3398918918918916</v>
      </c>
      <c r="J148" s="153"/>
      <c r="K148" s="155">
        <f>I148*drinkingwatervalue</f>
        <v>-1.8679783783783783E-2</v>
      </c>
      <c r="M148" s="168"/>
      <c r="N148" s="166"/>
      <c r="O148" s="169"/>
      <c r="P148" s="169"/>
    </row>
    <row r="149" spans="1:16">
      <c r="A149" s="148" t="s">
        <v>188</v>
      </c>
      <c r="B149" s="148" t="s">
        <v>510</v>
      </c>
      <c r="C149" s="149" t="s">
        <v>7</v>
      </c>
      <c r="D149" s="148" t="s">
        <v>668</v>
      </c>
      <c r="E149" s="158">
        <v>-19.213491891891891</v>
      </c>
      <c r="F149" s="159">
        <f t="shared" si="14"/>
        <v>3.6656305802779316</v>
      </c>
      <c r="G149" s="153">
        <f t="shared" si="15"/>
        <v>0.97222222222222221</v>
      </c>
      <c r="H149" s="162">
        <f t="shared" si="16"/>
        <v>1.1000000000000001</v>
      </c>
      <c r="I149" s="154">
        <f t="shared" si="17"/>
        <v>-18.679783783783783</v>
      </c>
      <c r="J149" s="153"/>
      <c r="K149" s="155">
        <f>I149*irrigationwatervalue</f>
        <v>-1.8679783783783783E-2</v>
      </c>
      <c r="M149" s="168"/>
      <c r="N149" s="166"/>
      <c r="O149" s="169"/>
      <c r="P149" s="169"/>
    </row>
    <row r="150" spans="1:16">
      <c r="A150" s="148" t="s">
        <v>188</v>
      </c>
      <c r="B150" s="148" t="s">
        <v>511</v>
      </c>
      <c r="C150" s="149" t="s">
        <v>487</v>
      </c>
      <c r="D150" s="148" t="s">
        <v>668</v>
      </c>
      <c r="E150" s="158">
        <v>-4.8518918918918909E-5</v>
      </c>
      <c r="F150" s="159">
        <f t="shared" si="14"/>
        <v>3.6656305802779316</v>
      </c>
      <c r="G150" s="153">
        <f t="shared" si="15"/>
        <v>0.97222222222222221</v>
      </c>
      <c r="H150" s="162">
        <f t="shared" si="16"/>
        <v>1.1000000000000001</v>
      </c>
      <c r="I150" s="154">
        <f t="shared" si="17"/>
        <v>-4.7171171171171163E-5</v>
      </c>
      <c r="J150" s="153"/>
      <c r="K150" s="155">
        <f>I150*energy_access</f>
        <v>-0.13207927927927926</v>
      </c>
      <c r="M150" s="168"/>
      <c r="N150" s="166"/>
      <c r="O150" s="169"/>
      <c r="P150" s="169"/>
    </row>
    <row r="151" spans="1:16">
      <c r="A151" s="148" t="s">
        <v>188</v>
      </c>
      <c r="B151" s="149" t="s">
        <v>513</v>
      </c>
      <c r="C151" s="149" t="s">
        <v>5</v>
      </c>
      <c r="D151" s="148" t="s">
        <v>668</v>
      </c>
      <c r="E151" s="158">
        <v>-3.0497606177606176E-6</v>
      </c>
      <c r="F151" s="159">
        <f t="shared" si="14"/>
        <v>3.6656305802779316</v>
      </c>
      <c r="G151" s="153">
        <f t="shared" si="15"/>
        <v>0.97222222222222221</v>
      </c>
      <c r="H151" s="162">
        <f t="shared" si="16"/>
        <v>1.1000000000000001</v>
      </c>
      <c r="I151" s="154">
        <f t="shared" si="17"/>
        <v>-2.965045045045045E-6</v>
      </c>
      <c r="J151" s="153"/>
      <c r="K151" s="155">
        <f>I151*housingvalue</f>
        <v>-5.9300900900900897E-3</v>
      </c>
      <c r="M151" s="169"/>
      <c r="N151" s="166"/>
      <c r="O151" s="169"/>
      <c r="P151" s="169"/>
    </row>
    <row r="152" spans="1:16">
      <c r="A152" s="148" t="s">
        <v>188</v>
      </c>
      <c r="B152" s="149" t="s">
        <v>516</v>
      </c>
      <c r="C152" s="149" t="s">
        <v>523</v>
      </c>
      <c r="D152" s="148" t="s">
        <v>668</v>
      </c>
      <c r="E152" s="158">
        <v>-3.4656370656370649E-5</v>
      </c>
      <c r="F152" s="159">
        <f t="shared" si="14"/>
        <v>3.6656305802779316</v>
      </c>
      <c r="G152" s="153">
        <f t="shared" si="15"/>
        <v>0.97222222222222221</v>
      </c>
      <c r="H152" s="162">
        <f t="shared" si="16"/>
        <v>1.1000000000000001</v>
      </c>
      <c r="I152" s="154">
        <f t="shared" si="17"/>
        <v>-3.3693693693693685E-5</v>
      </c>
      <c r="J152" s="153"/>
      <c r="K152" s="155">
        <f>I152*migrationvalue</f>
        <v>-0.84234234234234218</v>
      </c>
      <c r="M152" s="168"/>
      <c r="N152" s="166"/>
      <c r="O152" s="169"/>
      <c r="P152" s="169"/>
    </row>
    <row r="153" spans="1:16">
      <c r="A153" s="148" t="s">
        <v>188</v>
      </c>
      <c r="B153" s="148" t="s">
        <v>174</v>
      </c>
      <c r="C153" s="149" t="s">
        <v>505</v>
      </c>
      <c r="D153" s="148" t="s">
        <v>668</v>
      </c>
      <c r="E153" s="158">
        <v>-3.4656370656370654E-14</v>
      </c>
      <c r="F153" s="159">
        <f t="shared" si="14"/>
        <v>3.6656305802779316</v>
      </c>
      <c r="G153" s="153">
        <f t="shared" si="15"/>
        <v>0.97222222222222221</v>
      </c>
      <c r="H153" s="162">
        <f t="shared" si="16"/>
        <v>1.1000000000000001</v>
      </c>
      <c r="I153" s="154">
        <f t="shared" si="17"/>
        <v>-3.3693693693693689E-14</v>
      </c>
      <c r="J153" s="153"/>
      <c r="K153" s="155">
        <f>I153*speciesvalue</f>
        <v>-1.8868468468468465E-3</v>
      </c>
      <c r="M153" s="169"/>
      <c r="N153" s="166"/>
      <c r="O153" s="169"/>
      <c r="P153" s="169"/>
    </row>
    <row r="154" spans="1:16">
      <c r="A154" s="148" t="s">
        <v>188</v>
      </c>
      <c r="B154" s="148" t="s">
        <v>538</v>
      </c>
      <c r="C154" s="149" t="s">
        <v>7</v>
      </c>
      <c r="D154" s="148" t="s">
        <v>173</v>
      </c>
      <c r="E154" s="158">
        <f>I97</f>
        <v>1.8181818181818182E-3</v>
      </c>
      <c r="F154" s="159">
        <f t="shared" si="14"/>
        <v>3.6656305802779316</v>
      </c>
      <c r="G154" s="153">
        <f>64/(2*36)</f>
        <v>0.88888888888888884</v>
      </c>
      <c r="H154" s="162">
        <f t="shared" si="16"/>
        <v>1.1000000000000001</v>
      </c>
      <c r="I154" s="154">
        <f t="shared" si="17"/>
        <v>1.6161616161616162E-3</v>
      </c>
      <c r="K154" s="155">
        <f>I154*fishandmeatvalue</f>
        <v>3.393939393939394E-3</v>
      </c>
      <c r="M154" s="169"/>
      <c r="N154" s="166"/>
      <c r="O154" s="169"/>
      <c r="P154" s="169"/>
    </row>
    <row r="155" spans="1:16">
      <c r="A155" s="148" t="s">
        <v>188</v>
      </c>
      <c r="B155" s="148" t="s">
        <v>174</v>
      </c>
      <c r="C155" s="149" t="s">
        <v>505</v>
      </c>
      <c r="D155" s="148" t="s">
        <v>173</v>
      </c>
      <c r="E155" s="158">
        <f>I111</f>
        <v>1.082053410820534E-14</v>
      </c>
      <c r="F155" s="159">
        <f t="shared" si="14"/>
        <v>2.0130867471709437</v>
      </c>
      <c r="G155" s="153">
        <f>64/(2*36)</f>
        <v>0.88888888888888884</v>
      </c>
      <c r="H155" s="162">
        <f t="shared" si="16"/>
        <v>1.1000000000000001</v>
      </c>
      <c r="I155" s="154">
        <f t="shared" si="17"/>
        <v>9.6182525406269677E-15</v>
      </c>
      <c r="K155" s="155">
        <f>I155*speciesvalue</f>
        <v>5.386221422751102E-4</v>
      </c>
      <c r="M155" s="169"/>
      <c r="N155" s="166"/>
      <c r="O155" s="169"/>
      <c r="P155" s="169"/>
    </row>
    <row r="156" spans="1:16">
      <c r="A156" s="148" t="s">
        <v>188</v>
      </c>
      <c r="B156" s="149" t="s">
        <v>666</v>
      </c>
      <c r="C156" s="149" t="s">
        <v>7</v>
      </c>
      <c r="D156" s="148" t="s">
        <v>176</v>
      </c>
      <c r="E156" s="158">
        <f>I112</f>
        <v>6.981818181818181E-3</v>
      </c>
      <c r="F156" s="159">
        <f t="shared" si="14"/>
        <v>3.0941278481682999</v>
      </c>
      <c r="G156" s="153">
        <f>64/(2*36)</f>
        <v>0.88888888888888884</v>
      </c>
      <c r="H156" s="162">
        <f t="shared" si="16"/>
        <v>1.1000000000000001</v>
      </c>
      <c r="I156" s="154">
        <f t="shared" si="17"/>
        <v>6.2060606060606047E-3</v>
      </c>
      <c r="K156" s="155">
        <f>I156*CO2value</f>
        <v>8.3645520856385786E-4</v>
      </c>
      <c r="M156" s="169"/>
      <c r="N156" s="166"/>
      <c r="O156" s="169"/>
      <c r="P156" s="169"/>
    </row>
    <row r="157" spans="1:16">
      <c r="A157" s="148" t="s">
        <v>188</v>
      </c>
      <c r="B157" s="148" t="s">
        <v>159</v>
      </c>
      <c r="D157" s="148" t="s">
        <v>159</v>
      </c>
      <c r="J157" s="153"/>
      <c r="L157" s="155">
        <f>SUM(K138:K156)</f>
        <v>-30.594862973270232</v>
      </c>
      <c r="M157" s="168"/>
      <c r="N157" s="166"/>
      <c r="O157" s="169"/>
      <c r="P157" s="169"/>
    </row>
    <row r="158" spans="1:16">
      <c r="M158" s="169"/>
      <c r="N158" s="166"/>
      <c r="O158" s="169"/>
      <c r="P158" s="169"/>
    </row>
    <row r="159" spans="1:16">
      <c r="M159" s="169"/>
      <c r="N159" s="166"/>
      <c r="O159" s="169"/>
      <c r="P159" s="169"/>
    </row>
    <row r="160" spans="1:16">
      <c r="A160" s="148" t="s">
        <v>189</v>
      </c>
      <c r="B160" s="148" t="s">
        <v>4</v>
      </c>
      <c r="D160" s="148" t="s">
        <v>187</v>
      </c>
      <c r="E160" s="158">
        <v>-9.928052089575288E-5</v>
      </c>
      <c r="F160" s="159">
        <f>F138</f>
        <v>3.6656305802779316</v>
      </c>
      <c r="G160" s="153">
        <f>18/17</f>
        <v>1.0588235294117647</v>
      </c>
      <c r="H160" s="162">
        <f>H138</f>
        <v>1.1000000000000001</v>
      </c>
      <c r="I160" s="154">
        <f>E160*G160</f>
        <v>-1.0512055153667952E-4</v>
      </c>
      <c r="J160" s="153"/>
      <c r="K160" s="155">
        <f>YOLLvalue*I160</f>
        <v>-5.2560275768339766</v>
      </c>
      <c r="M160" s="168"/>
      <c r="N160" s="166"/>
      <c r="O160" s="169"/>
      <c r="P160" s="169"/>
    </row>
    <row r="161" spans="1:16">
      <c r="A161" s="148" t="s">
        <v>189</v>
      </c>
      <c r="B161" s="149" t="s">
        <v>558</v>
      </c>
      <c r="C161" s="149" t="s">
        <v>5</v>
      </c>
      <c r="D161" s="148" t="s">
        <v>668</v>
      </c>
      <c r="E161" s="158">
        <v>4.8297599999999996E-5</v>
      </c>
      <c r="F161" s="159">
        <f t="shared" ref="F161:F177" si="18">F139</f>
        <v>4.7288043878374149</v>
      </c>
      <c r="G161" s="153">
        <f t="shared" ref="G161:G175" si="19">18/17</f>
        <v>1.0588235294117647</v>
      </c>
      <c r="H161" s="162">
        <f t="shared" ref="H161:H178" si="20">H139</f>
        <v>1.1000000000000001</v>
      </c>
      <c r="I161" s="154">
        <f t="shared" ref="I161:I180" si="21">E161*G161</f>
        <v>5.1138635294117643E-5</v>
      </c>
      <c r="J161" s="153"/>
      <c r="K161" s="155">
        <f>I161*asthmacasesvalue</f>
        <v>0.10994806588235294</v>
      </c>
      <c r="M161" s="168"/>
      <c r="N161" s="166"/>
      <c r="O161" s="169"/>
      <c r="P161" s="169"/>
    </row>
    <row r="162" spans="1:16">
      <c r="A162" s="148" t="s">
        <v>189</v>
      </c>
      <c r="B162" s="149" t="s">
        <v>658</v>
      </c>
      <c r="C162" s="149" t="s">
        <v>5</v>
      </c>
      <c r="D162" s="148" t="s">
        <v>668</v>
      </c>
      <c r="E162" s="158">
        <v>3.7699999999999999E-6</v>
      </c>
      <c r="F162" s="159">
        <f t="shared" si="18"/>
        <v>4.7288043878374149</v>
      </c>
      <c r="G162" s="153">
        <f t="shared" si="19"/>
        <v>1.0588235294117647</v>
      </c>
      <c r="H162" s="162">
        <f t="shared" si="20"/>
        <v>1.1000000000000001</v>
      </c>
      <c r="I162" s="154">
        <f t="shared" si="21"/>
        <v>3.9917647058823532E-6</v>
      </c>
      <c r="J162" s="153"/>
      <c r="K162" s="155">
        <f>I162*COPDvalue</f>
        <v>7.6442294117647067E-2</v>
      </c>
      <c r="M162" s="168"/>
      <c r="N162" s="166"/>
      <c r="O162" s="169"/>
      <c r="P162" s="169"/>
    </row>
    <row r="163" spans="1:16">
      <c r="A163" s="148" t="s">
        <v>189</v>
      </c>
      <c r="B163" s="149" t="s">
        <v>519</v>
      </c>
      <c r="C163" s="149" t="s">
        <v>5</v>
      </c>
      <c r="D163" s="148" t="s">
        <v>668</v>
      </c>
      <c r="E163" s="158">
        <v>-3.6597127413127409E-4</v>
      </c>
      <c r="F163" s="159">
        <f t="shared" si="18"/>
        <v>3.6656305802779316</v>
      </c>
      <c r="G163" s="153">
        <f t="shared" si="19"/>
        <v>1.0588235294117647</v>
      </c>
      <c r="H163" s="162">
        <f t="shared" si="20"/>
        <v>1.1000000000000001</v>
      </c>
      <c r="I163" s="154">
        <f t="shared" si="21"/>
        <v>-3.8749899613899611E-4</v>
      </c>
      <c r="J163" s="153"/>
      <c r="K163" s="155">
        <f>I163*malnutrition</f>
        <v>-3.7006154131274127</v>
      </c>
      <c r="M163" s="168"/>
      <c r="N163" s="166"/>
      <c r="O163" s="169"/>
      <c r="P163" s="169"/>
    </row>
    <row r="164" spans="1:16">
      <c r="A164" s="148" t="s">
        <v>189</v>
      </c>
      <c r="B164" s="149" t="s">
        <v>661</v>
      </c>
      <c r="C164" s="149" t="s">
        <v>5</v>
      </c>
      <c r="D164" s="148" t="s">
        <v>668</v>
      </c>
      <c r="E164" s="158">
        <v>-3.6597127413127409E-4</v>
      </c>
      <c r="F164" s="159">
        <f t="shared" si="18"/>
        <v>3.6656305802779316</v>
      </c>
      <c r="G164" s="153">
        <f t="shared" si="19"/>
        <v>1.0588235294117647</v>
      </c>
      <c r="H164" s="162">
        <f t="shared" si="20"/>
        <v>1.1000000000000001</v>
      </c>
      <c r="I164" s="154">
        <f t="shared" si="21"/>
        <v>-3.8749899613899611E-4</v>
      </c>
      <c r="J164" s="153"/>
      <c r="K164" s="155">
        <f>I164*working_capacity</f>
        <v>-22.784940972972972</v>
      </c>
      <c r="M164" s="168"/>
      <c r="N164" s="166"/>
      <c r="O164" s="169"/>
      <c r="P164" s="169"/>
    </row>
    <row r="165" spans="1:16">
      <c r="A165" s="148" t="s">
        <v>189</v>
      </c>
      <c r="B165" s="149" t="s">
        <v>1548</v>
      </c>
      <c r="C165" s="149" t="s">
        <v>5</v>
      </c>
      <c r="D165" s="148" t="s">
        <v>668</v>
      </c>
      <c r="E165" s="158">
        <v>-2.4398084942084942E-6</v>
      </c>
      <c r="F165" s="159">
        <f t="shared" si="18"/>
        <v>3.6656305802779316</v>
      </c>
      <c r="G165" s="153">
        <f t="shared" si="19"/>
        <v>1.0588235294117647</v>
      </c>
      <c r="H165" s="162">
        <f t="shared" si="20"/>
        <v>1.1000000000000001</v>
      </c>
      <c r="I165" s="154">
        <f t="shared" si="21"/>
        <v>-2.5833266409266409E-6</v>
      </c>
      <c r="J165" s="153"/>
      <c r="K165" s="155">
        <f>I165*diarrhea</f>
        <v>-1.3562464864864865E-2</v>
      </c>
      <c r="M165" s="168"/>
      <c r="N165" s="166"/>
      <c r="O165" s="169"/>
      <c r="P165" s="169"/>
    </row>
    <row r="166" spans="1:16">
      <c r="A166" s="148" t="s">
        <v>189</v>
      </c>
      <c r="B166" s="149" t="s">
        <v>160</v>
      </c>
      <c r="C166" s="149" t="s">
        <v>7</v>
      </c>
      <c r="D166" s="148" t="s">
        <v>668</v>
      </c>
      <c r="E166" s="158">
        <v>-1.6682965250965249</v>
      </c>
      <c r="F166" s="159">
        <f t="shared" si="18"/>
        <v>3.6656305802779316</v>
      </c>
      <c r="G166" s="153">
        <f t="shared" si="19"/>
        <v>1.0588235294117647</v>
      </c>
      <c r="H166" s="162">
        <f t="shared" si="20"/>
        <v>1.1000000000000001</v>
      </c>
      <c r="I166" s="154">
        <f t="shared" si="21"/>
        <v>-1.7664316148080852</v>
      </c>
      <c r="J166" s="153"/>
      <c r="K166" s="155">
        <f>I166*cropvalue</f>
        <v>-0.38861495525777873</v>
      </c>
      <c r="M166" s="168"/>
      <c r="N166" s="166"/>
      <c r="O166" s="169"/>
      <c r="P166" s="169"/>
    </row>
    <row r="167" spans="1:16">
      <c r="A167" s="148" t="s">
        <v>189</v>
      </c>
      <c r="B167" s="149" t="s">
        <v>529</v>
      </c>
      <c r="C167" s="149" t="s">
        <v>7</v>
      </c>
      <c r="D167" s="148" t="s">
        <v>668</v>
      </c>
      <c r="E167" s="158">
        <v>-0.19980416988416985</v>
      </c>
      <c r="F167" s="159">
        <f t="shared" si="18"/>
        <v>3.6656305802779316</v>
      </c>
      <c r="G167" s="153">
        <f t="shared" si="19"/>
        <v>1.0588235294117647</v>
      </c>
      <c r="H167" s="162">
        <f t="shared" si="20"/>
        <v>1.1000000000000001</v>
      </c>
      <c r="I167" s="154">
        <f t="shared" si="21"/>
        <v>-0.21155735634794456</v>
      </c>
      <c r="J167" s="153"/>
      <c r="K167" s="155">
        <f>I167*Fruitandveg_value</f>
        <v>-8.2507368975698381E-2</v>
      </c>
      <c r="M167" s="168"/>
      <c r="N167" s="166"/>
      <c r="O167" s="169"/>
      <c r="P167" s="169"/>
    </row>
    <row r="168" spans="1:16">
      <c r="A168" s="148" t="s">
        <v>189</v>
      </c>
      <c r="B168" s="149" t="s">
        <v>538</v>
      </c>
      <c r="C168" s="149" t="s">
        <v>7</v>
      </c>
      <c r="D168" s="148" t="s">
        <v>668</v>
      </c>
      <c r="E168" s="158">
        <v>-7.8710733590733592E-2</v>
      </c>
      <c r="F168" s="159">
        <f t="shared" si="18"/>
        <v>3.6656305802779316</v>
      </c>
      <c r="G168" s="153">
        <f t="shared" si="19"/>
        <v>1.0588235294117647</v>
      </c>
      <c r="H168" s="162">
        <f t="shared" si="20"/>
        <v>1.1000000000000001</v>
      </c>
      <c r="I168" s="154">
        <f t="shared" si="21"/>
        <v>-8.3340776743129688E-2</v>
      </c>
      <c r="J168" s="153"/>
      <c r="K168" s="155">
        <f>I168*fishandmeatvalue</f>
        <v>-0.17501563116057237</v>
      </c>
      <c r="M168" s="168"/>
      <c r="N168" s="166"/>
      <c r="O168" s="169"/>
      <c r="P168" s="169"/>
    </row>
    <row r="169" spans="1:16">
      <c r="A169" s="148" t="s">
        <v>189</v>
      </c>
      <c r="B169" s="148" t="s">
        <v>161</v>
      </c>
      <c r="C169" s="149" t="s">
        <v>7</v>
      </c>
      <c r="D169" s="148" t="s">
        <v>668</v>
      </c>
      <c r="E169" s="158">
        <v>0</v>
      </c>
      <c r="F169" s="159">
        <f t="shared" si="18"/>
        <v>6.3246562435360429</v>
      </c>
      <c r="G169" s="153">
        <f t="shared" si="19"/>
        <v>1.0588235294117647</v>
      </c>
      <c r="H169" s="162">
        <f t="shared" si="20"/>
        <v>1.1000000000000001</v>
      </c>
      <c r="I169" s="154">
        <f t="shared" si="21"/>
        <v>0</v>
      </c>
      <c r="J169" s="153"/>
      <c r="K169" s="155">
        <f>I169*woodvalue</f>
        <v>0</v>
      </c>
      <c r="M169" s="168"/>
      <c r="N169" s="166"/>
      <c r="O169" s="169"/>
      <c r="P169" s="169"/>
    </row>
    <row r="170" spans="1:16">
      <c r="A170" s="148" t="s">
        <v>189</v>
      </c>
      <c r="B170" s="148" t="s">
        <v>508</v>
      </c>
      <c r="C170" s="149" t="s">
        <v>7</v>
      </c>
      <c r="D170" s="148" t="s">
        <v>668</v>
      </c>
      <c r="E170" s="158">
        <v>-9.6067459459459457</v>
      </c>
      <c r="F170" s="159">
        <f t="shared" si="18"/>
        <v>3.6656305802779316</v>
      </c>
      <c r="G170" s="153">
        <f t="shared" si="19"/>
        <v>1.0588235294117647</v>
      </c>
      <c r="H170" s="162">
        <f t="shared" si="20"/>
        <v>1.1000000000000001</v>
      </c>
      <c r="I170" s="154">
        <f t="shared" si="21"/>
        <v>-10.171848648648648</v>
      </c>
      <c r="J170" s="153"/>
      <c r="K170" s="155">
        <f>I170*drinkingwatervalue</f>
        <v>-2.0343697297297299E-2</v>
      </c>
      <c r="M170" s="168"/>
      <c r="N170" s="166"/>
      <c r="O170" s="169"/>
      <c r="P170" s="169"/>
    </row>
    <row r="171" spans="1:16">
      <c r="A171" s="148" t="s">
        <v>189</v>
      </c>
      <c r="B171" s="148" t="s">
        <v>510</v>
      </c>
      <c r="C171" s="149" t="s">
        <v>7</v>
      </c>
      <c r="D171" s="148" t="s">
        <v>668</v>
      </c>
      <c r="E171" s="158">
        <v>-19.213491891891891</v>
      </c>
      <c r="F171" s="159">
        <f t="shared" si="18"/>
        <v>3.6656305802779316</v>
      </c>
      <c r="G171" s="153">
        <f t="shared" si="19"/>
        <v>1.0588235294117647</v>
      </c>
      <c r="H171" s="162">
        <f t="shared" si="20"/>
        <v>1.1000000000000001</v>
      </c>
      <c r="I171" s="154">
        <f t="shared" si="21"/>
        <v>-20.343697297297297</v>
      </c>
      <c r="J171" s="153"/>
      <c r="K171" s="155">
        <f>I171*irrigationwatervalue</f>
        <v>-2.0343697297297299E-2</v>
      </c>
      <c r="M171" s="168"/>
      <c r="N171" s="166"/>
      <c r="O171" s="169"/>
      <c r="P171" s="169"/>
    </row>
    <row r="172" spans="1:16">
      <c r="A172" s="148" t="s">
        <v>189</v>
      </c>
      <c r="B172" s="148" t="s">
        <v>511</v>
      </c>
      <c r="C172" s="149" t="s">
        <v>487</v>
      </c>
      <c r="D172" s="148" t="s">
        <v>668</v>
      </c>
      <c r="E172" s="158">
        <v>-4.8518918918918909E-5</v>
      </c>
      <c r="F172" s="159">
        <f t="shared" si="18"/>
        <v>3.6656305802779316</v>
      </c>
      <c r="G172" s="153">
        <f t="shared" si="19"/>
        <v>1.0588235294117647</v>
      </c>
      <c r="H172" s="162">
        <f t="shared" si="20"/>
        <v>1.1000000000000001</v>
      </c>
      <c r="I172" s="154">
        <f t="shared" si="21"/>
        <v>-5.1372972972972965E-5</v>
      </c>
      <c r="J172" s="153"/>
      <c r="K172" s="155">
        <f>I172*energy_access</f>
        <v>-0.14384432432432431</v>
      </c>
      <c r="M172" s="168"/>
      <c r="N172" s="166"/>
      <c r="O172" s="169"/>
      <c r="P172" s="169"/>
    </row>
    <row r="173" spans="1:16">
      <c r="A173" s="148" t="s">
        <v>189</v>
      </c>
      <c r="B173" s="149" t="s">
        <v>513</v>
      </c>
      <c r="C173" s="149" t="s">
        <v>5</v>
      </c>
      <c r="D173" s="148" t="s">
        <v>668</v>
      </c>
      <c r="E173" s="158">
        <v>-3.0497606177606176E-6</v>
      </c>
      <c r="F173" s="159">
        <f t="shared" si="18"/>
        <v>3.6656305802779316</v>
      </c>
      <c r="G173" s="153">
        <f t="shared" si="19"/>
        <v>1.0588235294117647</v>
      </c>
      <c r="H173" s="162">
        <f t="shared" si="20"/>
        <v>1.1000000000000001</v>
      </c>
      <c r="I173" s="154">
        <f t="shared" si="21"/>
        <v>-3.2291583011583009E-6</v>
      </c>
      <c r="J173" s="153"/>
      <c r="K173" s="155">
        <f>I173*housingvalue</f>
        <v>-6.4583166023166015E-3</v>
      </c>
      <c r="M173" s="168"/>
      <c r="N173" s="166"/>
      <c r="O173" s="169"/>
      <c r="P173" s="169"/>
    </row>
    <row r="174" spans="1:16">
      <c r="A174" s="148" t="s">
        <v>189</v>
      </c>
      <c r="B174" s="149" t="s">
        <v>516</v>
      </c>
      <c r="C174" s="149" t="s">
        <v>523</v>
      </c>
      <c r="D174" s="148" t="s">
        <v>668</v>
      </c>
      <c r="E174" s="158">
        <v>-3.4656370656370649E-5</v>
      </c>
      <c r="F174" s="159">
        <f t="shared" si="18"/>
        <v>3.6656305802779316</v>
      </c>
      <c r="G174" s="153">
        <f t="shared" si="19"/>
        <v>1.0588235294117647</v>
      </c>
      <c r="H174" s="162">
        <f t="shared" si="20"/>
        <v>1.1000000000000001</v>
      </c>
      <c r="I174" s="154">
        <f t="shared" si="21"/>
        <v>-3.6694980694980686E-5</v>
      </c>
      <c r="J174" s="153"/>
      <c r="K174" s="155">
        <f>I174*migrationvalue</f>
        <v>-0.91737451737451714</v>
      </c>
      <c r="M174" s="168"/>
      <c r="N174" s="166"/>
      <c r="O174" s="169"/>
      <c r="P174" s="169"/>
    </row>
    <row r="175" spans="1:16">
      <c r="A175" s="148" t="s">
        <v>189</v>
      </c>
      <c r="B175" s="148" t="s">
        <v>174</v>
      </c>
      <c r="C175" s="149" t="s">
        <v>505</v>
      </c>
      <c r="D175" s="148" t="s">
        <v>668</v>
      </c>
      <c r="E175" s="158">
        <v>-3.4656370656370654E-14</v>
      </c>
      <c r="F175" s="159">
        <f t="shared" si="18"/>
        <v>3.6656305802779316</v>
      </c>
      <c r="G175" s="153">
        <f t="shared" si="19"/>
        <v>1.0588235294117647</v>
      </c>
      <c r="H175" s="162">
        <f t="shared" si="20"/>
        <v>1.1000000000000001</v>
      </c>
      <c r="I175" s="154">
        <f t="shared" si="21"/>
        <v>-3.6694980694980695E-14</v>
      </c>
      <c r="J175" s="153"/>
      <c r="K175" s="155">
        <f>I175*speciesvalue</f>
        <v>-2.054918918918919E-3</v>
      </c>
      <c r="M175" s="168"/>
      <c r="N175" s="166"/>
      <c r="O175" s="169"/>
      <c r="P175" s="169"/>
    </row>
    <row r="176" spans="1:16">
      <c r="A176" s="148" t="s">
        <v>189</v>
      </c>
      <c r="B176" s="148" t="s">
        <v>538</v>
      </c>
      <c r="C176" s="149" t="s">
        <v>7</v>
      </c>
      <c r="D176" s="148" t="s">
        <v>173</v>
      </c>
      <c r="E176" s="158">
        <f>I97</f>
        <v>1.8181818181818182E-3</v>
      </c>
      <c r="F176" s="159">
        <f t="shared" si="18"/>
        <v>3.6656305802779316</v>
      </c>
      <c r="G176" s="153">
        <f>64/(2*17)</f>
        <v>1.8823529411764706</v>
      </c>
      <c r="H176" s="162">
        <f t="shared" si="20"/>
        <v>1.1000000000000001</v>
      </c>
      <c r="I176" s="154">
        <f t="shared" si="21"/>
        <v>3.4224598930481282E-3</v>
      </c>
      <c r="J176" s="153"/>
      <c r="K176" s="155">
        <f>I176*fishandmeatvalue</f>
        <v>7.1871657754010694E-3</v>
      </c>
      <c r="M176" s="168"/>
      <c r="N176" s="166"/>
      <c r="O176" s="169"/>
      <c r="P176" s="169"/>
    </row>
    <row r="177" spans="1:16">
      <c r="A177" s="148" t="s">
        <v>189</v>
      </c>
      <c r="B177" s="148" t="s">
        <v>174</v>
      </c>
      <c r="C177" s="149" t="s">
        <v>505</v>
      </c>
      <c r="D177" s="148" t="s">
        <v>173</v>
      </c>
      <c r="E177" s="158">
        <f>I111</f>
        <v>1.082053410820534E-14</v>
      </c>
      <c r="F177" s="159">
        <f t="shared" si="18"/>
        <v>2.0130867471709437</v>
      </c>
      <c r="G177" s="153">
        <f>64/(2*17)</f>
        <v>1.8823529411764706</v>
      </c>
      <c r="H177" s="162">
        <f t="shared" si="20"/>
        <v>1.1000000000000001</v>
      </c>
      <c r="I177" s="154">
        <f t="shared" si="21"/>
        <v>2.036806420368064E-14</v>
      </c>
      <c r="J177" s="153"/>
      <c r="K177" s="155">
        <f>I177*speciesvalue</f>
        <v>1.1406115954061158E-3</v>
      </c>
      <c r="M177" s="168"/>
      <c r="N177" s="166"/>
      <c r="O177" s="169"/>
      <c r="P177" s="169"/>
    </row>
    <row r="178" spans="1:16">
      <c r="A178" s="148" t="s">
        <v>189</v>
      </c>
      <c r="B178" s="148" t="s">
        <v>538</v>
      </c>
      <c r="D178" s="148" t="s">
        <v>190</v>
      </c>
      <c r="E178" s="158">
        <f>I58</f>
        <v>-2.4216923796166435E-4</v>
      </c>
      <c r="F178" s="159">
        <f>EXP(SQRT(LN(F58)^2+LN(H58)^2))</f>
        <v>3.6656305802779316</v>
      </c>
      <c r="G178" s="153">
        <f>46/17</f>
        <v>2.7058823529411766</v>
      </c>
      <c r="H178" s="162">
        <f t="shared" si="20"/>
        <v>1.1000000000000001</v>
      </c>
      <c r="I178" s="154">
        <f t="shared" si="21"/>
        <v>-6.5528146742568005E-4</v>
      </c>
      <c r="K178" s="155">
        <f>I178*fishandmeatvalue</f>
        <v>-1.3760910815939281E-3</v>
      </c>
      <c r="M178" s="169"/>
      <c r="N178" s="166"/>
      <c r="O178" s="169"/>
      <c r="P178" s="169"/>
    </row>
    <row r="179" spans="1:16">
      <c r="A179" s="148" t="s">
        <v>189</v>
      </c>
      <c r="B179" s="148" t="s">
        <v>161</v>
      </c>
      <c r="D179" s="148" t="s">
        <v>190</v>
      </c>
      <c r="E179" s="161">
        <f>E61</f>
        <v>-2.7086956521739136</v>
      </c>
      <c r="F179" s="162">
        <f>F61</f>
        <v>2</v>
      </c>
      <c r="G179" s="153">
        <f>46/17</f>
        <v>2.7058823529411766</v>
      </c>
      <c r="H179" s="162">
        <v>1.1000000000000001</v>
      </c>
      <c r="I179" s="154">
        <f t="shared" si="21"/>
        <v>-7.3294117647058847</v>
      </c>
      <c r="K179" s="155">
        <f>I179*woodvalue</f>
        <v>-0.29317647058823537</v>
      </c>
      <c r="M179" s="169"/>
      <c r="N179" s="166"/>
      <c r="O179" s="169"/>
      <c r="P179" s="169"/>
    </row>
    <row r="180" spans="1:16">
      <c r="A180" s="148" t="s">
        <v>189</v>
      </c>
      <c r="B180" s="148" t="s">
        <v>174</v>
      </c>
      <c r="D180" s="148" t="s">
        <v>172</v>
      </c>
      <c r="E180" s="158">
        <f>I69</f>
        <v>1.3744740532959327E-14</v>
      </c>
      <c r="F180" s="159">
        <f>EXP(SQRT(LN(F69)^2+LN(H69)^2))</f>
        <v>4.0996554135615177</v>
      </c>
      <c r="G180" s="153">
        <f>46/17</f>
        <v>2.7058823529411766</v>
      </c>
      <c r="H180" s="162">
        <v>1.1000000000000001</v>
      </c>
      <c r="I180" s="154">
        <f t="shared" si="21"/>
        <v>3.7191650853889944E-14</v>
      </c>
      <c r="K180" s="155">
        <f>I180*speciesvalue</f>
        <v>2.082732447817837E-3</v>
      </c>
      <c r="M180" s="169"/>
      <c r="N180" s="166"/>
      <c r="O180" s="169"/>
      <c r="P180" s="169"/>
    </row>
    <row r="181" spans="1:16">
      <c r="A181" s="148" t="s">
        <v>189</v>
      </c>
      <c r="B181" s="148" t="s">
        <v>159</v>
      </c>
      <c r="D181" s="148" t="s">
        <v>159</v>
      </c>
      <c r="L181" s="155">
        <f>SUM(K160:K180)</f>
        <v>-33.609455546859166</v>
      </c>
      <c r="M181" s="169"/>
      <c r="N181" s="166"/>
      <c r="O181" s="169"/>
      <c r="P181" s="169"/>
    </row>
    <row r="182" spans="1:16">
      <c r="M182" s="169"/>
      <c r="N182" s="166"/>
      <c r="O182" s="169"/>
      <c r="P182" s="169"/>
    </row>
    <row r="183" spans="1:16">
      <c r="I183" s="153"/>
      <c r="M183" s="169"/>
      <c r="N183" s="166"/>
      <c r="O183" s="169"/>
      <c r="P183" s="169"/>
    </row>
    <row r="184" spans="1:16">
      <c r="A184" s="148" t="s">
        <v>1408</v>
      </c>
      <c r="B184" s="148" t="s">
        <v>1407</v>
      </c>
      <c r="D184" s="148" t="s">
        <v>258</v>
      </c>
      <c r="E184" s="153">
        <v>100000</v>
      </c>
      <c r="F184" s="148">
        <v>3</v>
      </c>
      <c r="G184" s="153">
        <f>1/7630000</f>
        <v>1.3106159895150722E-7</v>
      </c>
      <c r="H184" s="148">
        <v>2</v>
      </c>
      <c r="I184" s="154">
        <f>E184*G184</f>
        <v>1.3106159895150722E-2</v>
      </c>
      <c r="J184" s="153"/>
      <c r="K184" s="155">
        <f>I184*Intellectualdisabilityvalue</f>
        <v>20.314547837483619</v>
      </c>
      <c r="M184" s="169"/>
      <c r="N184" s="166"/>
      <c r="O184" s="169"/>
      <c r="P184" s="169"/>
    </row>
    <row r="185" spans="1:16">
      <c r="A185" s="148" t="s">
        <v>1408</v>
      </c>
      <c r="B185" s="148" t="s">
        <v>159</v>
      </c>
      <c r="D185" s="148" t="s">
        <v>159</v>
      </c>
      <c r="L185" s="155">
        <f>SUM(K184:K184)</f>
        <v>20.314547837483619</v>
      </c>
      <c r="M185" s="169"/>
      <c r="N185" s="166"/>
      <c r="O185" s="169"/>
      <c r="P185" s="169"/>
    </row>
    <row r="186" spans="1:16">
      <c r="I186" s="153"/>
      <c r="M186" s="169"/>
      <c r="N186" s="166"/>
      <c r="O186" s="169"/>
      <c r="P186" s="169"/>
    </row>
    <row r="187" spans="1:16">
      <c r="A187" s="148" t="s">
        <v>1409</v>
      </c>
      <c r="B187" s="148" t="s">
        <v>1407</v>
      </c>
      <c r="D187" s="148" t="s">
        <v>258</v>
      </c>
      <c r="E187" s="153">
        <v>100000</v>
      </c>
      <c r="F187" s="148">
        <v>3</v>
      </c>
      <c r="G187" s="153">
        <f>1/7630000</f>
        <v>1.3106159895150722E-7</v>
      </c>
      <c r="H187" s="148">
        <v>2</v>
      </c>
      <c r="I187" s="154">
        <f>E187*G187</f>
        <v>1.3106159895150722E-2</v>
      </c>
      <c r="J187" s="153"/>
      <c r="K187" s="155">
        <f>I187*Intellectualdisabilityvalue</f>
        <v>20.314547837483619</v>
      </c>
      <c r="M187" s="169"/>
      <c r="N187" s="166"/>
      <c r="O187" s="169"/>
      <c r="P187" s="169"/>
    </row>
    <row r="188" spans="1:16">
      <c r="A188" s="148" t="s">
        <v>1409</v>
      </c>
      <c r="B188" s="148" t="s">
        <v>93</v>
      </c>
      <c r="C188" s="148" t="s">
        <v>1410</v>
      </c>
      <c r="D188" s="148" t="s">
        <v>1411</v>
      </c>
      <c r="E188" s="148">
        <v>1</v>
      </c>
      <c r="F188" s="148">
        <v>1</v>
      </c>
      <c r="G188" s="148">
        <v>1</v>
      </c>
      <c r="H188" s="148">
        <v>1</v>
      </c>
      <c r="I188" s="154">
        <f>E188*G188</f>
        <v>1</v>
      </c>
      <c r="J188" s="153"/>
      <c r="K188" s="155">
        <f>I188*Hg_orevalue</f>
        <v>54298.507462686561</v>
      </c>
      <c r="M188" s="169"/>
      <c r="N188" s="166"/>
      <c r="O188" s="169"/>
      <c r="P188" s="169"/>
    </row>
    <row r="189" spans="1:16">
      <c r="A189" s="148" t="s">
        <v>1409</v>
      </c>
      <c r="B189" s="148" t="s">
        <v>159</v>
      </c>
      <c r="D189" s="148" t="s">
        <v>159</v>
      </c>
      <c r="L189" s="155">
        <f>SUM(K187:K188)</f>
        <v>54318.822010524047</v>
      </c>
      <c r="M189" s="169"/>
      <c r="N189" s="166"/>
      <c r="O189" s="169"/>
      <c r="P189" s="169"/>
    </row>
    <row r="190" spans="1:16">
      <c r="I190" s="153"/>
      <c r="M190" s="169"/>
      <c r="N190" s="166"/>
      <c r="O190" s="169"/>
      <c r="P190" s="169"/>
    </row>
    <row r="191" spans="1:16">
      <c r="I191" s="153"/>
      <c r="J191" s="153"/>
      <c r="M191" s="168"/>
      <c r="N191" s="166"/>
      <c r="O191" s="169"/>
      <c r="P191" s="169"/>
    </row>
    <row r="192" spans="1:16">
      <c r="A192" s="148" t="s">
        <v>1525</v>
      </c>
      <c r="B192" s="148" t="s">
        <v>4</v>
      </c>
      <c r="C192" s="149" t="s">
        <v>5</v>
      </c>
      <c r="D192" s="148" t="s">
        <v>668</v>
      </c>
      <c r="E192" s="158">
        <f>E117</f>
        <v>-9.928052089575288E-5</v>
      </c>
      <c r="F192" s="159">
        <f>F117</f>
        <v>3.6656305802779316</v>
      </c>
      <c r="G192" s="153">
        <f>0.89</f>
        <v>0.89</v>
      </c>
      <c r="H192" s="162">
        <f>H117</f>
        <v>1.1000000000000001</v>
      </c>
      <c r="I192" s="154">
        <f>E192*G192</f>
        <v>-8.835966359722006E-5</v>
      </c>
      <c r="J192" s="153"/>
      <c r="K192" s="155">
        <f>I192*YOLLvalue</f>
        <v>-4.417983179861003</v>
      </c>
      <c r="M192" s="168"/>
      <c r="N192" s="166"/>
      <c r="O192" s="169"/>
      <c r="P192" s="169"/>
    </row>
    <row r="193" spans="1:16">
      <c r="A193" s="148" t="s">
        <v>1525</v>
      </c>
      <c r="B193" s="149" t="s">
        <v>558</v>
      </c>
      <c r="C193" s="149" t="s">
        <v>5</v>
      </c>
      <c r="D193" s="148" t="s">
        <v>668</v>
      </c>
      <c r="E193" s="158">
        <f t="shared" ref="E193:F208" si="22">E118</f>
        <v>4.8297599999999996E-5</v>
      </c>
      <c r="F193" s="159">
        <f t="shared" si="22"/>
        <v>4.7288043878374149</v>
      </c>
      <c r="G193" s="153">
        <f>0.89</f>
        <v>0.89</v>
      </c>
      <c r="H193" s="162">
        <f t="shared" ref="H193:H210" si="23">H118</f>
        <v>1.1000000000000001</v>
      </c>
      <c r="I193" s="154">
        <f t="shared" ref="I193:I210" si="24">E193*G193</f>
        <v>4.2984863999999997E-5</v>
      </c>
      <c r="J193" s="153"/>
      <c r="K193" s="155">
        <f>I193*asthmacasesvalue</f>
        <v>9.2417457599999989E-2</v>
      </c>
      <c r="M193" s="168"/>
      <c r="N193" s="166"/>
      <c r="O193" s="169"/>
      <c r="P193" s="169"/>
    </row>
    <row r="194" spans="1:16">
      <c r="A194" s="148" t="s">
        <v>1525</v>
      </c>
      <c r="B194" s="149" t="s">
        <v>658</v>
      </c>
      <c r="C194" s="149" t="s">
        <v>5</v>
      </c>
      <c r="D194" s="148" t="s">
        <v>668</v>
      </c>
      <c r="E194" s="158">
        <f t="shared" si="22"/>
        <v>3.7699999999999999E-6</v>
      </c>
      <c r="F194" s="159">
        <f t="shared" si="22"/>
        <v>4.7288043878374149</v>
      </c>
      <c r="G194" s="153">
        <f t="shared" ref="G194:G207" si="25">0.89</f>
        <v>0.89</v>
      </c>
      <c r="H194" s="162">
        <f t="shared" si="23"/>
        <v>1.1000000000000001</v>
      </c>
      <c r="I194" s="154">
        <f t="shared" si="24"/>
        <v>3.3552999999999999E-6</v>
      </c>
      <c r="J194" s="153"/>
      <c r="K194" s="155">
        <f>I194*COPDvalue</f>
        <v>6.4253994999999994E-2</v>
      </c>
      <c r="M194" s="168"/>
      <c r="N194" s="166"/>
      <c r="O194" s="169"/>
      <c r="P194" s="169"/>
    </row>
    <row r="195" spans="1:16">
      <c r="A195" s="148" t="s">
        <v>1525</v>
      </c>
      <c r="B195" s="149" t="s">
        <v>519</v>
      </c>
      <c r="C195" s="149" t="s">
        <v>5</v>
      </c>
      <c r="D195" s="148" t="s">
        <v>668</v>
      </c>
      <c r="E195" s="158">
        <f t="shared" si="22"/>
        <v>-3.6597127413127409E-4</v>
      </c>
      <c r="F195" s="159">
        <f t="shared" si="22"/>
        <v>3.6656305802779316</v>
      </c>
      <c r="G195" s="153">
        <f t="shared" si="25"/>
        <v>0.89</v>
      </c>
      <c r="H195" s="162">
        <f t="shared" si="23"/>
        <v>1.1000000000000001</v>
      </c>
      <c r="I195" s="154">
        <f t="shared" si="24"/>
        <v>-3.2571443397683397E-4</v>
      </c>
      <c r="J195" s="153"/>
      <c r="K195" s="155">
        <f>I195*malnutrition</f>
        <v>-3.1105728444787646</v>
      </c>
      <c r="M195" s="169"/>
      <c r="N195" s="166"/>
      <c r="O195" s="169"/>
      <c r="P195" s="169"/>
    </row>
    <row r="196" spans="1:16">
      <c r="A196" s="148" t="s">
        <v>1525</v>
      </c>
      <c r="B196" s="149" t="s">
        <v>661</v>
      </c>
      <c r="C196" s="149" t="s">
        <v>5</v>
      </c>
      <c r="D196" s="148" t="s">
        <v>668</v>
      </c>
      <c r="E196" s="158">
        <f t="shared" si="22"/>
        <v>-3.6597127413127409E-4</v>
      </c>
      <c r="F196" s="159">
        <f t="shared" si="22"/>
        <v>3.6656305802779316</v>
      </c>
      <c r="G196" s="153">
        <f t="shared" si="25"/>
        <v>0.89</v>
      </c>
      <c r="H196" s="162">
        <f t="shared" si="23"/>
        <v>1.1000000000000001</v>
      </c>
      <c r="I196" s="154">
        <f t="shared" si="24"/>
        <v>-3.2571443397683397E-4</v>
      </c>
      <c r="J196" s="153"/>
      <c r="K196" s="155">
        <f>I196*working_capacity</f>
        <v>-19.152008717837838</v>
      </c>
      <c r="M196" s="169"/>
      <c r="N196" s="166"/>
      <c r="O196" s="169"/>
      <c r="P196" s="169"/>
    </row>
    <row r="197" spans="1:16">
      <c r="A197" s="148" t="s">
        <v>1525</v>
      </c>
      <c r="B197" s="149" t="s">
        <v>521</v>
      </c>
      <c r="C197" s="149" t="s">
        <v>5</v>
      </c>
      <c r="D197" s="148" t="s">
        <v>668</v>
      </c>
      <c r="E197" s="158">
        <f t="shared" si="22"/>
        <v>-2.4398084942084942E-6</v>
      </c>
      <c r="F197" s="159">
        <f t="shared" si="22"/>
        <v>3.6656305802779316</v>
      </c>
      <c r="G197" s="153">
        <f t="shared" si="25"/>
        <v>0.89</v>
      </c>
      <c r="H197" s="162">
        <f t="shared" si="23"/>
        <v>1.1000000000000001</v>
      </c>
      <c r="I197" s="154">
        <f t="shared" si="24"/>
        <v>-2.1714295598455598E-6</v>
      </c>
      <c r="J197" s="153"/>
      <c r="K197" s="155">
        <f>I197*diarrhea</f>
        <v>-1.1400005189189188E-2</v>
      </c>
      <c r="M197" s="169"/>
      <c r="N197" s="166"/>
      <c r="O197" s="169"/>
      <c r="P197" s="169"/>
    </row>
    <row r="198" spans="1:16">
      <c r="A198" s="148" t="s">
        <v>1525</v>
      </c>
      <c r="B198" s="149" t="s">
        <v>160</v>
      </c>
      <c r="C198" s="149" t="s">
        <v>7</v>
      </c>
      <c r="D198" s="148" t="s">
        <v>668</v>
      </c>
      <c r="E198" s="158">
        <f t="shared" si="22"/>
        <v>-1.6682965250965249</v>
      </c>
      <c r="F198" s="159">
        <f t="shared" si="22"/>
        <v>3.6656305802779316</v>
      </c>
      <c r="G198" s="153">
        <f t="shared" si="25"/>
        <v>0.89</v>
      </c>
      <c r="H198" s="162">
        <f t="shared" si="23"/>
        <v>1.1000000000000001</v>
      </c>
      <c r="I198" s="154">
        <f t="shared" si="24"/>
        <v>-1.4847839073359073</v>
      </c>
      <c r="J198" s="153"/>
      <c r="K198" s="155">
        <f>I198*cropvalue</f>
        <v>-0.3266524596138996</v>
      </c>
      <c r="M198" s="169"/>
      <c r="N198" s="166"/>
      <c r="O198" s="169"/>
      <c r="P198" s="169"/>
    </row>
    <row r="199" spans="1:16">
      <c r="A199" s="148" t="s">
        <v>1525</v>
      </c>
      <c r="B199" s="149" t="s">
        <v>529</v>
      </c>
      <c r="C199" s="149" t="s">
        <v>7</v>
      </c>
      <c r="D199" s="148" t="s">
        <v>668</v>
      </c>
      <c r="E199" s="158">
        <f t="shared" si="22"/>
        <v>-0.19980416988416985</v>
      </c>
      <c r="F199" s="159">
        <f t="shared" si="22"/>
        <v>3.6656305802779316</v>
      </c>
      <c r="G199" s="153">
        <f t="shared" si="25"/>
        <v>0.89</v>
      </c>
      <c r="H199" s="162">
        <f t="shared" si="23"/>
        <v>1.1000000000000001</v>
      </c>
      <c r="I199" s="154">
        <f t="shared" si="24"/>
        <v>-0.17782571119691118</v>
      </c>
      <c r="J199" s="153"/>
      <c r="K199" s="155">
        <f>I199*Fruitandveg_value</f>
        <v>-6.9352027366795369E-2</v>
      </c>
      <c r="M199" s="168"/>
      <c r="N199" s="166"/>
      <c r="O199" s="169"/>
      <c r="P199" s="169"/>
    </row>
    <row r="200" spans="1:16">
      <c r="A200" s="148" t="s">
        <v>1525</v>
      </c>
      <c r="B200" s="149" t="s">
        <v>538</v>
      </c>
      <c r="C200" s="149" t="s">
        <v>7</v>
      </c>
      <c r="D200" s="148" t="s">
        <v>668</v>
      </c>
      <c r="E200" s="158">
        <f t="shared" si="22"/>
        <v>-7.8710733590733592E-2</v>
      </c>
      <c r="F200" s="159">
        <f t="shared" si="22"/>
        <v>3.6656305802779316</v>
      </c>
      <c r="G200" s="153">
        <f t="shared" si="25"/>
        <v>0.89</v>
      </c>
      <c r="H200" s="162">
        <f t="shared" si="23"/>
        <v>1.1000000000000001</v>
      </c>
      <c r="I200" s="154">
        <f t="shared" si="24"/>
        <v>-7.0052552895752893E-2</v>
      </c>
      <c r="J200" s="153"/>
      <c r="K200" s="155">
        <f>I200*fishandmeatvalue</f>
        <v>-0.14711036108108108</v>
      </c>
      <c r="M200" s="169"/>
      <c r="N200" s="166"/>
      <c r="O200" s="169"/>
      <c r="P200" s="169"/>
    </row>
    <row r="201" spans="1:16">
      <c r="A201" s="148" t="s">
        <v>1525</v>
      </c>
      <c r="B201" s="148" t="s">
        <v>161</v>
      </c>
      <c r="C201" s="149" t="s">
        <v>7</v>
      </c>
      <c r="D201" s="148" t="s">
        <v>668</v>
      </c>
      <c r="E201" s="158">
        <f t="shared" si="22"/>
        <v>0</v>
      </c>
      <c r="F201" s="159">
        <f t="shared" si="22"/>
        <v>6.3246562435360429</v>
      </c>
      <c r="G201" s="153">
        <f t="shared" si="25"/>
        <v>0.89</v>
      </c>
      <c r="H201" s="162">
        <f t="shared" si="23"/>
        <v>1.1000000000000001</v>
      </c>
      <c r="I201" s="154">
        <f t="shared" si="24"/>
        <v>0</v>
      </c>
      <c r="J201" s="153"/>
      <c r="K201" s="155">
        <f>I201*woodvalue</f>
        <v>0</v>
      </c>
      <c r="M201" s="169"/>
      <c r="N201" s="166"/>
      <c r="O201" s="169"/>
      <c r="P201" s="169"/>
    </row>
    <row r="202" spans="1:16">
      <c r="A202" s="148" t="s">
        <v>1525</v>
      </c>
      <c r="B202" s="148" t="s">
        <v>508</v>
      </c>
      <c r="C202" s="149" t="s">
        <v>7</v>
      </c>
      <c r="D202" s="148" t="s">
        <v>668</v>
      </c>
      <c r="E202" s="158">
        <f t="shared" si="22"/>
        <v>-9.6067459459459457</v>
      </c>
      <c r="F202" s="159">
        <f t="shared" si="22"/>
        <v>3.6656305802779316</v>
      </c>
      <c r="G202" s="153">
        <f t="shared" si="25"/>
        <v>0.89</v>
      </c>
      <c r="H202" s="162">
        <f t="shared" si="23"/>
        <v>1.1000000000000001</v>
      </c>
      <c r="I202" s="154">
        <f t="shared" si="24"/>
        <v>-8.5500038918918921</v>
      </c>
      <c r="J202" s="153"/>
      <c r="K202" s="155">
        <f>I202*drinkingwatervalue</f>
        <v>-1.7100007783783785E-2</v>
      </c>
      <c r="M202" s="169"/>
      <c r="N202" s="166"/>
      <c r="O202" s="169"/>
      <c r="P202" s="169"/>
    </row>
    <row r="203" spans="1:16">
      <c r="A203" s="148" t="s">
        <v>1525</v>
      </c>
      <c r="B203" s="148" t="s">
        <v>510</v>
      </c>
      <c r="C203" s="149" t="s">
        <v>7</v>
      </c>
      <c r="D203" s="148" t="s">
        <v>668</v>
      </c>
      <c r="E203" s="158">
        <f t="shared" si="22"/>
        <v>-19.213491891891891</v>
      </c>
      <c r="F203" s="159">
        <f t="shared" si="22"/>
        <v>3.6656305802779316</v>
      </c>
      <c r="G203" s="153">
        <f t="shared" si="25"/>
        <v>0.89</v>
      </c>
      <c r="H203" s="162">
        <f t="shared" si="23"/>
        <v>1.1000000000000001</v>
      </c>
      <c r="I203" s="154">
        <f t="shared" si="24"/>
        <v>-17.100007783783784</v>
      </c>
      <c r="J203" s="153"/>
      <c r="K203" s="155">
        <f>I203*irrigationwatervalue</f>
        <v>-1.7100007783783785E-2</v>
      </c>
      <c r="M203" s="168"/>
      <c r="N203" s="166"/>
      <c r="O203" s="169"/>
      <c r="P203" s="169"/>
    </row>
    <row r="204" spans="1:16">
      <c r="A204" s="148" t="s">
        <v>1525</v>
      </c>
      <c r="B204" s="148" t="s">
        <v>511</v>
      </c>
      <c r="C204" s="149" t="s">
        <v>487</v>
      </c>
      <c r="D204" s="148" t="s">
        <v>668</v>
      </c>
      <c r="E204" s="158">
        <f t="shared" si="22"/>
        <v>-4.8518918918918909E-5</v>
      </c>
      <c r="F204" s="159">
        <f t="shared" si="22"/>
        <v>3.6656305802779316</v>
      </c>
      <c r="G204" s="153">
        <f t="shared" si="25"/>
        <v>0.89</v>
      </c>
      <c r="H204" s="162">
        <f t="shared" si="23"/>
        <v>1.1000000000000001</v>
      </c>
      <c r="I204" s="154">
        <f t="shared" si="24"/>
        <v>-4.318183783783783E-5</v>
      </c>
      <c r="J204" s="153"/>
      <c r="K204" s="155">
        <f>I204*energy_access</f>
        <v>-0.12090914594594593</v>
      </c>
      <c r="M204" s="168"/>
      <c r="N204" s="166"/>
      <c r="O204" s="169"/>
      <c r="P204" s="169"/>
    </row>
    <row r="205" spans="1:16">
      <c r="A205" s="148" t="s">
        <v>1525</v>
      </c>
      <c r="B205" s="149" t="s">
        <v>513</v>
      </c>
      <c r="C205" s="149" t="s">
        <v>5</v>
      </c>
      <c r="D205" s="148" t="s">
        <v>668</v>
      </c>
      <c r="E205" s="158">
        <f t="shared" si="22"/>
        <v>-3.0497606177606176E-6</v>
      </c>
      <c r="F205" s="159">
        <f t="shared" si="22"/>
        <v>3.6656305802779316</v>
      </c>
      <c r="G205" s="153">
        <f t="shared" si="25"/>
        <v>0.89</v>
      </c>
      <c r="H205" s="162">
        <f t="shared" si="23"/>
        <v>1.1000000000000001</v>
      </c>
      <c r="I205" s="154">
        <f t="shared" si="24"/>
        <v>-2.7142869498069496E-6</v>
      </c>
      <c r="J205" s="153"/>
      <c r="K205" s="155">
        <f>I205*housingvalue</f>
        <v>-5.4285738996138989E-3</v>
      </c>
      <c r="M205" s="169"/>
      <c r="N205" s="166"/>
      <c r="O205" s="169"/>
      <c r="P205" s="169"/>
    </row>
    <row r="206" spans="1:16">
      <c r="A206" s="148" t="s">
        <v>1525</v>
      </c>
      <c r="B206" s="149" t="s">
        <v>516</v>
      </c>
      <c r="C206" s="149" t="s">
        <v>523</v>
      </c>
      <c r="D206" s="148" t="s">
        <v>668</v>
      </c>
      <c r="E206" s="158">
        <f t="shared" si="22"/>
        <v>-3.4656370656370649E-5</v>
      </c>
      <c r="F206" s="159">
        <f t="shared" si="22"/>
        <v>3.6656305802779316</v>
      </c>
      <c r="G206" s="153">
        <f t="shared" si="25"/>
        <v>0.89</v>
      </c>
      <c r="H206" s="162">
        <f t="shared" si="23"/>
        <v>1.1000000000000001</v>
      </c>
      <c r="I206" s="154">
        <f t="shared" si="24"/>
        <v>-3.0844169884169881E-5</v>
      </c>
      <c r="J206" s="153"/>
      <c r="K206" s="155">
        <f>I206*migrationvalue</f>
        <v>-0.77110424710424696</v>
      </c>
      <c r="M206" s="169"/>
      <c r="N206" s="166"/>
      <c r="O206" s="169"/>
      <c r="P206" s="169"/>
    </row>
    <row r="207" spans="1:16">
      <c r="A207" s="148" t="s">
        <v>1525</v>
      </c>
      <c r="B207" s="148" t="s">
        <v>174</v>
      </c>
      <c r="C207" s="149" t="s">
        <v>505</v>
      </c>
      <c r="D207" s="148" t="s">
        <v>668</v>
      </c>
      <c r="E207" s="158">
        <f t="shared" si="22"/>
        <v>-3.4656370656370654E-14</v>
      </c>
      <c r="F207" s="159">
        <f t="shared" si="22"/>
        <v>3.6656305802779316</v>
      </c>
      <c r="G207" s="153">
        <f t="shared" si="25"/>
        <v>0.89</v>
      </c>
      <c r="H207" s="162">
        <f t="shared" si="23"/>
        <v>1.1000000000000001</v>
      </c>
      <c r="I207" s="154">
        <f t="shared" si="24"/>
        <v>-3.0844169884169885E-14</v>
      </c>
      <c r="J207" s="153"/>
      <c r="K207" s="155">
        <f>I207*speciesvalue</f>
        <v>-1.7272735135135135E-3</v>
      </c>
      <c r="M207" s="168"/>
      <c r="N207" s="166"/>
      <c r="O207" s="169"/>
      <c r="P207" s="169"/>
    </row>
    <row r="208" spans="1:16">
      <c r="A208" s="148" t="s">
        <v>1525</v>
      </c>
      <c r="B208" s="148" t="s">
        <v>538</v>
      </c>
      <c r="C208" s="149" t="s">
        <v>7</v>
      </c>
      <c r="D208" s="148" t="s">
        <v>173</v>
      </c>
      <c r="E208" s="158">
        <f t="shared" si="22"/>
        <v>1.8181818181818182E-3</v>
      </c>
      <c r="F208" s="159">
        <f t="shared" si="22"/>
        <v>3.6656305802779316</v>
      </c>
      <c r="G208" s="153">
        <f>64/(2*80.9)</f>
        <v>0.39555006180469715</v>
      </c>
      <c r="H208" s="162">
        <f t="shared" si="23"/>
        <v>1.1000000000000001</v>
      </c>
      <c r="I208" s="154">
        <f t="shared" si="24"/>
        <v>7.1918193055399481E-4</v>
      </c>
      <c r="J208" s="153"/>
      <c r="K208" s="155">
        <f>I208*fishandmeatvalue</f>
        <v>1.5102820541633892E-3</v>
      </c>
      <c r="M208" s="168"/>
      <c r="N208" s="166"/>
      <c r="O208" s="169"/>
      <c r="P208" s="169"/>
    </row>
    <row r="209" spans="1:16">
      <c r="A209" s="148" t="s">
        <v>1525</v>
      </c>
      <c r="B209" s="148" t="s">
        <v>174</v>
      </c>
      <c r="C209" s="149" t="s">
        <v>505</v>
      </c>
      <c r="D209" s="148" t="s">
        <v>173</v>
      </c>
      <c r="E209" s="158">
        <f>E134</f>
        <v>1.082053410820534E-14</v>
      </c>
      <c r="F209" s="159">
        <f>F134</f>
        <v>2.0130867471709437</v>
      </c>
      <c r="G209" s="153">
        <f>64/(2*80.9)</f>
        <v>0.39555006180469715</v>
      </c>
      <c r="H209" s="162">
        <f t="shared" si="23"/>
        <v>1.1000000000000001</v>
      </c>
      <c r="I209" s="154">
        <f t="shared" si="24"/>
        <v>4.2800629352604557E-15</v>
      </c>
      <c r="K209" s="155">
        <f>I209*speciesvalue</f>
        <v>2.3968352437458553E-4</v>
      </c>
      <c r="M209" s="168"/>
      <c r="N209" s="166"/>
      <c r="O209" s="169"/>
      <c r="P209" s="169"/>
    </row>
    <row r="210" spans="1:16">
      <c r="A210" s="148" t="s">
        <v>1525</v>
      </c>
      <c r="B210" s="149" t="s">
        <v>666</v>
      </c>
      <c r="C210" s="149" t="s">
        <v>7</v>
      </c>
      <c r="D210" s="148" t="s">
        <v>176</v>
      </c>
      <c r="E210" s="158">
        <f>E135</f>
        <v>6.981818181818181E-3</v>
      </c>
      <c r="F210" s="159">
        <f>F135</f>
        <v>3.0941278481682999</v>
      </c>
      <c r="G210" s="153">
        <f>64/(2*80.9)</f>
        <v>0.39555006180469715</v>
      </c>
      <c r="H210" s="162">
        <f t="shared" si="23"/>
        <v>1.1000000000000001</v>
      </c>
      <c r="I210" s="154">
        <f t="shared" si="24"/>
        <v>2.7616586133273396E-3</v>
      </c>
      <c r="K210" s="155">
        <f>I210*CO2value</f>
        <v>3.722173981248317E-4</v>
      </c>
      <c r="M210" s="168"/>
      <c r="N210" s="166"/>
      <c r="O210" s="169"/>
      <c r="P210" s="169"/>
    </row>
    <row r="211" spans="1:16">
      <c r="A211" s="148" t="s">
        <v>1525</v>
      </c>
      <c r="B211" s="148" t="s">
        <v>159</v>
      </c>
      <c r="D211" s="148" t="s">
        <v>159</v>
      </c>
      <c r="L211" s="155">
        <f>SUM(K192:K210)</f>
        <v>-28.009655215882802</v>
      </c>
      <c r="M211" s="169"/>
      <c r="N211" s="166"/>
      <c r="O211" s="169"/>
      <c r="P211" s="169"/>
    </row>
    <row r="212" spans="1:16">
      <c r="M212" s="169"/>
      <c r="N212" s="166"/>
      <c r="O212" s="169"/>
      <c r="P212" s="169"/>
    </row>
    <row r="213" spans="1:16">
      <c r="A213" s="149" t="s">
        <v>1526</v>
      </c>
      <c r="B213" s="148" t="s">
        <v>4</v>
      </c>
      <c r="C213" s="149" t="s">
        <v>5</v>
      </c>
      <c r="D213" s="148" t="s">
        <v>668</v>
      </c>
      <c r="E213" s="158">
        <f>E138</f>
        <v>-9.928052089575288E-5</v>
      </c>
      <c r="F213" s="159">
        <f>F117</f>
        <v>3.6656305802779316</v>
      </c>
      <c r="G213" s="153">
        <f>0.962</f>
        <v>0.96199999999999997</v>
      </c>
      <c r="H213" s="162">
        <f>H117</f>
        <v>1.1000000000000001</v>
      </c>
      <c r="I213" s="154">
        <f>E213*G213</f>
        <v>-9.5507861101714272E-5</v>
      </c>
      <c r="J213" s="153"/>
      <c r="K213" s="155">
        <f>I213*YOLLvalue</f>
        <v>-4.775393055085714</v>
      </c>
      <c r="M213" s="169"/>
      <c r="N213" s="166"/>
      <c r="O213" s="169"/>
      <c r="P213" s="169"/>
    </row>
    <row r="214" spans="1:16">
      <c r="A214" s="149" t="s">
        <v>1526</v>
      </c>
      <c r="B214" s="149" t="s">
        <v>558</v>
      </c>
      <c r="C214" s="149" t="s">
        <v>5</v>
      </c>
      <c r="D214" s="148" t="s">
        <v>668</v>
      </c>
      <c r="E214" s="158">
        <f t="shared" ref="E214:E231" si="26">E139</f>
        <v>4.8297599999999996E-5</v>
      </c>
      <c r="F214" s="159">
        <f t="shared" ref="F214:F231" si="27">F118</f>
        <v>4.7288043878374149</v>
      </c>
      <c r="G214" s="153">
        <f t="shared" ref="G214:G228" si="28">0.962</f>
        <v>0.96199999999999997</v>
      </c>
      <c r="H214" s="162">
        <f t="shared" ref="H214:H231" si="29">H118</f>
        <v>1.1000000000000001</v>
      </c>
      <c r="I214" s="154">
        <f t="shared" ref="I214:I231" si="30">E214*G214</f>
        <v>4.6462291199999996E-5</v>
      </c>
      <c r="J214" s="153"/>
      <c r="K214" s="155">
        <f>I214*asthmacasesvalue</f>
        <v>9.9893926079999987E-2</v>
      </c>
      <c r="M214" s="169"/>
      <c r="N214" s="166"/>
      <c r="O214" s="169"/>
      <c r="P214" s="169"/>
    </row>
    <row r="215" spans="1:16">
      <c r="A215" s="149" t="s">
        <v>1526</v>
      </c>
      <c r="B215" s="149" t="s">
        <v>658</v>
      </c>
      <c r="C215" s="149" t="s">
        <v>5</v>
      </c>
      <c r="D215" s="148" t="s">
        <v>668</v>
      </c>
      <c r="E215" s="158">
        <f t="shared" si="26"/>
        <v>3.7699999999999999E-6</v>
      </c>
      <c r="F215" s="159">
        <f t="shared" si="27"/>
        <v>4.7288043878374149</v>
      </c>
      <c r="G215" s="153">
        <f t="shared" si="28"/>
        <v>0.96199999999999997</v>
      </c>
      <c r="H215" s="162">
        <f t="shared" si="29"/>
        <v>1.1000000000000001</v>
      </c>
      <c r="I215" s="154">
        <f t="shared" si="30"/>
        <v>3.6267399999999998E-6</v>
      </c>
      <c r="J215" s="153"/>
      <c r="K215" s="155">
        <f>I215*COPDvalue</f>
        <v>6.945207099999999E-2</v>
      </c>
      <c r="M215" s="169"/>
      <c r="N215" s="166"/>
      <c r="O215" s="169"/>
      <c r="P215" s="169"/>
    </row>
    <row r="216" spans="1:16">
      <c r="A216" s="149" t="s">
        <v>1526</v>
      </c>
      <c r="B216" s="149" t="s">
        <v>519</v>
      </c>
      <c r="C216" s="149" t="s">
        <v>5</v>
      </c>
      <c r="D216" s="148" t="s">
        <v>668</v>
      </c>
      <c r="E216" s="158">
        <f t="shared" si="26"/>
        <v>-3.6597127413127409E-4</v>
      </c>
      <c r="F216" s="159">
        <f t="shared" si="27"/>
        <v>3.6656305802779316</v>
      </c>
      <c r="G216" s="153">
        <f t="shared" si="28"/>
        <v>0.96199999999999997</v>
      </c>
      <c r="H216" s="162">
        <f t="shared" si="29"/>
        <v>1.1000000000000001</v>
      </c>
      <c r="I216" s="154">
        <f t="shared" si="30"/>
        <v>-3.5206436571428565E-4</v>
      </c>
      <c r="J216" s="153"/>
      <c r="K216" s="155">
        <f>I216*malnutrition</f>
        <v>-3.362214692571428</v>
      </c>
      <c r="M216" s="168"/>
      <c r="N216" s="166"/>
      <c r="O216" s="169"/>
      <c r="P216" s="169"/>
    </row>
    <row r="217" spans="1:16">
      <c r="A217" s="149" t="s">
        <v>1526</v>
      </c>
      <c r="B217" s="149" t="s">
        <v>661</v>
      </c>
      <c r="C217" s="149" t="s">
        <v>5</v>
      </c>
      <c r="D217" s="148" t="s">
        <v>668</v>
      </c>
      <c r="E217" s="158">
        <f t="shared" si="26"/>
        <v>-3.6597127413127409E-4</v>
      </c>
      <c r="F217" s="159">
        <f t="shared" si="27"/>
        <v>3.6656305802779316</v>
      </c>
      <c r="G217" s="153">
        <f t="shared" si="28"/>
        <v>0.96199999999999997</v>
      </c>
      <c r="H217" s="162">
        <f t="shared" si="29"/>
        <v>1.1000000000000001</v>
      </c>
      <c r="I217" s="154">
        <f t="shared" si="30"/>
        <v>-3.5206436571428565E-4</v>
      </c>
      <c r="J217" s="153"/>
      <c r="K217" s="155">
        <f>I217*working_capacity</f>
        <v>-20.701384703999995</v>
      </c>
      <c r="M217" s="169"/>
      <c r="N217" s="166"/>
      <c r="O217" s="169"/>
      <c r="P217" s="169"/>
    </row>
    <row r="218" spans="1:16">
      <c r="A218" s="149" t="s">
        <v>1526</v>
      </c>
      <c r="B218" s="149" t="s">
        <v>521</v>
      </c>
      <c r="C218" s="149" t="s">
        <v>5</v>
      </c>
      <c r="D218" s="148" t="s">
        <v>668</v>
      </c>
      <c r="E218" s="158">
        <f t="shared" si="26"/>
        <v>-2.4398084942084942E-6</v>
      </c>
      <c r="F218" s="159">
        <f t="shared" si="27"/>
        <v>3.6656305802779316</v>
      </c>
      <c r="G218" s="153">
        <f t="shared" si="28"/>
        <v>0.96199999999999997</v>
      </c>
      <c r="H218" s="162">
        <f t="shared" si="29"/>
        <v>1.1000000000000001</v>
      </c>
      <c r="I218" s="154">
        <f t="shared" si="30"/>
        <v>-2.3470957714285715E-6</v>
      </c>
      <c r="J218" s="153"/>
      <c r="K218" s="155">
        <f>I218*diarrhea</f>
        <v>-1.2322252800000001E-2</v>
      </c>
      <c r="M218" s="169"/>
      <c r="N218" s="166"/>
      <c r="O218" s="169"/>
      <c r="P218" s="169"/>
    </row>
    <row r="219" spans="1:16">
      <c r="A219" s="149" t="s">
        <v>1526</v>
      </c>
      <c r="B219" s="149" t="s">
        <v>160</v>
      </c>
      <c r="C219" s="149" t="s">
        <v>7</v>
      </c>
      <c r="D219" s="148" t="s">
        <v>668</v>
      </c>
      <c r="E219" s="158">
        <f t="shared" si="26"/>
        <v>-1.6682965250965249</v>
      </c>
      <c r="F219" s="159">
        <f t="shared" si="27"/>
        <v>3.6656305802779316</v>
      </c>
      <c r="G219" s="153">
        <f t="shared" si="28"/>
        <v>0.96199999999999997</v>
      </c>
      <c r="H219" s="162">
        <f t="shared" si="29"/>
        <v>1.1000000000000001</v>
      </c>
      <c r="I219" s="154">
        <f t="shared" si="30"/>
        <v>-1.6049012571428569</v>
      </c>
      <c r="J219" s="153"/>
      <c r="K219" s="155">
        <f>I219*cropvalue</f>
        <v>-0.35307827657142854</v>
      </c>
      <c r="M219" s="169"/>
      <c r="N219" s="166"/>
      <c r="O219" s="169"/>
      <c r="P219" s="169"/>
    </row>
    <row r="220" spans="1:16">
      <c r="A220" s="149" t="s">
        <v>1526</v>
      </c>
      <c r="B220" s="149" t="s">
        <v>529</v>
      </c>
      <c r="C220" s="149" t="s">
        <v>7</v>
      </c>
      <c r="D220" s="148" t="s">
        <v>668</v>
      </c>
      <c r="E220" s="158">
        <f t="shared" si="26"/>
        <v>-0.19980416988416985</v>
      </c>
      <c r="F220" s="159">
        <f t="shared" si="27"/>
        <v>3.6656305802779316</v>
      </c>
      <c r="G220" s="153">
        <f t="shared" si="28"/>
        <v>0.96199999999999997</v>
      </c>
      <c r="H220" s="162">
        <f t="shared" si="29"/>
        <v>1.1000000000000001</v>
      </c>
      <c r="I220" s="154">
        <f t="shared" si="30"/>
        <v>-0.19221161142857138</v>
      </c>
      <c r="J220" s="153"/>
      <c r="K220" s="155">
        <f>I220*Fruitandveg_value</f>
        <v>-7.4962528457142838E-2</v>
      </c>
      <c r="M220" s="168"/>
      <c r="N220" s="166"/>
      <c r="O220" s="169"/>
      <c r="P220" s="169"/>
    </row>
    <row r="221" spans="1:16">
      <c r="A221" s="149" t="s">
        <v>1526</v>
      </c>
      <c r="B221" s="149" t="s">
        <v>538</v>
      </c>
      <c r="C221" s="149" t="s">
        <v>7</v>
      </c>
      <c r="D221" s="148" t="s">
        <v>668</v>
      </c>
      <c r="E221" s="158">
        <f t="shared" si="26"/>
        <v>-7.8710733590733592E-2</v>
      </c>
      <c r="F221" s="159">
        <f t="shared" si="27"/>
        <v>3.6656305802779316</v>
      </c>
      <c r="G221" s="153">
        <f t="shared" si="28"/>
        <v>0.96199999999999997</v>
      </c>
      <c r="H221" s="162">
        <f t="shared" si="29"/>
        <v>1.1000000000000001</v>
      </c>
      <c r="I221" s="154">
        <f t="shared" si="30"/>
        <v>-7.5719725714285716E-2</v>
      </c>
      <c r="J221" s="153"/>
      <c r="K221" s="155">
        <f>I221*fishandmeatvalue</f>
        <v>-0.15901142400000001</v>
      </c>
      <c r="M221" s="168"/>
      <c r="N221" s="166"/>
      <c r="O221" s="169"/>
      <c r="P221" s="169"/>
    </row>
    <row r="222" spans="1:16">
      <c r="A222" s="149" t="s">
        <v>1526</v>
      </c>
      <c r="B222" s="148" t="s">
        <v>161</v>
      </c>
      <c r="C222" s="149" t="s">
        <v>7</v>
      </c>
      <c r="D222" s="148" t="s">
        <v>668</v>
      </c>
      <c r="E222" s="158">
        <f t="shared" si="26"/>
        <v>0</v>
      </c>
      <c r="F222" s="159">
        <f t="shared" si="27"/>
        <v>6.3246562435360429</v>
      </c>
      <c r="G222" s="153">
        <f t="shared" si="28"/>
        <v>0.96199999999999997</v>
      </c>
      <c r="H222" s="162">
        <f t="shared" si="29"/>
        <v>1.1000000000000001</v>
      </c>
      <c r="I222" s="154">
        <f t="shared" si="30"/>
        <v>0</v>
      </c>
      <c r="J222" s="153"/>
      <c r="K222" s="155">
        <f>I222*woodvalue</f>
        <v>0</v>
      </c>
      <c r="M222" s="169"/>
      <c r="N222" s="166"/>
      <c r="O222" s="169"/>
      <c r="P222" s="169"/>
    </row>
    <row r="223" spans="1:16">
      <c r="A223" s="149" t="s">
        <v>1526</v>
      </c>
      <c r="B223" s="148" t="s">
        <v>508</v>
      </c>
      <c r="C223" s="149" t="s">
        <v>7</v>
      </c>
      <c r="D223" s="148" t="s">
        <v>668</v>
      </c>
      <c r="E223" s="158">
        <f t="shared" si="26"/>
        <v>-9.6067459459459457</v>
      </c>
      <c r="F223" s="159">
        <f t="shared" si="27"/>
        <v>3.6656305802779316</v>
      </c>
      <c r="G223" s="153">
        <f t="shared" si="28"/>
        <v>0.96199999999999997</v>
      </c>
      <c r="H223" s="162">
        <f t="shared" si="29"/>
        <v>1.1000000000000001</v>
      </c>
      <c r="I223" s="154">
        <f t="shared" si="30"/>
        <v>-9.2416895999999991</v>
      </c>
      <c r="J223" s="153"/>
      <c r="K223" s="155">
        <f>I223*drinkingwatervalue</f>
        <v>-1.8483379199999997E-2</v>
      </c>
      <c r="M223" s="169"/>
      <c r="N223" s="166"/>
      <c r="O223" s="169"/>
      <c r="P223" s="169"/>
    </row>
    <row r="224" spans="1:16">
      <c r="A224" s="149" t="s">
        <v>1526</v>
      </c>
      <c r="B224" s="148" t="s">
        <v>510</v>
      </c>
      <c r="C224" s="149" t="s">
        <v>7</v>
      </c>
      <c r="D224" s="148" t="s">
        <v>668</v>
      </c>
      <c r="E224" s="158">
        <f t="shared" si="26"/>
        <v>-19.213491891891891</v>
      </c>
      <c r="F224" s="159">
        <f t="shared" si="27"/>
        <v>3.6656305802779316</v>
      </c>
      <c r="G224" s="153">
        <f t="shared" si="28"/>
        <v>0.96199999999999997</v>
      </c>
      <c r="H224" s="162">
        <f t="shared" si="29"/>
        <v>1.1000000000000001</v>
      </c>
      <c r="I224" s="154">
        <f t="shared" si="30"/>
        <v>-18.483379199999998</v>
      </c>
      <c r="J224" s="153"/>
      <c r="K224" s="155">
        <f>I224*irrigationwatervalue</f>
        <v>-1.8483379199999997E-2</v>
      </c>
      <c r="M224" s="168"/>
      <c r="N224" s="166"/>
      <c r="O224" s="169"/>
      <c r="P224" s="169"/>
    </row>
    <row r="225" spans="1:16">
      <c r="A225" s="149" t="s">
        <v>1526</v>
      </c>
      <c r="B225" s="148" t="s">
        <v>511</v>
      </c>
      <c r="C225" s="149" t="s">
        <v>487</v>
      </c>
      <c r="D225" s="148" t="s">
        <v>668</v>
      </c>
      <c r="E225" s="158">
        <f t="shared" si="26"/>
        <v>-4.8518918918918909E-5</v>
      </c>
      <c r="F225" s="159">
        <f t="shared" si="27"/>
        <v>3.6656305802779316</v>
      </c>
      <c r="G225" s="153">
        <f t="shared" si="28"/>
        <v>0.96199999999999997</v>
      </c>
      <c r="H225" s="162">
        <f t="shared" si="29"/>
        <v>1.1000000000000001</v>
      </c>
      <c r="I225" s="154">
        <f t="shared" si="30"/>
        <v>-4.667519999999999E-5</v>
      </c>
      <c r="J225" s="153"/>
      <c r="K225" s="155">
        <f>I225*energy_access</f>
        <v>-0.13069055999999998</v>
      </c>
      <c r="M225" s="168"/>
      <c r="N225" s="166"/>
      <c r="O225" s="169"/>
      <c r="P225" s="169"/>
    </row>
    <row r="226" spans="1:16">
      <c r="A226" s="149" t="s">
        <v>1526</v>
      </c>
      <c r="B226" s="149" t="s">
        <v>513</v>
      </c>
      <c r="C226" s="149" t="s">
        <v>5</v>
      </c>
      <c r="D226" s="148" t="s">
        <v>668</v>
      </c>
      <c r="E226" s="158">
        <f t="shared" si="26"/>
        <v>-3.0497606177606176E-6</v>
      </c>
      <c r="F226" s="159">
        <f t="shared" si="27"/>
        <v>3.6656305802779316</v>
      </c>
      <c r="G226" s="153">
        <f t="shared" si="28"/>
        <v>0.96199999999999997</v>
      </c>
      <c r="H226" s="162">
        <f t="shared" si="29"/>
        <v>1.1000000000000001</v>
      </c>
      <c r="I226" s="154">
        <f t="shared" si="30"/>
        <v>-2.933869714285714E-6</v>
      </c>
      <c r="J226" s="153"/>
      <c r="K226" s="155">
        <f>I226*housingvalue</f>
        <v>-5.8677394285714278E-3</v>
      </c>
      <c r="M226" s="168"/>
      <c r="N226" s="166"/>
      <c r="O226" s="169"/>
      <c r="P226" s="169"/>
    </row>
    <row r="227" spans="1:16">
      <c r="A227" s="149" t="s">
        <v>1526</v>
      </c>
      <c r="B227" s="149" t="s">
        <v>516</v>
      </c>
      <c r="C227" s="149" t="s">
        <v>523</v>
      </c>
      <c r="D227" s="148" t="s">
        <v>668</v>
      </c>
      <c r="E227" s="158">
        <f t="shared" si="26"/>
        <v>-3.4656370656370649E-5</v>
      </c>
      <c r="F227" s="159">
        <f t="shared" si="27"/>
        <v>3.6656305802779316</v>
      </c>
      <c r="G227" s="153">
        <f t="shared" si="28"/>
        <v>0.96199999999999997</v>
      </c>
      <c r="H227" s="162">
        <f t="shared" si="29"/>
        <v>1.1000000000000001</v>
      </c>
      <c r="I227" s="154">
        <f t="shared" si="30"/>
        <v>-3.3339428571428563E-5</v>
      </c>
      <c r="J227" s="153"/>
      <c r="K227" s="155">
        <f>I227*migrationvalue</f>
        <v>-0.83348571428571405</v>
      </c>
      <c r="M227" s="168"/>
      <c r="N227" s="166"/>
      <c r="O227" s="169"/>
      <c r="P227" s="169"/>
    </row>
    <row r="228" spans="1:16">
      <c r="A228" s="149" t="s">
        <v>1526</v>
      </c>
      <c r="B228" s="148" t="s">
        <v>174</v>
      </c>
      <c r="C228" s="149" t="s">
        <v>505</v>
      </c>
      <c r="D228" s="148" t="s">
        <v>668</v>
      </c>
      <c r="E228" s="158">
        <f t="shared" si="26"/>
        <v>-3.4656370656370654E-14</v>
      </c>
      <c r="F228" s="159">
        <f t="shared" si="27"/>
        <v>3.6656305802779316</v>
      </c>
      <c r="G228" s="153">
        <f t="shared" si="28"/>
        <v>0.96199999999999997</v>
      </c>
      <c r="H228" s="162">
        <f t="shared" si="29"/>
        <v>1.1000000000000001</v>
      </c>
      <c r="I228" s="154">
        <f t="shared" si="30"/>
        <v>-3.333942857142857E-14</v>
      </c>
      <c r="J228" s="153"/>
      <c r="K228" s="155">
        <f>I228*speciesvalue</f>
        <v>-1.8670079999999999E-3</v>
      </c>
      <c r="M228" s="169"/>
      <c r="N228" s="166"/>
      <c r="O228" s="169"/>
      <c r="P228" s="169"/>
    </row>
    <row r="229" spans="1:16">
      <c r="A229" s="149" t="s">
        <v>1526</v>
      </c>
      <c r="B229" s="148" t="s">
        <v>538</v>
      </c>
      <c r="C229" s="149" t="s">
        <v>7</v>
      </c>
      <c r="D229" s="148" t="s">
        <v>173</v>
      </c>
      <c r="E229" s="158">
        <f t="shared" si="26"/>
        <v>1.8181818181818182E-3</v>
      </c>
      <c r="F229" s="159">
        <f t="shared" si="27"/>
        <v>3.6656305802779316</v>
      </c>
      <c r="G229" s="153">
        <f>64/(2*27)</f>
        <v>1.1851851851851851</v>
      </c>
      <c r="H229" s="162">
        <f t="shared" si="29"/>
        <v>1.1000000000000001</v>
      </c>
      <c r="I229" s="154">
        <f t="shared" si="30"/>
        <v>2.1548821548821547E-3</v>
      </c>
      <c r="J229" s="153"/>
      <c r="K229" s="155">
        <f>I229*fishandmeatvalue</f>
        <v>4.5252525252525251E-3</v>
      </c>
      <c r="M229" s="169"/>
      <c r="N229" s="166"/>
      <c r="O229" s="169"/>
      <c r="P229" s="169"/>
    </row>
    <row r="230" spans="1:16">
      <c r="A230" s="149" t="s">
        <v>1526</v>
      </c>
      <c r="B230" s="148" t="s">
        <v>174</v>
      </c>
      <c r="C230" s="149" t="s">
        <v>505</v>
      </c>
      <c r="D230" s="148" t="s">
        <v>173</v>
      </c>
      <c r="E230" s="158">
        <f t="shared" si="26"/>
        <v>1.082053410820534E-14</v>
      </c>
      <c r="F230" s="159">
        <f t="shared" si="27"/>
        <v>2.0130867471709437</v>
      </c>
      <c r="G230" s="153">
        <f>64/(2*27)</f>
        <v>1.1851851851851851</v>
      </c>
      <c r="H230" s="162">
        <f t="shared" si="29"/>
        <v>1.1000000000000001</v>
      </c>
      <c r="I230" s="154">
        <f t="shared" si="30"/>
        <v>1.2824336720835957E-14</v>
      </c>
      <c r="K230" s="155">
        <f>I230*speciesvalue</f>
        <v>7.1816285636681356E-4</v>
      </c>
      <c r="M230" s="169"/>
      <c r="N230" s="166"/>
      <c r="O230" s="169"/>
      <c r="P230" s="169"/>
    </row>
    <row r="231" spans="1:16">
      <c r="A231" s="149" t="s">
        <v>1526</v>
      </c>
      <c r="B231" s="149" t="s">
        <v>666</v>
      </c>
      <c r="C231" s="149" t="s">
        <v>7</v>
      </c>
      <c r="D231" s="148" t="s">
        <v>176</v>
      </c>
      <c r="E231" s="158">
        <f t="shared" si="26"/>
        <v>6.981818181818181E-3</v>
      </c>
      <c r="F231" s="159">
        <f t="shared" si="27"/>
        <v>3.0941278481682999</v>
      </c>
      <c r="G231" s="153">
        <f>64/(2*27)</f>
        <v>1.1851851851851851</v>
      </c>
      <c r="H231" s="162">
        <f t="shared" si="29"/>
        <v>1.1000000000000001</v>
      </c>
      <c r="I231" s="154">
        <f t="shared" si="30"/>
        <v>8.2747474747474729E-3</v>
      </c>
      <c r="K231" s="155">
        <f>I231*CO2value</f>
        <v>1.1152736114184772E-3</v>
      </c>
      <c r="M231" s="169"/>
      <c r="N231" s="166"/>
      <c r="O231" s="169"/>
      <c r="P231" s="169"/>
    </row>
    <row r="232" spans="1:16">
      <c r="A232" s="149" t="s">
        <v>1526</v>
      </c>
      <c r="B232" s="148" t="s">
        <v>159</v>
      </c>
      <c r="D232" s="148" t="s">
        <v>159</v>
      </c>
      <c r="L232" s="155">
        <f>SUM(K213:K231)</f>
        <v>-30.271540027526957</v>
      </c>
      <c r="M232" s="168"/>
      <c r="N232" s="166"/>
      <c r="O232" s="169"/>
      <c r="P232" s="169"/>
    </row>
    <row r="233" spans="1:16">
      <c r="I233" s="153"/>
      <c r="M233" s="169"/>
      <c r="N233" s="166"/>
      <c r="O233" s="169"/>
      <c r="P233" s="169"/>
    </row>
    <row r="234" spans="1:16">
      <c r="A234" s="149" t="s">
        <v>1527</v>
      </c>
      <c r="B234" s="149" t="s">
        <v>4</v>
      </c>
      <c r="C234" s="149" t="s">
        <v>5</v>
      </c>
      <c r="D234" s="149" t="s">
        <v>164</v>
      </c>
      <c r="E234" s="163">
        <f>36000/314*7200</f>
        <v>825477.70700636948</v>
      </c>
      <c r="F234" s="148">
        <v>3</v>
      </c>
      <c r="G234" s="153">
        <f>1/4500000000000</f>
        <v>2.2222222222222222E-13</v>
      </c>
      <c r="H234" s="148">
        <v>1.2</v>
      </c>
      <c r="I234" s="154">
        <f t="shared" ref="I234:I250" si="31">E234*G234</f>
        <v>1.8343949044585989E-7</v>
      </c>
      <c r="K234" s="155">
        <f>I234*YOLLvalue</f>
        <v>9.1719745222929947E-3</v>
      </c>
      <c r="M234" s="169"/>
      <c r="N234" s="166"/>
      <c r="O234" s="169"/>
      <c r="P234" s="169"/>
    </row>
    <row r="235" spans="1:16">
      <c r="A235" s="149" t="s">
        <v>1527</v>
      </c>
      <c r="B235" s="149" t="s">
        <v>4</v>
      </c>
      <c r="C235" s="149" t="s">
        <v>5</v>
      </c>
      <c r="D235" s="149" t="s">
        <v>530</v>
      </c>
      <c r="E235" s="154">
        <f>E8</f>
        <v>2864712000</v>
      </c>
      <c r="F235" s="159">
        <f>EXP(SQRT(LN(F5)^2+LN(H5)^2))</f>
        <v>3.8661629807182414</v>
      </c>
      <c r="G235" s="153">
        <f>1/4500000000000</f>
        <v>2.2222222222222222E-13</v>
      </c>
      <c r="H235" s="148">
        <v>1.2</v>
      </c>
      <c r="I235" s="154">
        <f t="shared" si="31"/>
        <v>6.3660266666666664E-4</v>
      </c>
      <c r="K235" s="155">
        <f>I235*YOLLvalue</f>
        <v>31.830133333333333</v>
      </c>
      <c r="M235" s="169"/>
      <c r="N235" s="166"/>
      <c r="O235" s="169"/>
      <c r="P235" s="169"/>
    </row>
    <row r="236" spans="1:16">
      <c r="A236" s="149" t="s">
        <v>1527</v>
      </c>
      <c r="B236" s="149" t="s">
        <v>519</v>
      </c>
      <c r="C236" s="149" t="s">
        <v>5</v>
      </c>
      <c r="D236" s="149" t="s">
        <v>530</v>
      </c>
      <c r="E236" s="154">
        <f>E9</f>
        <v>10560000000</v>
      </c>
      <c r="F236" s="159">
        <f>EXP(SQRT(LN(F9)^2+LN(H9)^2))</f>
        <v>2.8571313313055411</v>
      </c>
      <c r="G236" s="153">
        <f>G9*0.44</f>
        <v>9.9665379665379656E-17</v>
      </c>
      <c r="H236" s="148">
        <v>1.5</v>
      </c>
      <c r="I236" s="154">
        <f t="shared" si="31"/>
        <v>1.0524664092664091E-6</v>
      </c>
      <c r="J236" s="153"/>
      <c r="K236" s="155">
        <f>I236*malnutrition</f>
        <v>1.0051054208494207E-2</v>
      </c>
      <c r="M236" s="168"/>
      <c r="N236" s="166"/>
      <c r="O236" s="169"/>
      <c r="P236" s="169"/>
    </row>
    <row r="237" spans="1:16">
      <c r="A237" s="149" t="s">
        <v>1527</v>
      </c>
      <c r="B237" s="149" t="s">
        <v>661</v>
      </c>
      <c r="C237" s="149" t="s">
        <v>5</v>
      </c>
      <c r="D237" s="149" t="s">
        <v>156</v>
      </c>
      <c r="E237" s="154">
        <f>E10</f>
        <v>5148000000</v>
      </c>
      <c r="F237" s="159">
        <f>EXP(SQRT(LN(F10)^2+LN(H10)^2))</f>
        <v>2.8571313313055411</v>
      </c>
      <c r="G237" s="153">
        <f>G10*0.44</f>
        <v>9.9665379665379656E-17</v>
      </c>
      <c r="H237" s="148">
        <v>1.5</v>
      </c>
      <c r="I237" s="154">
        <f t="shared" si="31"/>
        <v>5.1307737451737449E-7</v>
      </c>
      <c r="J237" s="153"/>
      <c r="K237" s="155">
        <f>I237*working_capacity</f>
        <v>3.0168949621621619E-2</v>
      </c>
      <c r="M237" s="168"/>
      <c r="N237" s="166"/>
      <c r="O237" s="169"/>
      <c r="P237" s="169"/>
    </row>
    <row r="238" spans="1:16">
      <c r="A238" s="149" t="s">
        <v>1527</v>
      </c>
      <c r="B238" s="149" t="s">
        <v>521</v>
      </c>
      <c r="C238" s="149" t="s">
        <v>5</v>
      </c>
      <c r="D238" s="149" t="s">
        <v>526</v>
      </c>
      <c r="E238" s="154">
        <f>E11</f>
        <v>70400000</v>
      </c>
      <c r="F238" s="159">
        <f t="shared" ref="F238:F250" si="32">EXP(SQRT(LN(F11)^2+LN(H11)^2))</f>
        <v>2.8571313313055411</v>
      </c>
      <c r="G238" s="153">
        <f>G11*0.44</f>
        <v>9.9665379665379656E-17</v>
      </c>
      <c r="H238" s="148">
        <v>1.5</v>
      </c>
      <c r="I238" s="154">
        <f t="shared" si="31"/>
        <v>7.016442728442728E-9</v>
      </c>
      <c r="K238" s="155">
        <f>I238*diarrhea</f>
        <v>3.6836324324324325E-5</v>
      </c>
      <c r="L238" s="164"/>
      <c r="M238" s="169"/>
      <c r="N238" s="166"/>
      <c r="O238" s="169"/>
      <c r="P238" s="169"/>
    </row>
    <row r="239" spans="1:16">
      <c r="A239" s="149" t="s">
        <v>1527</v>
      </c>
      <c r="B239" s="149" t="s">
        <v>160</v>
      </c>
      <c r="C239" s="149" t="s">
        <v>7</v>
      </c>
      <c r="D239" s="149" t="s">
        <v>530</v>
      </c>
      <c r="E239" s="154">
        <f t="shared" ref="E239:F250" si="33">E12</f>
        <v>16888235294117.648</v>
      </c>
      <c r="F239" s="159">
        <f t="shared" si="32"/>
        <v>2.8571313313055411</v>
      </c>
      <c r="G239" s="153">
        <f t="shared" ref="G239:G250" si="34">G12*0.44</f>
        <v>9.9665379665379656E-17</v>
      </c>
      <c r="H239" s="148">
        <v>1.5</v>
      </c>
      <c r="I239" s="154">
        <f t="shared" si="31"/>
        <v>1.6831723824665E-3</v>
      </c>
      <c r="K239" s="155">
        <f>I239*cropvalue</f>
        <v>3.7029792414263E-4</v>
      </c>
      <c r="M239" s="169"/>
      <c r="N239" s="166"/>
      <c r="O239" s="169"/>
      <c r="P239" s="169"/>
    </row>
    <row r="240" spans="1:16">
      <c r="A240" s="149" t="s">
        <v>1527</v>
      </c>
      <c r="B240" s="149" t="s">
        <v>160</v>
      </c>
      <c r="C240" s="149" t="s">
        <v>7</v>
      </c>
      <c r="D240" s="149" t="s">
        <v>533</v>
      </c>
      <c r="E240" s="154">
        <f t="shared" si="33"/>
        <v>31250000000000</v>
      </c>
      <c r="F240" s="159">
        <f t="shared" si="32"/>
        <v>3.8661629807182414</v>
      </c>
      <c r="G240" s="153">
        <f t="shared" si="34"/>
        <v>9.9665379665379656E-17</v>
      </c>
      <c r="H240" s="148">
        <v>1.5</v>
      </c>
      <c r="I240" s="154">
        <f t="shared" si="31"/>
        <v>3.1145431145431141E-3</v>
      </c>
      <c r="J240" s="153"/>
      <c r="K240" s="155">
        <f>I240*cropvalue</f>
        <v>6.8519948519948513E-4</v>
      </c>
      <c r="M240" s="168"/>
      <c r="N240" s="166"/>
      <c r="O240" s="169"/>
      <c r="P240" s="169"/>
    </row>
    <row r="241" spans="1:16">
      <c r="A241" s="149" t="s">
        <v>1527</v>
      </c>
      <c r="B241" s="149" t="s">
        <v>160</v>
      </c>
      <c r="C241" s="149" t="s">
        <v>7</v>
      </c>
      <c r="D241" s="149" t="s">
        <v>164</v>
      </c>
      <c r="E241" s="154">
        <f>E53</f>
        <v>90000000000</v>
      </c>
      <c r="F241" s="159">
        <f>EXP(SQRT(LN(F53)^2+LN(H53)^2))</f>
        <v>2.2322914680502111</v>
      </c>
      <c r="G241" s="153">
        <f>1/4500000000000</f>
        <v>2.2222222222222222E-13</v>
      </c>
      <c r="H241" s="148">
        <v>1.2</v>
      </c>
      <c r="I241" s="154">
        <f t="shared" si="31"/>
        <v>0.02</v>
      </c>
      <c r="J241" s="153"/>
      <c r="K241" s="155">
        <f>I241*cropvalue</f>
        <v>4.4000000000000003E-3</v>
      </c>
      <c r="M241" s="168"/>
      <c r="N241" s="166"/>
      <c r="O241" s="169"/>
      <c r="P241" s="169"/>
    </row>
    <row r="242" spans="1:16">
      <c r="A242" s="149" t="s">
        <v>1527</v>
      </c>
      <c r="B242" s="149" t="s">
        <v>529</v>
      </c>
      <c r="C242" s="149" t="s">
        <v>7</v>
      </c>
      <c r="D242" s="149" t="s">
        <v>530</v>
      </c>
      <c r="E242" s="154">
        <f t="shared" si="33"/>
        <v>5765294117647.0586</v>
      </c>
      <c r="F242" s="159">
        <f t="shared" si="32"/>
        <v>2.8571313313055411</v>
      </c>
      <c r="G242" s="153">
        <f t="shared" si="34"/>
        <v>9.9665379665379656E-17</v>
      </c>
      <c r="H242" s="148">
        <v>1.5</v>
      </c>
      <c r="I242" s="154">
        <f t="shared" si="31"/>
        <v>5.7460022711787408E-4</v>
      </c>
      <c r="K242" s="155">
        <f>I242*Fruitandveg_value</f>
        <v>2.240940885759709E-4</v>
      </c>
      <c r="M242" s="168"/>
      <c r="N242" s="166"/>
      <c r="O242" s="169"/>
      <c r="P242" s="169"/>
    </row>
    <row r="243" spans="1:16">
      <c r="A243" s="149" t="s">
        <v>1527</v>
      </c>
      <c r="B243" s="149" t="s">
        <v>538</v>
      </c>
      <c r="C243" s="149" t="s">
        <v>7</v>
      </c>
      <c r="D243" s="149" t="s">
        <v>509</v>
      </c>
      <c r="E243" s="154">
        <f t="shared" si="33"/>
        <v>2271176470588.2358</v>
      </c>
      <c r="F243" s="159">
        <f t="shared" si="32"/>
        <v>2.8571313313055411</v>
      </c>
      <c r="G243" s="153">
        <f t="shared" si="34"/>
        <v>9.9665379665379656E-17</v>
      </c>
      <c r="H243" s="148">
        <v>1.5</v>
      </c>
      <c r="I243" s="154">
        <f t="shared" si="31"/>
        <v>2.2635766522825351E-4</v>
      </c>
      <c r="K243" s="155">
        <f>I243*fishandmeatvalue</f>
        <v>4.7535109697933238E-4</v>
      </c>
      <c r="M243" s="168"/>
      <c r="N243" s="166"/>
      <c r="O243" s="169"/>
      <c r="P243" s="169"/>
    </row>
    <row r="244" spans="1:16">
      <c r="A244" s="149" t="s">
        <v>1527</v>
      </c>
      <c r="B244" s="148" t="s">
        <v>161</v>
      </c>
      <c r="C244" s="149" t="s">
        <v>7</v>
      </c>
      <c r="D244" s="149" t="s">
        <v>530</v>
      </c>
      <c r="E244" s="154">
        <f t="shared" si="33"/>
        <v>0</v>
      </c>
      <c r="F244" s="154">
        <f t="shared" si="33"/>
        <v>800000000000000</v>
      </c>
      <c r="G244" s="153">
        <f t="shared" si="34"/>
        <v>9.9665379665379656E-17</v>
      </c>
      <c r="H244" s="148">
        <v>1.5</v>
      </c>
      <c r="I244" s="154">
        <f t="shared" si="31"/>
        <v>0</v>
      </c>
      <c r="K244" s="155">
        <f>I244*woodvalue</f>
        <v>0</v>
      </c>
      <c r="M244" s="169"/>
      <c r="N244" s="166"/>
      <c r="O244" s="169"/>
      <c r="P244" s="169"/>
    </row>
    <row r="245" spans="1:16">
      <c r="A245" s="149" t="s">
        <v>1527</v>
      </c>
      <c r="B245" s="148" t="s">
        <v>508</v>
      </c>
      <c r="C245" s="149" t="s">
        <v>7</v>
      </c>
      <c r="D245" s="149" t="s">
        <v>530</v>
      </c>
      <c r="E245" s="154">
        <f t="shared" si="33"/>
        <v>277200000000000</v>
      </c>
      <c r="F245" s="159">
        <f t="shared" si="32"/>
        <v>3.8661629807182414</v>
      </c>
      <c r="G245" s="153">
        <f t="shared" si="34"/>
        <v>9.9665379665379656E-17</v>
      </c>
      <c r="H245" s="148">
        <v>1.5</v>
      </c>
      <c r="I245" s="154">
        <f t="shared" si="31"/>
        <v>2.7627243243243241E-2</v>
      </c>
      <c r="K245" s="155">
        <f>I245*drinkingwatervalue</f>
        <v>5.5254486486486481E-5</v>
      </c>
      <c r="M245" s="169"/>
      <c r="N245" s="166"/>
      <c r="O245" s="169"/>
      <c r="P245" s="169"/>
    </row>
    <row r="246" spans="1:16">
      <c r="A246" s="149" t="s">
        <v>1527</v>
      </c>
      <c r="B246" s="148" t="s">
        <v>510</v>
      </c>
      <c r="C246" s="149" t="s">
        <v>7</v>
      </c>
      <c r="D246" s="149" t="s">
        <v>530</v>
      </c>
      <c r="E246" s="154">
        <f t="shared" si="33"/>
        <v>554400000000000</v>
      </c>
      <c r="F246" s="159">
        <f t="shared" si="32"/>
        <v>3.8661629807182414</v>
      </c>
      <c r="G246" s="153">
        <f t="shared" si="34"/>
        <v>9.9665379665379656E-17</v>
      </c>
      <c r="H246" s="148">
        <v>1.5</v>
      </c>
      <c r="I246" s="154">
        <f t="shared" si="31"/>
        <v>5.5254486486486482E-2</v>
      </c>
      <c r="K246" s="155">
        <f>I246*irrigationwatervalue</f>
        <v>5.5254486486486481E-5</v>
      </c>
      <c r="M246" s="169"/>
      <c r="N246" s="166"/>
      <c r="O246" s="169"/>
      <c r="P246" s="169"/>
    </row>
    <row r="247" spans="1:16">
      <c r="A247" s="149" t="s">
        <v>1527</v>
      </c>
      <c r="B247" s="148" t="s">
        <v>511</v>
      </c>
      <c r="C247" s="149" t="s">
        <v>487</v>
      </c>
      <c r="D247" s="149" t="s">
        <v>512</v>
      </c>
      <c r="E247" s="154">
        <f t="shared" si="33"/>
        <v>1400000000</v>
      </c>
      <c r="F247" s="159">
        <f t="shared" si="32"/>
        <v>4.9274825772801725</v>
      </c>
      <c r="G247" s="153">
        <f t="shared" si="34"/>
        <v>9.9665379665379656E-17</v>
      </c>
      <c r="H247" s="148">
        <v>1.5</v>
      </c>
      <c r="I247" s="154">
        <f t="shared" si="31"/>
        <v>1.3953153153153152E-7</v>
      </c>
      <c r="J247" s="153"/>
      <c r="K247" s="155">
        <f>I247*energy_access</f>
        <v>3.9068828828828824E-4</v>
      </c>
      <c r="M247" s="168"/>
      <c r="N247" s="166"/>
      <c r="O247" s="169"/>
      <c r="P247" s="169"/>
    </row>
    <row r="248" spans="1:16">
      <c r="A248" s="149" t="s">
        <v>1527</v>
      </c>
      <c r="B248" s="149" t="s">
        <v>1499</v>
      </c>
      <c r="C248" s="149" t="s">
        <v>1483</v>
      </c>
      <c r="D248" s="149" t="s">
        <v>514</v>
      </c>
      <c r="E248" s="154">
        <f t="shared" si="33"/>
        <v>88000000</v>
      </c>
      <c r="F248" s="159">
        <f t="shared" si="32"/>
        <v>4.9274825772801725</v>
      </c>
      <c r="G248" s="153">
        <f t="shared" si="34"/>
        <v>9.9665379665379656E-17</v>
      </c>
      <c r="H248" s="148">
        <v>1.5</v>
      </c>
      <c r="I248" s="154">
        <f t="shared" si="31"/>
        <v>8.7705534105534096E-9</v>
      </c>
      <c r="K248" s="155">
        <f>I248*housingvalue</f>
        <v>1.7541106821106821E-5</v>
      </c>
      <c r="M248" s="169"/>
      <c r="N248" s="166"/>
      <c r="O248" s="169"/>
      <c r="P248" s="169"/>
    </row>
    <row r="249" spans="1:16">
      <c r="A249" s="149" t="s">
        <v>1527</v>
      </c>
      <c r="B249" s="148" t="s">
        <v>515</v>
      </c>
      <c r="C249" s="149" t="s">
        <v>523</v>
      </c>
      <c r="D249" s="149" t="s">
        <v>516</v>
      </c>
      <c r="E249" s="154">
        <f t="shared" si="33"/>
        <v>1000000000</v>
      </c>
      <c r="F249" s="159">
        <f t="shared" si="32"/>
        <v>4.9274825772801725</v>
      </c>
      <c r="G249" s="153">
        <f t="shared" si="34"/>
        <v>9.9665379665379656E-17</v>
      </c>
      <c r="H249" s="148">
        <v>1.5</v>
      </c>
      <c r="I249" s="154">
        <f t="shared" si="31"/>
        <v>9.9665379665379662E-8</v>
      </c>
      <c r="K249" s="155">
        <f>I249*migrationvalue</f>
        <v>2.4916344916344917E-3</v>
      </c>
      <c r="M249" s="169"/>
      <c r="N249" s="166"/>
      <c r="O249" s="169"/>
      <c r="P249" s="169"/>
    </row>
    <row r="250" spans="1:16">
      <c r="A250" s="149" t="s">
        <v>1527</v>
      </c>
      <c r="B250" s="148" t="s">
        <v>174</v>
      </c>
      <c r="C250" s="149" t="s">
        <v>505</v>
      </c>
      <c r="D250" s="148" t="s">
        <v>507</v>
      </c>
      <c r="E250" s="154">
        <f t="shared" si="33"/>
        <v>1</v>
      </c>
      <c r="F250" s="159">
        <f t="shared" si="32"/>
        <v>4.9274825772801725</v>
      </c>
      <c r="G250" s="153">
        <f t="shared" si="34"/>
        <v>9.9665379665379656E-17</v>
      </c>
      <c r="H250" s="148">
        <v>1.5</v>
      </c>
      <c r="I250" s="154">
        <f t="shared" si="31"/>
        <v>9.9665379665379656E-17</v>
      </c>
      <c r="J250" s="153"/>
      <c r="K250" s="155">
        <f>I250*speciesvalue</f>
        <v>5.5812612612612608E-6</v>
      </c>
      <c r="M250" s="168"/>
      <c r="N250" s="166"/>
      <c r="O250" s="169"/>
      <c r="P250" s="169"/>
    </row>
    <row r="251" spans="1:16">
      <c r="A251" s="149" t="s">
        <v>1527</v>
      </c>
      <c r="B251" s="148" t="s">
        <v>159</v>
      </c>
      <c r="D251" s="148" t="s">
        <v>159</v>
      </c>
      <c r="I251" s="153"/>
      <c r="J251" s="153"/>
      <c r="L251" s="155">
        <f>SUM(K234:K250)</f>
        <v>31.888733044725942</v>
      </c>
      <c r="M251" s="168"/>
      <c r="N251" s="166"/>
      <c r="O251" s="169"/>
      <c r="P251" s="169"/>
    </row>
    <row r="252" spans="1:16">
      <c r="I252" s="153"/>
      <c r="M252" s="169"/>
      <c r="N252" s="166"/>
      <c r="O252" s="169"/>
      <c r="P252" s="169"/>
    </row>
    <row r="253" spans="1:16">
      <c r="I253" s="153"/>
      <c r="M253" s="169"/>
      <c r="N253" s="166"/>
      <c r="O253" s="169"/>
      <c r="P253" s="169"/>
    </row>
    <row r="254" spans="1:16">
      <c r="J254" s="153"/>
      <c r="M254" s="168"/>
      <c r="N254" s="166"/>
      <c r="O254" s="169"/>
      <c r="P254" s="169"/>
    </row>
    <row r="255" spans="1:16">
      <c r="I255" s="153"/>
      <c r="J255" s="153"/>
      <c r="M255" s="168"/>
      <c r="N255" s="166"/>
      <c r="O255" s="169"/>
      <c r="P255" s="169"/>
    </row>
    <row r="256" spans="1:16">
      <c r="I256" s="153"/>
      <c r="M256" s="168"/>
      <c r="N256" s="166"/>
      <c r="O256" s="169"/>
      <c r="P256" s="169"/>
    </row>
    <row r="257" spans="9:16">
      <c r="M257" s="168"/>
      <c r="N257" s="166"/>
      <c r="O257" s="169"/>
      <c r="P257" s="169"/>
    </row>
    <row r="258" spans="9:16">
      <c r="M258" s="169"/>
      <c r="N258" s="166"/>
      <c r="O258" s="169"/>
      <c r="P258" s="169"/>
    </row>
    <row r="259" spans="9:16">
      <c r="I259" s="153"/>
      <c r="M259" s="169"/>
      <c r="N259" s="166"/>
      <c r="O259" s="169"/>
      <c r="P259" s="169"/>
    </row>
    <row r="260" spans="9:16">
      <c r="I260" s="153"/>
      <c r="M260" s="169"/>
      <c r="N260" s="166"/>
      <c r="O260" s="169"/>
      <c r="P260" s="169"/>
    </row>
    <row r="261" spans="9:16">
      <c r="I261" s="153"/>
      <c r="M261" s="169"/>
      <c r="N261" s="166"/>
      <c r="O261" s="169"/>
      <c r="P261" s="169"/>
    </row>
    <row r="262" spans="9:16">
      <c r="I262" s="153"/>
      <c r="J262" s="153"/>
      <c r="M262" s="168"/>
      <c r="N262" s="166"/>
      <c r="O262" s="169"/>
      <c r="P262" s="169"/>
    </row>
    <row r="263" spans="9:16">
      <c r="I263" s="153"/>
      <c r="M263" s="169"/>
      <c r="N263" s="166"/>
      <c r="O263" s="169"/>
      <c r="P263" s="169"/>
    </row>
    <row r="264" spans="9:16">
      <c r="I264" s="153"/>
      <c r="M264" s="169"/>
      <c r="N264" s="166"/>
      <c r="O264" s="169"/>
      <c r="P264" s="169"/>
    </row>
    <row r="265" spans="9:16">
      <c r="I265" s="153"/>
      <c r="M265" s="169"/>
      <c r="N265" s="166"/>
      <c r="O265" s="169"/>
      <c r="P265" s="169"/>
    </row>
    <row r="266" spans="9:16">
      <c r="J266" s="153"/>
      <c r="M266" s="168"/>
      <c r="N266" s="166"/>
      <c r="O266" s="169"/>
      <c r="P266" s="169"/>
    </row>
    <row r="267" spans="9:16">
      <c r="I267" s="153"/>
      <c r="J267" s="153"/>
      <c r="M267" s="168"/>
      <c r="N267" s="166"/>
      <c r="O267" s="169"/>
      <c r="P267" s="169"/>
    </row>
    <row r="268" spans="9:16">
      <c r="I268" s="153"/>
      <c r="M268" s="169"/>
      <c r="N268" s="166"/>
      <c r="O268" s="169"/>
      <c r="P268" s="169"/>
    </row>
    <row r="269" spans="9:16">
      <c r="I269" s="153"/>
      <c r="M269" s="169"/>
      <c r="N269" s="166"/>
      <c r="O269" s="169"/>
      <c r="P269" s="169"/>
    </row>
    <row r="270" spans="9:16">
      <c r="J270" s="153"/>
      <c r="M270" s="168"/>
      <c r="N270" s="166"/>
      <c r="O270" s="169"/>
      <c r="P270" s="169"/>
    </row>
    <row r="271" spans="9:16">
      <c r="I271" s="153"/>
      <c r="J271" s="153"/>
      <c r="M271" s="168"/>
      <c r="N271" s="166"/>
      <c r="O271" s="169"/>
      <c r="P271" s="169"/>
    </row>
    <row r="272" spans="9:16">
      <c r="I272" s="153"/>
      <c r="M272" s="168"/>
      <c r="N272" s="166"/>
      <c r="O272" s="169"/>
      <c r="P272" s="169"/>
    </row>
    <row r="273" spans="9:16">
      <c r="M273" s="168"/>
      <c r="N273" s="166"/>
      <c r="O273" s="169"/>
      <c r="P273" s="169"/>
    </row>
    <row r="274" spans="9:16">
      <c r="M274" s="168"/>
      <c r="N274" s="166"/>
      <c r="O274" s="169"/>
      <c r="P274" s="169"/>
    </row>
    <row r="275" spans="9:16">
      <c r="M275" s="169"/>
      <c r="N275" s="166"/>
      <c r="O275" s="169"/>
      <c r="P275" s="169"/>
    </row>
    <row r="276" spans="9:16">
      <c r="M276" s="169"/>
      <c r="N276" s="166"/>
      <c r="O276" s="169"/>
      <c r="P276" s="169"/>
    </row>
    <row r="277" spans="9:16">
      <c r="M277" s="169"/>
      <c r="N277" s="166"/>
      <c r="O277" s="169"/>
      <c r="P277" s="169"/>
    </row>
    <row r="278" spans="9:16">
      <c r="I278" s="153"/>
      <c r="J278" s="153"/>
      <c r="M278" s="168"/>
      <c r="N278" s="166"/>
      <c r="O278" s="169"/>
      <c r="P278" s="169"/>
    </row>
    <row r="279" spans="9:16">
      <c r="M279" s="169"/>
      <c r="N279" s="166"/>
      <c r="O279" s="169"/>
      <c r="P279" s="169"/>
    </row>
    <row r="280" spans="9:16">
      <c r="I280" s="153"/>
      <c r="J280" s="153"/>
      <c r="M280" s="168"/>
      <c r="N280" s="166"/>
      <c r="O280" s="169"/>
      <c r="P280" s="169"/>
    </row>
    <row r="281" spans="9:16">
      <c r="M281" s="169"/>
      <c r="N281" s="166"/>
      <c r="O281" s="169"/>
      <c r="P281" s="169"/>
    </row>
    <row r="282" spans="9:16">
      <c r="J282" s="153"/>
      <c r="M282" s="168"/>
      <c r="N282" s="166"/>
      <c r="O282" s="169"/>
      <c r="P282" s="169"/>
    </row>
    <row r="283" spans="9:16">
      <c r="I283" s="153"/>
      <c r="J283" s="153"/>
      <c r="M283" s="168"/>
      <c r="N283" s="166"/>
      <c r="O283" s="169"/>
      <c r="P283" s="169"/>
    </row>
    <row r="284" spans="9:16">
      <c r="M284" s="169"/>
      <c r="N284" s="166"/>
      <c r="O284" s="169"/>
      <c r="P284" s="169"/>
    </row>
    <row r="285" spans="9:16">
      <c r="M285" s="169"/>
      <c r="N285" s="166"/>
      <c r="O285" s="169"/>
      <c r="P285" s="169"/>
    </row>
    <row r="286" spans="9:16">
      <c r="I286" s="153"/>
      <c r="J286" s="153"/>
      <c r="M286" s="168"/>
      <c r="N286" s="166"/>
      <c r="O286" s="169"/>
      <c r="P286" s="169"/>
    </row>
    <row r="287" spans="9:16">
      <c r="I287" s="153"/>
      <c r="J287" s="153"/>
      <c r="M287" s="168"/>
      <c r="N287" s="166"/>
      <c r="O287" s="169"/>
      <c r="P287" s="169"/>
    </row>
    <row r="288" spans="9:16">
      <c r="I288" s="153"/>
      <c r="J288" s="153"/>
      <c r="M288" s="168"/>
      <c r="N288" s="166"/>
      <c r="O288" s="169"/>
      <c r="P288" s="169"/>
    </row>
    <row r="289" spans="9:16">
      <c r="I289" s="153"/>
      <c r="J289" s="153"/>
      <c r="M289" s="168"/>
      <c r="N289" s="166"/>
      <c r="O289" s="169"/>
      <c r="P289" s="169"/>
    </row>
    <row r="290" spans="9:16">
      <c r="I290" s="153"/>
      <c r="J290" s="153"/>
      <c r="M290" s="168"/>
      <c r="N290" s="166"/>
      <c r="O290" s="169"/>
      <c r="P290" s="169"/>
    </row>
    <row r="291" spans="9:16">
      <c r="I291" s="153"/>
      <c r="J291" s="153"/>
      <c r="M291" s="168"/>
      <c r="N291" s="166"/>
      <c r="O291" s="169"/>
      <c r="P291" s="169"/>
    </row>
    <row r="292" spans="9:16">
      <c r="I292" s="153"/>
      <c r="J292" s="153"/>
      <c r="M292" s="168"/>
      <c r="N292" s="166"/>
      <c r="O292" s="169"/>
      <c r="P292" s="169"/>
    </row>
    <row r="293" spans="9:16" ht="13.5" customHeight="1">
      <c r="I293" s="153"/>
      <c r="M293" s="169"/>
      <c r="N293" s="166"/>
      <c r="O293" s="169"/>
      <c r="P293" s="169"/>
    </row>
    <row r="294" spans="9:16">
      <c r="I294" s="153"/>
      <c r="J294" s="153"/>
      <c r="M294" s="169"/>
      <c r="N294" s="166"/>
      <c r="O294" s="169"/>
      <c r="P294" s="169"/>
    </row>
    <row r="295" spans="9:16">
      <c r="I295" s="153"/>
      <c r="M295" s="169"/>
      <c r="N295" s="166"/>
      <c r="O295" s="169"/>
      <c r="P295" s="169"/>
    </row>
    <row r="296" spans="9:16">
      <c r="M296" s="168"/>
      <c r="N296" s="166"/>
      <c r="O296" s="169"/>
      <c r="P296" s="169"/>
    </row>
    <row r="297" spans="9:16">
      <c r="J297" s="153"/>
    </row>
    <row r="298" spans="9:16">
      <c r="I298" s="153"/>
    </row>
    <row r="299" spans="9:16">
      <c r="I299" s="153"/>
      <c r="O299" s="153"/>
    </row>
    <row r="300" spans="9:16">
      <c r="I300" s="153"/>
    </row>
    <row r="301" spans="9:16">
      <c r="J301" s="153"/>
      <c r="M301" s="153"/>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8"/>
  <sheetViews>
    <sheetView workbookViewId="0">
      <selection activeCell="L190" sqref="L190"/>
    </sheetView>
  </sheetViews>
  <sheetFormatPr baseColWidth="10" defaultColWidth="8.83203125" defaultRowHeight="13"/>
  <cols>
    <col min="1" max="1" width="11.6640625" bestFit="1" customWidth="1"/>
    <col min="2" max="2" width="14.5" customWidth="1"/>
    <col min="3" max="3" width="12.6640625" customWidth="1"/>
    <col min="4" max="4" width="17.6640625" customWidth="1"/>
    <col min="5" max="5" width="10.83203125" customWidth="1"/>
    <col min="6" max="6" width="10" customWidth="1"/>
    <col min="7" max="7" width="12.6640625" customWidth="1"/>
    <col min="8" max="8" width="10.83203125" customWidth="1"/>
    <col min="9" max="9" width="15" customWidth="1"/>
    <col min="10" max="10" width="16.5" customWidth="1"/>
    <col min="11" max="11" width="11" customWidth="1"/>
  </cols>
  <sheetData>
    <row r="1" spans="1:12" ht="56">
      <c r="A1" s="46" t="s">
        <v>748</v>
      </c>
      <c r="B1" t="s">
        <v>0</v>
      </c>
      <c r="C1" s="5" t="s">
        <v>293</v>
      </c>
      <c r="D1" t="s">
        <v>1</v>
      </c>
      <c r="E1" s="46" t="s">
        <v>1853</v>
      </c>
      <c r="F1" s="46" t="s">
        <v>1854</v>
      </c>
      <c r="G1" s="7" t="s">
        <v>555</v>
      </c>
      <c r="H1" s="6" t="s">
        <v>501</v>
      </c>
      <c r="I1" s="6" t="s">
        <v>502</v>
      </c>
      <c r="J1" s="6" t="s">
        <v>528</v>
      </c>
      <c r="K1" s="6" t="s">
        <v>503</v>
      </c>
      <c r="L1" s="6" t="s">
        <v>504</v>
      </c>
    </row>
    <row r="4" spans="1:12">
      <c r="A4" t="s">
        <v>1396</v>
      </c>
      <c r="B4" t="s">
        <v>517</v>
      </c>
      <c r="C4" t="s">
        <v>659</v>
      </c>
      <c r="D4" t="s">
        <v>660</v>
      </c>
      <c r="E4" s="1">
        <f>100/1600*2000000000</f>
        <v>125000000</v>
      </c>
      <c r="F4">
        <v>3</v>
      </c>
      <c r="G4">
        <f>0.1/100000000000</f>
        <v>9.9999999999999998E-13</v>
      </c>
      <c r="H4">
        <v>10</v>
      </c>
      <c r="I4" s="70">
        <f>E4*G4</f>
        <v>1.25E-4</v>
      </c>
      <c r="K4" s="70">
        <f>I4*working_capacity</f>
        <v>7.3500000000000005</v>
      </c>
      <c r="L4" s="70">
        <f>K4</f>
        <v>7.3500000000000005</v>
      </c>
    </row>
    <row r="6" spans="1:12">
      <c r="A6" t="s">
        <v>1397</v>
      </c>
      <c r="B6" t="s">
        <v>4</v>
      </c>
      <c r="D6" t="s">
        <v>251</v>
      </c>
      <c r="E6" s="1">
        <v>1140000</v>
      </c>
      <c r="F6">
        <v>2</v>
      </c>
      <c r="G6">
        <f>0.4/(65000000000)</f>
        <v>6.1538461538461538E-12</v>
      </c>
      <c r="H6">
        <v>3</v>
      </c>
      <c r="I6" s="70">
        <f>E6*G6</f>
        <v>7.0153846153846152E-6</v>
      </c>
      <c r="K6" s="70">
        <f>I6*YOLLvalue</f>
        <v>0.35076923076923078</v>
      </c>
    </row>
    <row r="7" spans="1:12">
      <c r="A7" t="s">
        <v>1397</v>
      </c>
      <c r="B7" t="s">
        <v>4</v>
      </c>
      <c r="D7" t="s">
        <v>252</v>
      </c>
      <c r="E7" s="1">
        <f>40/10*0.61/75*7200000000</f>
        <v>234239999.99999997</v>
      </c>
      <c r="F7">
        <v>2</v>
      </c>
      <c r="G7">
        <f>0.4/(65000000000)</f>
        <v>6.1538461538461538E-12</v>
      </c>
      <c r="H7">
        <v>3</v>
      </c>
      <c r="I7" s="70">
        <f t="shared" ref="I7:I24" si="0">E7*G7</f>
        <v>1.441476923076923E-3</v>
      </c>
      <c r="K7" s="70">
        <f>I7*YOLLvalue</f>
        <v>72.073846153846148</v>
      </c>
    </row>
    <row r="8" spans="1:12">
      <c r="A8" t="s">
        <v>1397</v>
      </c>
      <c r="B8" t="s">
        <v>4</v>
      </c>
      <c r="D8" s="5" t="s">
        <v>530</v>
      </c>
      <c r="E8" s="43">
        <f>charco2yoll</f>
        <v>6.4889229343629337E-7</v>
      </c>
      <c r="F8">
        <v>3</v>
      </c>
      <c r="G8">
        <v>-102</v>
      </c>
      <c r="H8">
        <v>2</v>
      </c>
      <c r="I8" s="70">
        <f t="shared" si="0"/>
        <v>-6.6187013930501929E-5</v>
      </c>
      <c r="K8" s="70">
        <f>YOLLvalue*I8</f>
        <v>-3.3093506965250965</v>
      </c>
    </row>
    <row r="9" spans="1:12">
      <c r="A9" t="s">
        <v>1397</v>
      </c>
      <c r="B9" t="s">
        <v>4</v>
      </c>
      <c r="D9" t="s">
        <v>159</v>
      </c>
      <c r="E9" s="1">
        <f>SUM(E6:E8)</f>
        <v>235380000.00000063</v>
      </c>
      <c r="I9" s="1"/>
      <c r="J9" s="70">
        <f>SUM(I6:I8)</f>
        <v>1.3823052937618056E-3</v>
      </c>
      <c r="K9" s="1"/>
    </row>
    <row r="10" spans="1:12">
      <c r="A10" t="s">
        <v>1397</v>
      </c>
      <c r="B10" s="5" t="s">
        <v>558</v>
      </c>
      <c r="D10" t="s">
        <v>251</v>
      </c>
      <c r="E10" s="1">
        <v>1140000</v>
      </c>
      <c r="F10">
        <v>3</v>
      </c>
      <c r="G10">
        <f>0.4/(65000000000)</f>
        <v>6.1538461538461538E-12</v>
      </c>
      <c r="H10">
        <v>3</v>
      </c>
      <c r="I10" s="70">
        <f t="shared" si="0"/>
        <v>7.0153846153846152E-6</v>
      </c>
      <c r="J10" s="1"/>
      <c r="K10" s="70">
        <f>I10*asthmacasesvalue</f>
        <v>1.5083076923076923E-2</v>
      </c>
    </row>
    <row r="11" spans="1:12">
      <c r="A11" t="s">
        <v>1397</v>
      </c>
      <c r="B11" s="5" t="s">
        <v>658</v>
      </c>
      <c r="D11" t="s">
        <v>252</v>
      </c>
      <c r="E11">
        <v>290000</v>
      </c>
      <c r="F11">
        <v>3</v>
      </c>
      <c r="G11">
        <f>0.4/(65000000000)</f>
        <v>6.1538461538461538E-12</v>
      </c>
      <c r="H11">
        <v>3</v>
      </c>
      <c r="I11" s="70">
        <f t="shared" si="0"/>
        <v>1.7846153846153846E-6</v>
      </c>
      <c r="J11" s="1"/>
      <c r="K11" s="70">
        <f>I11*COPDvalue</f>
        <v>3.4175384615384614E-2</v>
      </c>
    </row>
    <row r="12" spans="1:12">
      <c r="A12" t="s">
        <v>1397</v>
      </c>
      <c r="B12" s="5" t="s">
        <v>519</v>
      </c>
      <c r="C12" s="5" t="s">
        <v>5</v>
      </c>
      <c r="D12" s="5" t="s">
        <v>530</v>
      </c>
      <c r="E12" s="70">
        <f>CO2_malnutrition_charfact</f>
        <v>2.3919691119691116E-6</v>
      </c>
      <c r="F12">
        <v>3</v>
      </c>
      <c r="G12">
        <v>-102</v>
      </c>
      <c r="H12">
        <v>2</v>
      </c>
      <c r="I12" s="70">
        <f t="shared" si="0"/>
        <v>-2.4398084942084939E-4</v>
      </c>
      <c r="J12" s="1"/>
      <c r="K12" s="70">
        <f>I12*malnutrition</f>
        <v>-2.3300171119691115</v>
      </c>
    </row>
    <row r="13" spans="1:12">
      <c r="A13" t="s">
        <v>1397</v>
      </c>
      <c r="B13" s="5" t="s">
        <v>661</v>
      </c>
      <c r="C13" s="5" t="s">
        <v>5</v>
      </c>
      <c r="D13" s="5" t="s">
        <v>530</v>
      </c>
      <c r="E13" s="70">
        <f>CO2_malnutrition_charfact</f>
        <v>2.3919691119691116E-6</v>
      </c>
      <c r="F13">
        <v>3</v>
      </c>
      <c r="G13">
        <v>-102</v>
      </c>
      <c r="H13">
        <v>2</v>
      </c>
      <c r="I13" s="70">
        <f t="shared" si="0"/>
        <v>-2.4398084942084939E-4</v>
      </c>
      <c r="J13" s="1"/>
      <c r="K13" s="70">
        <f>I13*working_capacity</f>
        <v>-14.346073945945944</v>
      </c>
    </row>
    <row r="14" spans="1:12">
      <c r="A14" t="s">
        <v>1397</v>
      </c>
      <c r="B14" s="5" t="s">
        <v>521</v>
      </c>
      <c r="C14" s="5" t="s">
        <v>5</v>
      </c>
      <c r="D14" s="5" t="s">
        <v>530</v>
      </c>
      <c r="E14" s="70">
        <f>CO2_diarrhea_charfact</f>
        <v>1.5946460746460745E-8</v>
      </c>
      <c r="F14">
        <v>3</v>
      </c>
      <c r="G14">
        <v>-102</v>
      </c>
      <c r="H14">
        <v>2</v>
      </c>
      <c r="I14" s="70">
        <f t="shared" si="0"/>
        <v>-1.626538996138996E-6</v>
      </c>
      <c r="J14" s="1"/>
      <c r="K14" s="70">
        <f>I14*diarrhea</f>
        <v>-8.5393297297297298E-3</v>
      </c>
    </row>
    <row r="15" spans="1:12">
      <c r="A15" t="s">
        <v>1397</v>
      </c>
      <c r="B15" s="5" t="s">
        <v>160</v>
      </c>
      <c r="C15" s="5" t="s">
        <v>7</v>
      </c>
      <c r="D15" s="5" t="s">
        <v>530</v>
      </c>
      <c r="E15" s="70">
        <f>CO2_crop_charfact</f>
        <v>1.0903898856840032E-2</v>
      </c>
      <c r="F15">
        <v>3</v>
      </c>
      <c r="G15">
        <v>-102</v>
      </c>
      <c r="H15">
        <v>2</v>
      </c>
      <c r="I15" s="70">
        <f t="shared" si="0"/>
        <v>-1.1121976833976832</v>
      </c>
      <c r="J15" s="1"/>
      <c r="K15" s="70">
        <f>I15*cropvalue</f>
        <v>-0.24468349034749032</v>
      </c>
    </row>
    <row r="16" spans="1:12">
      <c r="A16" t="s">
        <v>1397</v>
      </c>
      <c r="B16" s="5" t="s">
        <v>529</v>
      </c>
      <c r="C16" s="5" t="s">
        <v>7</v>
      </c>
      <c r="D16" s="5" t="s">
        <v>530</v>
      </c>
      <c r="E16" s="70">
        <f>CO2_fruitandveg_charfact</f>
        <v>1.3059096070860774E-3</v>
      </c>
      <c r="F16">
        <v>3</v>
      </c>
      <c r="G16">
        <v>-102</v>
      </c>
      <c r="H16">
        <v>2</v>
      </c>
      <c r="I16" s="70">
        <f t="shared" si="0"/>
        <v>-0.1332027799227799</v>
      </c>
      <c r="J16" s="1"/>
      <c r="K16" s="70">
        <f>I16*Fruitandveg_value</f>
        <v>-5.1949084169884162E-2</v>
      </c>
      <c r="L16" s="1"/>
    </row>
    <row r="17" spans="1:14">
      <c r="A17" t="s">
        <v>1397</v>
      </c>
      <c r="B17" s="5" t="s">
        <v>538</v>
      </c>
      <c r="C17" s="5" t="s">
        <v>7</v>
      </c>
      <c r="D17" s="5" t="s">
        <v>530</v>
      </c>
      <c r="E17" s="70">
        <f>CO2_meatandfish_charfact</f>
        <v>5.1444923915512154E-4</v>
      </c>
      <c r="F17">
        <v>3</v>
      </c>
      <c r="G17">
        <v>-102</v>
      </c>
      <c r="H17">
        <v>2</v>
      </c>
      <c r="I17" s="70">
        <f t="shared" si="0"/>
        <v>-5.2473822393822395E-2</v>
      </c>
      <c r="J17" s="1"/>
      <c r="K17" s="70">
        <f>I17*fishandmeatvalue</f>
        <v>-0.11019502702702703</v>
      </c>
    </row>
    <row r="18" spans="1:14">
      <c r="A18" t="s">
        <v>1397</v>
      </c>
      <c r="B18" t="s">
        <v>161</v>
      </c>
      <c r="C18" s="5" t="s">
        <v>7</v>
      </c>
      <c r="D18" s="5" t="s">
        <v>530</v>
      </c>
      <c r="E18" s="70">
        <f>charco2woodgw</f>
        <v>0</v>
      </c>
      <c r="F18">
        <v>3</v>
      </c>
      <c r="G18">
        <v>-102</v>
      </c>
      <c r="H18">
        <v>2</v>
      </c>
      <c r="I18" s="70">
        <f t="shared" si="0"/>
        <v>0</v>
      </c>
      <c r="J18" s="1"/>
      <c r="K18" s="70">
        <f>I18*woodvalue</f>
        <v>0</v>
      </c>
    </row>
    <row r="19" spans="1:14">
      <c r="A19" t="s">
        <v>1397</v>
      </c>
      <c r="B19" t="s">
        <v>508</v>
      </c>
      <c r="C19" s="5" t="s">
        <v>7</v>
      </c>
      <c r="D19" s="5" t="s">
        <v>530</v>
      </c>
      <c r="E19" s="70">
        <f>CO2_drinkingwater_charfact</f>
        <v>6.2789189189189187E-2</v>
      </c>
      <c r="F19">
        <v>3</v>
      </c>
      <c r="G19">
        <v>-102</v>
      </c>
      <c r="H19">
        <v>2</v>
      </c>
      <c r="I19" s="70">
        <f t="shared" si="0"/>
        <v>-6.4044972972972971</v>
      </c>
      <c r="J19" s="1"/>
      <c r="K19" s="70">
        <f>I19*drinkingwatervalue</f>
        <v>-1.2808994594594595E-2</v>
      </c>
    </row>
    <row r="20" spans="1:14">
      <c r="A20" t="s">
        <v>1397</v>
      </c>
      <c r="B20" t="s">
        <v>510</v>
      </c>
      <c r="C20" s="5" t="s">
        <v>7</v>
      </c>
      <c r="D20" s="5" t="s">
        <v>530</v>
      </c>
      <c r="E20" s="70">
        <f>CO2_irrigationwater_charfact</f>
        <v>0.12557837837837837</v>
      </c>
      <c r="F20">
        <v>3</v>
      </c>
      <c r="G20">
        <v>-102</v>
      </c>
      <c r="H20">
        <v>2</v>
      </c>
      <c r="I20" s="70">
        <f t="shared" si="0"/>
        <v>-12.808994594594594</v>
      </c>
      <c r="J20" s="1"/>
      <c r="K20" s="70">
        <f>I20*irrigationwatervalue</f>
        <v>-1.2808994594594595E-2</v>
      </c>
    </row>
    <row r="21" spans="1:14">
      <c r="A21" t="s">
        <v>1397</v>
      </c>
      <c r="B21" t="s">
        <v>511</v>
      </c>
      <c r="C21" s="5" t="s">
        <v>487</v>
      </c>
      <c r="D21" s="5" t="s">
        <v>530</v>
      </c>
      <c r="E21" s="70">
        <f>CO2_energyaccess_charfact</f>
        <v>3.1711711711711707E-7</v>
      </c>
      <c r="F21">
        <v>3</v>
      </c>
      <c r="G21">
        <v>-102</v>
      </c>
      <c r="H21">
        <v>2</v>
      </c>
      <c r="I21" s="70">
        <f t="shared" si="0"/>
        <v>-3.2345945945945939E-5</v>
      </c>
      <c r="J21" s="1"/>
      <c r="K21" s="70">
        <f>I21*energy_access</f>
        <v>-9.0568648648648636E-2</v>
      </c>
    </row>
    <row r="22" spans="1:14">
      <c r="A22" t="s">
        <v>1397</v>
      </c>
      <c r="B22" s="5" t="s">
        <v>513</v>
      </c>
      <c r="C22" s="5" t="s">
        <v>5</v>
      </c>
      <c r="D22" s="5" t="s">
        <v>530</v>
      </c>
      <c r="E22" s="70">
        <f>CO2_housing_charfact</f>
        <v>1.9933075933075932E-8</v>
      </c>
      <c r="F22">
        <v>3</v>
      </c>
      <c r="G22">
        <v>-102</v>
      </c>
      <c r="H22">
        <v>2</v>
      </c>
      <c r="I22" s="70">
        <f t="shared" si="0"/>
        <v>-2.0331737451737449E-6</v>
      </c>
      <c r="J22" s="1"/>
      <c r="K22" s="70">
        <f>I22*housingvalue</f>
        <v>-4.0663474903474897E-3</v>
      </c>
    </row>
    <row r="23" spans="1:14">
      <c r="A23" t="s">
        <v>1397</v>
      </c>
      <c r="B23" s="5" t="s">
        <v>516</v>
      </c>
      <c r="C23" s="5" t="s">
        <v>523</v>
      </c>
      <c r="D23" s="5" t="s">
        <v>530</v>
      </c>
      <c r="E23" s="70">
        <f>CO2_separations_charfact</f>
        <v>2.2651222651222648E-7</v>
      </c>
      <c r="F23">
        <v>3</v>
      </c>
      <c r="G23">
        <v>-102</v>
      </c>
      <c r="H23">
        <v>2</v>
      </c>
      <c r="I23" s="70">
        <f t="shared" si="0"/>
        <v>-2.3104247104247103E-5</v>
      </c>
      <c r="J23" s="1"/>
      <c r="K23" s="70">
        <f>I23*migrationvalue</f>
        <v>-0.57760617760617761</v>
      </c>
    </row>
    <row r="24" spans="1:14">
      <c r="A24" t="s">
        <v>1397</v>
      </c>
      <c r="B24" t="s">
        <v>174</v>
      </c>
      <c r="C24" s="5" t="s">
        <v>505</v>
      </c>
      <c r="D24" s="5" t="s">
        <v>530</v>
      </c>
      <c r="E24" s="70">
        <f>charco2nex</f>
        <v>2.2651222651222649E-16</v>
      </c>
      <c r="F24">
        <v>3</v>
      </c>
      <c r="G24">
        <v>-102</v>
      </c>
      <c r="H24">
        <v>2</v>
      </c>
      <c r="I24" s="70">
        <f t="shared" si="0"/>
        <v>-2.3104247104247101E-14</v>
      </c>
      <c r="J24" s="1"/>
      <c r="K24" s="70">
        <f>I24*speciesvalue</f>
        <v>-1.2938378378378377E-3</v>
      </c>
    </row>
    <row r="25" spans="1:14">
      <c r="A25" t="s">
        <v>1397</v>
      </c>
      <c r="B25" s="5" t="s">
        <v>159</v>
      </c>
      <c r="K25" s="70">
        <f>L25</f>
        <v>51.373912159667356</v>
      </c>
      <c r="L25" s="70">
        <f>SUM(K6:K24)</f>
        <v>51.373912159667356</v>
      </c>
    </row>
    <row r="28" spans="1:14">
      <c r="A28" t="s">
        <v>1398</v>
      </c>
      <c r="B28" t="s">
        <v>4</v>
      </c>
      <c r="D28" t="s">
        <v>251</v>
      </c>
      <c r="E28" s="1">
        <v>1140000</v>
      </c>
      <c r="F28">
        <v>2</v>
      </c>
      <c r="G28">
        <f>0.52/(40000000000)</f>
        <v>1.3E-11</v>
      </c>
      <c r="H28">
        <v>3</v>
      </c>
      <c r="I28" s="70">
        <f>E28*G28</f>
        <v>1.482E-5</v>
      </c>
      <c r="K28" s="70">
        <f>I28*YOLLvalue</f>
        <v>0.74099999999999999</v>
      </c>
    </row>
    <row r="29" spans="1:14">
      <c r="A29" t="s">
        <v>1398</v>
      </c>
      <c r="B29" t="s">
        <v>4</v>
      </c>
      <c r="D29" t="s">
        <v>252</v>
      </c>
      <c r="E29" s="1">
        <f>40/10*0.61/75*7200000000</f>
        <v>234239999.99999997</v>
      </c>
      <c r="F29">
        <v>2</v>
      </c>
      <c r="G29">
        <f>0.52/(40000000000)</f>
        <v>1.3E-11</v>
      </c>
      <c r="H29">
        <v>3</v>
      </c>
      <c r="I29" s="70">
        <f>E29*G29</f>
        <v>3.0451199999999997E-3</v>
      </c>
      <c r="K29" s="70">
        <f>I29*YOLLvalue</f>
        <v>152.25599999999997</v>
      </c>
    </row>
    <row r="30" spans="1:14">
      <c r="A30" t="s">
        <v>1398</v>
      </c>
      <c r="B30" t="s">
        <v>4</v>
      </c>
      <c r="D30" s="5" t="s">
        <v>530</v>
      </c>
      <c r="E30" s="43">
        <f>charco2yoll</f>
        <v>6.4889229343629337E-7</v>
      </c>
      <c r="F30">
        <v>3</v>
      </c>
      <c r="G30">
        <v>-153</v>
      </c>
      <c r="H30">
        <v>2</v>
      </c>
      <c r="I30" s="70">
        <f>E30*G30</f>
        <v>-9.928052089575288E-5</v>
      </c>
      <c r="K30" s="70">
        <f>YOLLvalue*I30</f>
        <v>-4.9640260447876443</v>
      </c>
      <c r="N30" s="8"/>
    </row>
    <row r="31" spans="1:14">
      <c r="A31" t="s">
        <v>1398</v>
      </c>
      <c r="B31" t="s">
        <v>4</v>
      </c>
      <c r="D31" t="s">
        <v>159</v>
      </c>
      <c r="E31" s="1">
        <f>SUM(E28:E30)</f>
        <v>235380000.00000063</v>
      </c>
      <c r="I31" s="1"/>
      <c r="J31" s="70">
        <f>SUM(I28:I30)</f>
        <v>2.9606594791042468E-3</v>
      </c>
      <c r="K31" s="1"/>
    </row>
    <row r="32" spans="1:14">
      <c r="A32" t="s">
        <v>1398</v>
      </c>
      <c r="B32" s="5" t="s">
        <v>558</v>
      </c>
      <c r="D32" t="s">
        <v>164</v>
      </c>
      <c r="E32" s="1">
        <f>0.0000129*40*7200000000</f>
        <v>3715199.9999999995</v>
      </c>
      <c r="F32">
        <v>3</v>
      </c>
      <c r="G32">
        <f>0.52/(40000000000)</f>
        <v>1.3E-11</v>
      </c>
      <c r="H32">
        <v>3</v>
      </c>
      <c r="I32" s="70">
        <f t="shared" ref="I32:I46" si="1">E32*G32</f>
        <v>4.8297599999999996E-5</v>
      </c>
      <c r="K32" s="70">
        <f>I32*asthmacasesvalue</f>
        <v>0.10383983999999999</v>
      </c>
    </row>
    <row r="33" spans="1:12">
      <c r="A33" t="s">
        <v>1398</v>
      </c>
      <c r="B33" s="5" t="s">
        <v>658</v>
      </c>
      <c r="D33" t="s">
        <v>164</v>
      </c>
      <c r="E33" s="1">
        <v>290000</v>
      </c>
      <c r="F33">
        <v>3</v>
      </c>
      <c r="G33">
        <f>0.52/(40000000000)</f>
        <v>1.3E-11</v>
      </c>
      <c r="H33">
        <v>3</v>
      </c>
      <c r="I33" s="70">
        <f t="shared" si="1"/>
        <v>3.7699999999999999E-6</v>
      </c>
      <c r="K33" s="70">
        <f>I33*COPDvalue</f>
        <v>7.2195499999999996E-2</v>
      </c>
    </row>
    <row r="34" spans="1:12">
      <c r="A34" t="s">
        <v>1398</v>
      </c>
      <c r="B34" s="5" t="s">
        <v>519</v>
      </c>
      <c r="C34" s="5" t="s">
        <v>5</v>
      </c>
      <c r="D34" s="5" t="s">
        <v>530</v>
      </c>
      <c r="E34" s="43">
        <f>CO2_malnutrition_charfact</f>
        <v>2.3919691119691116E-6</v>
      </c>
      <c r="F34">
        <v>3</v>
      </c>
      <c r="G34">
        <v>-153</v>
      </c>
      <c r="H34">
        <v>2</v>
      </c>
      <c r="I34" s="70">
        <f t="shared" si="1"/>
        <v>-3.6597127413127409E-4</v>
      </c>
      <c r="K34" s="70">
        <f>I34*malnutrition</f>
        <v>-3.4950256679536675</v>
      </c>
    </row>
    <row r="35" spans="1:12">
      <c r="A35" t="s">
        <v>1398</v>
      </c>
      <c r="B35" s="5" t="s">
        <v>661</v>
      </c>
      <c r="C35" s="5" t="s">
        <v>5</v>
      </c>
      <c r="D35" s="5" t="s">
        <v>530</v>
      </c>
      <c r="E35" s="43">
        <f>CO2_malnutrition_charfact</f>
        <v>2.3919691119691116E-6</v>
      </c>
      <c r="F35">
        <v>3</v>
      </c>
      <c r="G35">
        <v>-153</v>
      </c>
      <c r="H35">
        <v>2</v>
      </c>
      <c r="I35" s="70">
        <f t="shared" si="1"/>
        <v>-3.6597127413127409E-4</v>
      </c>
      <c r="J35" s="1"/>
      <c r="K35" s="70">
        <f>I35*working_capacity</f>
        <v>-21.519110918918916</v>
      </c>
    </row>
    <row r="36" spans="1:12">
      <c r="A36" t="s">
        <v>1398</v>
      </c>
      <c r="B36" s="5" t="s">
        <v>521</v>
      </c>
      <c r="C36" s="5" t="s">
        <v>5</v>
      </c>
      <c r="D36" s="5" t="s">
        <v>530</v>
      </c>
      <c r="E36" s="43">
        <f>CO2_diarrhea_charfact</f>
        <v>1.5946460746460745E-8</v>
      </c>
      <c r="F36">
        <v>3</v>
      </c>
      <c r="G36">
        <v>-153</v>
      </c>
      <c r="H36">
        <v>2</v>
      </c>
      <c r="I36" s="70">
        <f t="shared" si="1"/>
        <v>-2.4398084942084942E-6</v>
      </c>
      <c r="J36" s="1"/>
      <c r="K36" s="70">
        <f>I36*diarrhea</f>
        <v>-1.2808994594594595E-2</v>
      </c>
    </row>
    <row r="37" spans="1:12">
      <c r="A37" t="s">
        <v>1398</v>
      </c>
      <c r="B37" s="5" t="s">
        <v>160</v>
      </c>
      <c r="C37" s="5" t="s">
        <v>7</v>
      </c>
      <c r="D37" s="5" t="s">
        <v>530</v>
      </c>
      <c r="E37" s="43">
        <f>CO2_crop_charfact</f>
        <v>1.0903898856840032E-2</v>
      </c>
      <c r="F37">
        <v>3</v>
      </c>
      <c r="G37">
        <v>-153</v>
      </c>
      <c r="H37">
        <v>2</v>
      </c>
      <c r="I37" s="70">
        <f t="shared" si="1"/>
        <v>-1.6682965250965249</v>
      </c>
      <c r="K37" s="70">
        <f>I37*cropvalue</f>
        <v>-0.3670252355212355</v>
      </c>
    </row>
    <row r="38" spans="1:12">
      <c r="A38" t="s">
        <v>1398</v>
      </c>
      <c r="B38" s="5" t="s">
        <v>529</v>
      </c>
      <c r="C38" s="5" t="s">
        <v>7</v>
      </c>
      <c r="D38" s="5" t="s">
        <v>530</v>
      </c>
      <c r="E38" s="43">
        <f>CO2_fruitandveg_charfact</f>
        <v>1.3059096070860774E-3</v>
      </c>
      <c r="F38">
        <v>3</v>
      </c>
      <c r="G38">
        <v>-153</v>
      </c>
      <c r="H38">
        <v>2</v>
      </c>
      <c r="I38" s="70">
        <f t="shared" si="1"/>
        <v>-0.19980416988416985</v>
      </c>
      <c r="J38" s="1"/>
      <c r="K38" s="70">
        <f>I38*Fruitandveg_value</f>
        <v>-7.7923626254826239E-2</v>
      </c>
    </row>
    <row r="39" spans="1:12">
      <c r="A39" t="s">
        <v>1398</v>
      </c>
      <c r="B39" s="5" t="s">
        <v>538</v>
      </c>
      <c r="C39" s="5" t="s">
        <v>7</v>
      </c>
      <c r="D39" s="5" t="s">
        <v>530</v>
      </c>
      <c r="E39" s="43">
        <f>CO2_meatandfish_charfact</f>
        <v>5.1444923915512154E-4</v>
      </c>
      <c r="F39">
        <v>3</v>
      </c>
      <c r="G39">
        <v>-153</v>
      </c>
      <c r="H39">
        <v>2</v>
      </c>
      <c r="I39" s="70">
        <f t="shared" si="1"/>
        <v>-7.8710733590733592E-2</v>
      </c>
      <c r="J39" s="1"/>
      <c r="K39" s="70">
        <f>I39*fishandmeatvalue</f>
        <v>-0.16529254054054054</v>
      </c>
    </row>
    <row r="40" spans="1:12">
      <c r="A40" t="s">
        <v>1398</v>
      </c>
      <c r="B40" t="s">
        <v>161</v>
      </c>
      <c r="C40" s="5" t="s">
        <v>7</v>
      </c>
      <c r="D40" s="5" t="s">
        <v>530</v>
      </c>
      <c r="E40" s="43">
        <f>charco2woodgw</f>
        <v>0</v>
      </c>
      <c r="F40">
        <v>3</v>
      </c>
      <c r="G40">
        <v>-153</v>
      </c>
      <c r="H40">
        <v>2</v>
      </c>
      <c r="I40" s="70">
        <f t="shared" si="1"/>
        <v>0</v>
      </c>
      <c r="J40" s="1"/>
      <c r="K40" s="70">
        <f>I40*woodvalue</f>
        <v>0</v>
      </c>
    </row>
    <row r="41" spans="1:12">
      <c r="A41" t="s">
        <v>1398</v>
      </c>
      <c r="B41" t="s">
        <v>508</v>
      </c>
      <c r="C41" s="5" t="s">
        <v>7</v>
      </c>
      <c r="D41" s="5" t="s">
        <v>530</v>
      </c>
      <c r="E41" s="70">
        <f>CO2_drinkingwater_charfact</f>
        <v>6.2789189189189187E-2</v>
      </c>
      <c r="F41">
        <v>3</v>
      </c>
      <c r="G41">
        <v>-153</v>
      </c>
      <c r="H41">
        <v>2</v>
      </c>
      <c r="I41" s="70">
        <f t="shared" si="1"/>
        <v>-9.6067459459459457</v>
      </c>
      <c r="J41" s="1"/>
      <c r="K41" s="70">
        <f>I41*drinkingwatervalue</f>
        <v>-1.9213491891891893E-2</v>
      </c>
    </row>
    <row r="42" spans="1:12">
      <c r="A42" t="s">
        <v>1398</v>
      </c>
      <c r="B42" t="s">
        <v>510</v>
      </c>
      <c r="C42" s="5" t="s">
        <v>7</v>
      </c>
      <c r="D42" s="5" t="s">
        <v>530</v>
      </c>
      <c r="E42" s="70">
        <f>CO2_irrigationwater_charfact</f>
        <v>0.12557837837837837</v>
      </c>
      <c r="F42">
        <v>3</v>
      </c>
      <c r="G42">
        <v>-153</v>
      </c>
      <c r="H42">
        <v>2</v>
      </c>
      <c r="I42" s="70">
        <f t="shared" si="1"/>
        <v>-19.213491891891891</v>
      </c>
      <c r="J42" s="1"/>
      <c r="K42" s="70">
        <f>I42*irrigationwatervalue</f>
        <v>-1.9213491891891893E-2</v>
      </c>
    </row>
    <row r="43" spans="1:12">
      <c r="A43" t="s">
        <v>1398</v>
      </c>
      <c r="B43" t="s">
        <v>511</v>
      </c>
      <c r="C43" s="5" t="s">
        <v>487</v>
      </c>
      <c r="D43" s="5" t="s">
        <v>530</v>
      </c>
      <c r="E43" s="70">
        <f>CO2_energyaccess_charfact</f>
        <v>3.1711711711711707E-7</v>
      </c>
      <c r="F43">
        <v>3</v>
      </c>
      <c r="G43">
        <v>-153</v>
      </c>
      <c r="H43">
        <v>2</v>
      </c>
      <c r="I43" s="70">
        <f t="shared" si="1"/>
        <v>-4.8518918918918909E-5</v>
      </c>
      <c r="J43" s="1"/>
      <c r="K43" s="70">
        <f>I43*energy_access</f>
        <v>-0.13585297297297294</v>
      </c>
    </row>
    <row r="44" spans="1:12">
      <c r="A44" t="s">
        <v>1398</v>
      </c>
      <c r="B44" s="5" t="s">
        <v>513</v>
      </c>
      <c r="C44" s="5" t="s">
        <v>5</v>
      </c>
      <c r="D44" s="5" t="s">
        <v>530</v>
      </c>
      <c r="E44" s="70">
        <f>CO2_housing_charfact</f>
        <v>1.9933075933075932E-8</v>
      </c>
      <c r="F44">
        <v>3</v>
      </c>
      <c r="G44">
        <v>-153</v>
      </c>
      <c r="H44">
        <v>2</v>
      </c>
      <c r="I44" s="70">
        <f t="shared" si="1"/>
        <v>-3.0497606177606176E-6</v>
      </c>
      <c r="J44" s="1"/>
      <c r="K44" s="70">
        <f>I44*housingvalue</f>
        <v>-6.0995212355212354E-3</v>
      </c>
    </row>
    <row r="45" spans="1:12">
      <c r="A45" t="s">
        <v>1398</v>
      </c>
      <c r="B45" s="5" t="s">
        <v>516</v>
      </c>
      <c r="C45" s="5" t="s">
        <v>523</v>
      </c>
      <c r="D45" s="5" t="s">
        <v>530</v>
      </c>
      <c r="E45" s="70">
        <f>CO2_separations_charfact</f>
        <v>2.2651222651222648E-7</v>
      </c>
      <c r="F45">
        <v>3</v>
      </c>
      <c r="G45">
        <v>-153</v>
      </c>
      <c r="H45">
        <v>2</v>
      </c>
      <c r="I45" s="70">
        <f t="shared" si="1"/>
        <v>-3.4656370656370649E-5</v>
      </c>
      <c r="J45" s="1"/>
      <c r="K45" s="70">
        <f>I45*migrationvalue</f>
        <v>-0.86640926640926619</v>
      </c>
    </row>
    <row r="46" spans="1:12">
      <c r="A46" t="s">
        <v>1398</v>
      </c>
      <c r="B46" t="s">
        <v>174</v>
      </c>
      <c r="C46" s="5" t="s">
        <v>505</v>
      </c>
      <c r="D46" s="5" t="s">
        <v>530</v>
      </c>
      <c r="E46" s="70">
        <f>charco2nex</f>
        <v>2.2651222651222649E-16</v>
      </c>
      <c r="F46">
        <v>3</v>
      </c>
      <c r="G46">
        <v>-153</v>
      </c>
      <c r="H46">
        <v>2</v>
      </c>
      <c r="I46" s="70">
        <f t="shared" si="1"/>
        <v>-3.4656370656370654E-14</v>
      </c>
      <c r="J46" s="1"/>
      <c r="K46" s="70">
        <f>I46*speciesvalue</f>
        <v>-1.9407567567567565E-3</v>
      </c>
    </row>
    <row r="47" spans="1:12">
      <c r="A47" t="s">
        <v>1398</v>
      </c>
      <c r="B47" s="5" t="s">
        <v>159</v>
      </c>
      <c r="K47" s="70">
        <f>SUM(K28:K46)</f>
        <v>121.5230928102703</v>
      </c>
      <c r="L47" s="70">
        <f>K47</f>
        <v>121.5230928102703</v>
      </c>
    </row>
    <row r="49" spans="1:11">
      <c r="H49" s="1"/>
    </row>
    <row r="51" spans="1:11">
      <c r="A51" s="45" t="s">
        <v>1399</v>
      </c>
      <c r="B51" t="s">
        <v>4</v>
      </c>
      <c r="D51" t="s">
        <v>251</v>
      </c>
      <c r="E51" s="1">
        <v>1140000</v>
      </c>
      <c r="F51">
        <v>2</v>
      </c>
      <c r="G51">
        <f>G28</f>
        <v>1.3E-11</v>
      </c>
      <c r="H51">
        <v>3</v>
      </c>
      <c r="I51" s="70">
        <f>E51*G51</f>
        <v>1.482E-5</v>
      </c>
      <c r="K51" s="70">
        <f>I51*YOLLvalue</f>
        <v>0.74099999999999999</v>
      </c>
    </row>
    <row r="52" spans="1:11">
      <c r="A52" s="45" t="s">
        <v>1399</v>
      </c>
      <c r="B52" t="s">
        <v>4</v>
      </c>
      <c r="D52" t="s">
        <v>252</v>
      </c>
      <c r="E52" s="1">
        <f>40/10*0.61/75*7200000000</f>
        <v>234239999.99999997</v>
      </c>
      <c r="F52">
        <v>2</v>
      </c>
      <c r="G52">
        <f>G29</f>
        <v>1.3E-11</v>
      </c>
      <c r="H52">
        <v>3</v>
      </c>
      <c r="I52" s="70">
        <f>E52*G52</f>
        <v>3.0451199999999997E-3</v>
      </c>
      <c r="K52" s="70">
        <f>I52*YOLLvalue</f>
        <v>152.25599999999997</v>
      </c>
    </row>
    <row r="53" spans="1:11">
      <c r="A53" s="45" t="s">
        <v>1399</v>
      </c>
      <c r="B53" t="s">
        <v>4</v>
      </c>
      <c r="D53" s="5" t="s">
        <v>530</v>
      </c>
      <c r="E53" s="43">
        <f>charco2yoll</f>
        <v>6.4889229343629337E-7</v>
      </c>
      <c r="F53">
        <v>3</v>
      </c>
      <c r="G53">
        <f>658</f>
        <v>658</v>
      </c>
      <c r="H53">
        <v>2</v>
      </c>
      <c r="I53" s="70">
        <f>E53*G53</f>
        <v>4.2697112908108106E-4</v>
      </c>
      <c r="J53" s="70">
        <v>4.26971129081081E-4</v>
      </c>
      <c r="K53" s="70">
        <f>YOLLvalue*I53</f>
        <v>21.348556454054052</v>
      </c>
    </row>
    <row r="54" spans="1:11">
      <c r="A54" s="45" t="s">
        <v>1399</v>
      </c>
      <c r="B54" t="s">
        <v>4</v>
      </c>
      <c r="D54" t="s">
        <v>159</v>
      </c>
      <c r="E54" s="1">
        <f>SUM(E51:E53)</f>
        <v>235380000.00000063</v>
      </c>
      <c r="I54" s="1"/>
      <c r="J54" s="70">
        <f>SUM(I51:I53)</f>
        <v>3.4869111290810806E-3</v>
      </c>
      <c r="K54" s="1"/>
    </row>
    <row r="55" spans="1:11">
      <c r="A55" s="45" t="s">
        <v>1399</v>
      </c>
      <c r="B55" s="5" t="s">
        <v>558</v>
      </c>
      <c r="D55" t="s">
        <v>251</v>
      </c>
      <c r="E55" s="1">
        <v>1140000</v>
      </c>
      <c r="F55">
        <v>3</v>
      </c>
      <c r="G55" s="1">
        <f>'8. Inorganic gases'!G8*658</f>
        <v>1.4904504504504503E-13</v>
      </c>
      <c r="H55">
        <v>3</v>
      </c>
      <c r="I55" s="70">
        <f t="shared" ref="I55:I69" si="2">E55*G55</f>
        <v>1.6991135135135133E-7</v>
      </c>
      <c r="K55" s="70">
        <f>I55*asthmacasesvalue</f>
        <v>3.6530940540540534E-4</v>
      </c>
    </row>
    <row r="56" spans="1:11">
      <c r="A56" s="45" t="s">
        <v>1399</v>
      </c>
      <c r="B56" s="5" t="s">
        <v>658</v>
      </c>
      <c r="D56" t="s">
        <v>252</v>
      </c>
      <c r="E56" s="1">
        <v>290000</v>
      </c>
      <c r="F56">
        <v>3</v>
      </c>
      <c r="G56" s="1">
        <f>'8. Inorganic gases'!G8*658</f>
        <v>1.4904504504504503E-13</v>
      </c>
      <c r="H56">
        <v>3</v>
      </c>
      <c r="I56" s="70">
        <f t="shared" si="2"/>
        <v>4.3223063063063058E-8</v>
      </c>
      <c r="K56" s="70">
        <f>I56*COPDvalue</f>
        <v>8.2772165765765762E-4</v>
      </c>
    </row>
    <row r="57" spans="1:11">
      <c r="A57" s="45" t="s">
        <v>1399</v>
      </c>
      <c r="B57" s="5" t="s">
        <v>519</v>
      </c>
      <c r="C57" s="5" t="s">
        <v>5</v>
      </c>
      <c r="D57" s="5" t="s">
        <v>530</v>
      </c>
      <c r="E57" s="70">
        <f>CO2_malnutrition_charfact</f>
        <v>2.3919691119691116E-6</v>
      </c>
      <c r="F57">
        <v>3</v>
      </c>
      <c r="G57">
        <f>658</f>
        <v>658</v>
      </c>
      <c r="H57">
        <v>2</v>
      </c>
      <c r="I57" s="70">
        <f t="shared" si="2"/>
        <v>1.5739156756756755E-3</v>
      </c>
      <c r="J57" s="70">
        <v>1.5739156756756755E-3</v>
      </c>
      <c r="K57" s="70">
        <f>I57*malnutrition</f>
        <v>15.030894702702701</v>
      </c>
    </row>
    <row r="58" spans="1:11">
      <c r="A58" s="45" t="s">
        <v>1399</v>
      </c>
      <c r="B58" s="5" t="s">
        <v>661</v>
      </c>
      <c r="C58" s="5" t="s">
        <v>5</v>
      </c>
      <c r="D58" s="5" t="s">
        <v>530</v>
      </c>
      <c r="E58" s="70">
        <f>CO2_malnutrition_charfact</f>
        <v>2.3919691119691116E-6</v>
      </c>
      <c r="F58">
        <v>3</v>
      </c>
      <c r="G58">
        <f>658</f>
        <v>658</v>
      </c>
      <c r="H58">
        <v>2</v>
      </c>
      <c r="I58" s="70">
        <f t="shared" si="2"/>
        <v>1.5739156756756755E-3</v>
      </c>
      <c r="J58" s="70">
        <v>7.6728389189189184E-4</v>
      </c>
      <c r="K58" s="70">
        <f>I58*working_capacity</f>
        <v>92.546241729729715</v>
      </c>
    </row>
    <row r="59" spans="1:11">
      <c r="A59" s="45" t="s">
        <v>1399</v>
      </c>
      <c r="B59" s="5" t="s">
        <v>521</v>
      </c>
      <c r="C59" s="5" t="s">
        <v>5</v>
      </c>
      <c r="D59" s="5" t="s">
        <v>530</v>
      </c>
      <c r="E59" s="70">
        <f>CO2_diarrhea_charfact</f>
        <v>1.5946460746460745E-8</v>
      </c>
      <c r="F59">
        <v>3</v>
      </c>
      <c r="G59">
        <f>658</f>
        <v>658</v>
      </c>
      <c r="H59">
        <v>2</v>
      </c>
      <c r="I59" s="70">
        <f t="shared" si="2"/>
        <v>1.049277117117117E-5</v>
      </c>
      <c r="J59" s="70">
        <v>1.049277117117117E-5</v>
      </c>
      <c r="K59" s="70">
        <f>I59*diarrhea</f>
        <v>5.5087048648648641E-2</v>
      </c>
    </row>
    <row r="60" spans="1:11">
      <c r="A60" s="45" t="s">
        <v>1399</v>
      </c>
      <c r="B60" s="5" t="s">
        <v>160</v>
      </c>
      <c r="C60" s="5" t="s">
        <v>7</v>
      </c>
      <c r="D60" s="5" t="s">
        <v>530</v>
      </c>
      <c r="E60" s="70">
        <f>CO2_crop_charfact</f>
        <v>1.0903898856840032E-2</v>
      </c>
      <c r="F60">
        <v>3</v>
      </c>
      <c r="G60">
        <f>658</f>
        <v>658</v>
      </c>
      <c r="H60">
        <v>2</v>
      </c>
      <c r="I60" s="70">
        <f t="shared" si="2"/>
        <v>7.1747654478007412</v>
      </c>
      <c r="J60" s="70">
        <v>7.1747654478007412</v>
      </c>
      <c r="K60" s="70">
        <f>I60*cropvalue</f>
        <v>1.578448398516163</v>
      </c>
    </row>
    <row r="61" spans="1:11">
      <c r="A61" s="45" t="s">
        <v>1399</v>
      </c>
      <c r="B61" s="5" t="s">
        <v>529</v>
      </c>
      <c r="C61" s="5" t="s">
        <v>7</v>
      </c>
      <c r="D61" s="5" t="s">
        <v>530</v>
      </c>
      <c r="E61" s="70">
        <f>CO2_fruitandveg_charfact</f>
        <v>1.3059096070860774E-3</v>
      </c>
      <c r="F61">
        <v>3</v>
      </c>
      <c r="G61">
        <f>658</f>
        <v>658</v>
      </c>
      <c r="H61">
        <v>2</v>
      </c>
      <c r="I61" s="70">
        <f t="shared" si="2"/>
        <v>0.8592885214626389</v>
      </c>
      <c r="J61" s="70">
        <v>0.85928852146263901</v>
      </c>
      <c r="K61" s="70">
        <f>I61*Fruitandveg_value</f>
        <v>0.33512252337042919</v>
      </c>
    </row>
    <row r="62" spans="1:11">
      <c r="A62" s="45" t="s">
        <v>1399</v>
      </c>
      <c r="B62" s="5" t="s">
        <v>538</v>
      </c>
      <c r="C62" s="5" t="s">
        <v>7</v>
      </c>
      <c r="D62" s="5" t="s">
        <v>530</v>
      </c>
      <c r="E62" s="70">
        <f>CO2_meatandfish_charfact</f>
        <v>5.1444923915512154E-4</v>
      </c>
      <c r="F62">
        <v>3</v>
      </c>
      <c r="G62">
        <f>658</f>
        <v>658</v>
      </c>
      <c r="H62">
        <v>2</v>
      </c>
      <c r="I62" s="70">
        <f t="shared" si="2"/>
        <v>0.33850759936406999</v>
      </c>
      <c r="J62" s="70">
        <v>0.33850759936406999</v>
      </c>
      <c r="K62" s="70">
        <f>I62*fishandmeatvalue</f>
        <v>0.71086595866454705</v>
      </c>
    </row>
    <row r="63" spans="1:11">
      <c r="A63" s="45" t="s">
        <v>1399</v>
      </c>
      <c r="B63" t="s">
        <v>161</v>
      </c>
      <c r="C63" s="5" t="s">
        <v>7</v>
      </c>
      <c r="D63" s="5" t="s">
        <v>530</v>
      </c>
      <c r="E63" s="70">
        <f>charco2woodgw</f>
        <v>0</v>
      </c>
      <c r="F63">
        <v>3</v>
      </c>
      <c r="G63">
        <f>658</f>
        <v>658</v>
      </c>
      <c r="H63">
        <v>2</v>
      </c>
      <c r="I63" s="70">
        <f t="shared" si="2"/>
        <v>0</v>
      </c>
      <c r="J63" s="70">
        <v>0</v>
      </c>
      <c r="K63" s="70">
        <f>I63*woodvalue</f>
        <v>0</v>
      </c>
    </row>
    <row r="64" spans="1:11">
      <c r="A64" s="45" t="s">
        <v>1399</v>
      </c>
      <c r="B64" t="s">
        <v>508</v>
      </c>
      <c r="C64" s="5" t="s">
        <v>7</v>
      </c>
      <c r="D64" s="5" t="s">
        <v>530</v>
      </c>
      <c r="E64" s="70">
        <f>CO2_drinkingwater_charfact</f>
        <v>6.2789189189189187E-2</v>
      </c>
      <c r="F64">
        <v>3</v>
      </c>
      <c r="G64">
        <f>658</f>
        <v>658</v>
      </c>
      <c r="H64">
        <v>2</v>
      </c>
      <c r="I64" s="70">
        <f t="shared" si="2"/>
        <v>41.315286486486485</v>
      </c>
      <c r="J64" s="70">
        <v>41.315286486486478</v>
      </c>
      <c r="K64" s="70">
        <f>I64*drinkingwatervalue</f>
        <v>8.2630572972972965E-2</v>
      </c>
    </row>
    <row r="65" spans="1:12">
      <c r="A65" s="45" t="s">
        <v>1399</v>
      </c>
      <c r="B65" t="s">
        <v>510</v>
      </c>
      <c r="C65" s="5" t="s">
        <v>7</v>
      </c>
      <c r="D65" s="5" t="s">
        <v>530</v>
      </c>
      <c r="E65" s="70">
        <f>CO2_irrigationwater_charfact</f>
        <v>0.12557837837837837</v>
      </c>
      <c r="F65">
        <v>3</v>
      </c>
      <c r="G65">
        <f>658</f>
        <v>658</v>
      </c>
      <c r="H65">
        <v>2</v>
      </c>
      <c r="I65" s="70">
        <f t="shared" si="2"/>
        <v>82.630572972972971</v>
      </c>
      <c r="J65" s="70">
        <v>82.630572972972956</v>
      </c>
      <c r="K65" s="70">
        <f>I65*irrigationwatervalue</f>
        <v>8.2630572972972965E-2</v>
      </c>
    </row>
    <row r="66" spans="1:12">
      <c r="A66" s="45" t="s">
        <v>1399</v>
      </c>
      <c r="B66" t="s">
        <v>511</v>
      </c>
      <c r="C66" s="5" t="s">
        <v>487</v>
      </c>
      <c r="D66" s="5" t="s">
        <v>530</v>
      </c>
      <c r="E66" s="70">
        <f>CO2_energyaccess_charfact</f>
        <v>3.1711711711711707E-7</v>
      </c>
      <c r="F66">
        <v>3</v>
      </c>
      <c r="G66">
        <f>658</f>
        <v>658</v>
      </c>
      <c r="H66">
        <v>2</v>
      </c>
      <c r="I66" s="70">
        <f t="shared" si="2"/>
        <v>2.0866306306306304E-4</v>
      </c>
      <c r="J66" s="70">
        <v>2.0866306306306304E-4</v>
      </c>
      <c r="K66" s="70">
        <f>I66*energy_access</f>
        <v>0.58425657657657648</v>
      </c>
    </row>
    <row r="67" spans="1:12">
      <c r="A67" s="45" t="s">
        <v>1399</v>
      </c>
      <c r="B67" s="5" t="s">
        <v>513</v>
      </c>
      <c r="C67" s="5" t="s">
        <v>5</v>
      </c>
      <c r="D67" s="5" t="s">
        <v>530</v>
      </c>
      <c r="E67" s="70">
        <f>CO2_housing_charfact</f>
        <v>1.9933075933075932E-8</v>
      </c>
      <c r="F67">
        <v>3</v>
      </c>
      <c r="G67">
        <f>658</f>
        <v>658</v>
      </c>
      <c r="H67">
        <v>2</v>
      </c>
      <c r="I67" s="70">
        <f t="shared" si="2"/>
        <v>1.3115963963963963E-5</v>
      </c>
      <c r="J67" s="70">
        <v>2.6231927927927923E-5</v>
      </c>
      <c r="K67" s="70">
        <f>I67*housingvalue</f>
        <v>2.6231927927927928E-2</v>
      </c>
    </row>
    <row r="68" spans="1:12">
      <c r="A68" s="45" t="s">
        <v>1399</v>
      </c>
      <c r="B68" s="5" t="s">
        <v>516</v>
      </c>
      <c r="C68" s="5" t="s">
        <v>523</v>
      </c>
      <c r="D68" s="5" t="s">
        <v>530</v>
      </c>
      <c r="E68" s="70">
        <f>CO2_separations_charfact</f>
        <v>2.2651222651222648E-7</v>
      </c>
      <c r="F68">
        <v>3</v>
      </c>
      <c r="G68">
        <f>658</f>
        <v>658</v>
      </c>
      <c r="H68">
        <v>2</v>
      </c>
      <c r="I68" s="70">
        <f t="shared" si="2"/>
        <v>1.4904504504504503E-4</v>
      </c>
      <c r="J68" s="70">
        <v>1.4904504504504503E-4</v>
      </c>
      <c r="K68" s="70">
        <f>I68*migrationvalue</f>
        <v>3.7261261261261258</v>
      </c>
    </row>
    <row r="69" spans="1:12">
      <c r="A69" s="45" t="s">
        <v>1399</v>
      </c>
      <c r="B69" t="s">
        <v>174</v>
      </c>
      <c r="C69" s="5" t="s">
        <v>505</v>
      </c>
      <c r="D69" s="5" t="s">
        <v>530</v>
      </c>
      <c r="E69" s="70">
        <f>charco2nex</f>
        <v>2.2651222651222649E-16</v>
      </c>
      <c r="F69">
        <v>3</v>
      </c>
      <c r="G69">
        <f>658</f>
        <v>658</v>
      </c>
      <c r="H69">
        <v>2</v>
      </c>
      <c r="I69" s="70">
        <f t="shared" si="2"/>
        <v>1.4904504504504503E-13</v>
      </c>
      <c r="J69" s="70">
        <v>1.4904504504504503E-13</v>
      </c>
      <c r="K69" s="70">
        <f>I69*speciesvalue</f>
        <v>8.3465225225225221E-3</v>
      </c>
    </row>
    <row r="70" spans="1:12">
      <c r="B70" s="5" t="s">
        <v>159</v>
      </c>
      <c r="K70" s="70">
        <f>SUM(K51:K69)</f>
        <v>289.11363214584844</v>
      </c>
      <c r="L70" s="70">
        <f>K70</f>
        <v>289.11363214584844</v>
      </c>
    </row>
    <row r="73" spans="1:12">
      <c r="A73" s="45" t="s">
        <v>1400</v>
      </c>
      <c r="B73" t="s">
        <v>4</v>
      </c>
      <c r="D73" t="s">
        <v>251</v>
      </c>
      <c r="E73" s="1">
        <v>1140000</v>
      </c>
      <c r="F73">
        <v>2</v>
      </c>
      <c r="G73">
        <f>0.52/(40000000000)</f>
        <v>1.3E-11</v>
      </c>
      <c r="H73">
        <v>3</v>
      </c>
      <c r="I73" s="70">
        <f>E73*G73</f>
        <v>1.482E-5</v>
      </c>
      <c r="K73" s="70">
        <f>I73*YOLLvalue</f>
        <v>0.74099999999999999</v>
      </c>
    </row>
    <row r="74" spans="1:12">
      <c r="A74" s="45" t="s">
        <v>1400</v>
      </c>
      <c r="B74" t="s">
        <v>4</v>
      </c>
      <c r="D74" t="s">
        <v>252</v>
      </c>
      <c r="E74" s="1">
        <f>40/10*0.61/75*7200000000</f>
        <v>234239999.99999997</v>
      </c>
      <c r="F74">
        <v>2</v>
      </c>
      <c r="G74">
        <f>0.52/(40000000000)</f>
        <v>1.3E-11</v>
      </c>
      <c r="H74">
        <v>3</v>
      </c>
      <c r="I74" s="70">
        <f>E74*G74</f>
        <v>3.0451199999999997E-3</v>
      </c>
      <c r="K74" s="70">
        <f>I74*YOLLvalue</f>
        <v>152.25599999999997</v>
      </c>
    </row>
    <row r="75" spans="1:12">
      <c r="A75" s="45" t="s">
        <v>1400</v>
      </c>
      <c r="B75" t="s">
        <v>4</v>
      </c>
      <c r="D75" s="5" t="s">
        <v>530</v>
      </c>
      <c r="E75" s="43">
        <f>charco2yoll</f>
        <v>6.4889229343629337E-7</v>
      </c>
      <c r="F75">
        <v>3</v>
      </c>
      <c r="G75">
        <f>-66.4</f>
        <v>-66.400000000000006</v>
      </c>
      <c r="H75">
        <v>2</v>
      </c>
      <c r="I75" s="70">
        <f>E75*G75</f>
        <v>-4.3086448284169883E-5</v>
      </c>
      <c r="K75" s="70">
        <f>YOLLvalue*I75</f>
        <v>-2.1543224142084942</v>
      </c>
    </row>
    <row r="76" spans="1:12">
      <c r="A76" s="45" t="s">
        <v>1400</v>
      </c>
      <c r="B76" t="s">
        <v>4</v>
      </c>
      <c r="D76" t="s">
        <v>159</v>
      </c>
      <c r="E76" s="1">
        <f>SUM(E73:E75)</f>
        <v>235380000.00000063</v>
      </c>
      <c r="I76" s="1"/>
      <c r="J76" s="70">
        <f>SUM(I73:I75)</f>
        <v>3.01685355171583E-3</v>
      </c>
      <c r="K76" s="1"/>
    </row>
    <row r="77" spans="1:12">
      <c r="A77" s="45" t="s">
        <v>1400</v>
      </c>
      <c r="B77" s="5" t="s">
        <v>558</v>
      </c>
      <c r="D77" t="s">
        <v>251</v>
      </c>
      <c r="E77" s="1">
        <v>1140000</v>
      </c>
      <c r="F77">
        <v>3</v>
      </c>
      <c r="G77">
        <f>0.52/(40000000000)</f>
        <v>1.3E-11</v>
      </c>
      <c r="H77">
        <v>3</v>
      </c>
      <c r="I77" s="70">
        <f t="shared" ref="I77:I91" si="3">E77*G77</f>
        <v>1.482E-5</v>
      </c>
      <c r="K77" s="70">
        <f>I77*asthmacasesvalue</f>
        <v>3.1863000000000002E-2</v>
      </c>
    </row>
    <row r="78" spans="1:12">
      <c r="A78" s="45" t="s">
        <v>1400</v>
      </c>
      <c r="B78" s="5" t="s">
        <v>658</v>
      </c>
      <c r="D78" t="s">
        <v>252</v>
      </c>
      <c r="E78" s="1">
        <v>290000</v>
      </c>
      <c r="F78">
        <v>3</v>
      </c>
      <c r="G78">
        <f>0.52/(40000000000)</f>
        <v>1.3E-11</v>
      </c>
      <c r="H78">
        <v>3</v>
      </c>
      <c r="I78" s="70">
        <f t="shared" si="3"/>
        <v>3.7699999999999999E-6</v>
      </c>
      <c r="K78" s="70">
        <f>I78*COPDvalue</f>
        <v>7.2195499999999996E-2</v>
      </c>
    </row>
    <row r="79" spans="1:12">
      <c r="A79" s="45" t="s">
        <v>1400</v>
      </c>
      <c r="B79" s="5" t="s">
        <v>519</v>
      </c>
      <c r="C79" s="5" t="s">
        <v>5</v>
      </c>
      <c r="D79" s="5" t="s">
        <v>530</v>
      </c>
      <c r="E79" s="70">
        <f>CO2_malnutrition_charfact</f>
        <v>2.3919691119691116E-6</v>
      </c>
      <c r="F79">
        <v>3</v>
      </c>
      <c r="G79">
        <f t="shared" ref="G79:G91" si="4">-66.4</f>
        <v>-66.400000000000006</v>
      </c>
      <c r="H79">
        <v>2</v>
      </c>
      <c r="I79" s="70">
        <f t="shared" si="3"/>
        <v>-1.5882674903474903E-4</v>
      </c>
      <c r="J79" s="1"/>
      <c r="K79" s="70">
        <f>I79*malnutrition</f>
        <v>-1.5167954532818533</v>
      </c>
    </row>
    <row r="80" spans="1:12">
      <c r="A80" s="45" t="s">
        <v>1400</v>
      </c>
      <c r="B80" s="5" t="s">
        <v>661</v>
      </c>
      <c r="C80" s="5" t="s">
        <v>5</v>
      </c>
      <c r="D80" s="5" t="s">
        <v>530</v>
      </c>
      <c r="E80" s="70">
        <f>CO2_malnutrition_charfact</f>
        <v>2.3919691119691116E-6</v>
      </c>
      <c r="F80">
        <v>3</v>
      </c>
      <c r="G80">
        <f t="shared" si="4"/>
        <v>-66.400000000000006</v>
      </c>
      <c r="H80">
        <v>2</v>
      </c>
      <c r="I80" s="70">
        <f t="shared" si="3"/>
        <v>-1.5882674903474903E-4</v>
      </c>
      <c r="J80" s="1"/>
      <c r="K80" s="70">
        <f>I80*working_capacity</f>
        <v>-9.3390128432432427</v>
      </c>
    </row>
    <row r="81" spans="1:12">
      <c r="A81" s="45" t="s">
        <v>1400</v>
      </c>
      <c r="B81" s="5" t="s">
        <v>521</v>
      </c>
      <c r="C81" s="5" t="s">
        <v>5</v>
      </c>
      <c r="D81" s="5" t="s">
        <v>530</v>
      </c>
      <c r="E81" s="70">
        <f>CO2_diarrhea_charfact</f>
        <v>1.5946460746460745E-8</v>
      </c>
      <c r="F81">
        <v>3</v>
      </c>
      <c r="G81">
        <f t="shared" si="4"/>
        <v>-66.400000000000006</v>
      </c>
      <c r="H81">
        <v>2</v>
      </c>
      <c r="I81" s="70">
        <f t="shared" si="3"/>
        <v>-1.0588449935649936E-6</v>
      </c>
      <c r="J81" s="1"/>
      <c r="K81" s="70">
        <f>I81*diarrhea</f>
        <v>-5.5589362162162164E-3</v>
      </c>
    </row>
    <row r="82" spans="1:12">
      <c r="A82" s="45" t="s">
        <v>1400</v>
      </c>
      <c r="B82" s="5" t="s">
        <v>160</v>
      </c>
      <c r="C82" s="5" t="s">
        <v>7</v>
      </c>
      <c r="D82" s="5" t="s">
        <v>530</v>
      </c>
      <c r="E82" s="70">
        <f>CO2_crop_charfact</f>
        <v>1.0903898856840032E-2</v>
      </c>
      <c r="F82">
        <v>3</v>
      </c>
      <c r="G82">
        <f t="shared" si="4"/>
        <v>-66.400000000000006</v>
      </c>
      <c r="H82">
        <v>2</v>
      </c>
      <c r="I82" s="70">
        <f t="shared" si="3"/>
        <v>-0.72401888409417814</v>
      </c>
      <c r="J82" s="1"/>
      <c r="K82" s="70">
        <f>I82*cropvalue</f>
        <v>-0.1592841545007192</v>
      </c>
    </row>
    <row r="83" spans="1:12">
      <c r="A83" s="45" t="s">
        <v>1400</v>
      </c>
      <c r="B83" s="5" t="s">
        <v>529</v>
      </c>
      <c r="C83" s="5" t="s">
        <v>7</v>
      </c>
      <c r="D83" s="5" t="s">
        <v>530</v>
      </c>
      <c r="E83" s="70">
        <f>CO2_fruitandveg_charfact</f>
        <v>1.3059096070860774E-3</v>
      </c>
      <c r="F83">
        <v>3</v>
      </c>
      <c r="G83">
        <f t="shared" si="4"/>
        <v>-66.400000000000006</v>
      </c>
      <c r="H83">
        <v>2</v>
      </c>
      <c r="I83" s="70">
        <f t="shared" si="3"/>
        <v>-8.6712397910515548E-2</v>
      </c>
      <c r="J83" s="1"/>
      <c r="K83" s="70">
        <f>I83*Fruitandveg_value</f>
        <v>-3.3817835185101064E-2</v>
      </c>
    </row>
    <row r="84" spans="1:12">
      <c r="A84" s="45" t="s">
        <v>1400</v>
      </c>
      <c r="B84" s="5" t="s">
        <v>538</v>
      </c>
      <c r="C84" s="5" t="s">
        <v>7</v>
      </c>
      <c r="D84" s="5" t="s">
        <v>530</v>
      </c>
      <c r="E84" s="70">
        <f>CO2_meatandfish_charfact</f>
        <v>5.1444923915512154E-4</v>
      </c>
      <c r="F84">
        <v>3</v>
      </c>
      <c r="G84">
        <f t="shared" si="4"/>
        <v>-66.400000000000006</v>
      </c>
      <c r="H84">
        <v>2</v>
      </c>
      <c r="I84" s="70">
        <f t="shared" si="3"/>
        <v>-3.4159429479900076E-2</v>
      </c>
      <c r="J84" s="1"/>
      <c r="K84" s="70">
        <f>I84*fishandmeatvalue</f>
        <v>-7.1734801907790163E-2</v>
      </c>
    </row>
    <row r="85" spans="1:12">
      <c r="A85" s="45" t="s">
        <v>1400</v>
      </c>
      <c r="B85" t="s">
        <v>161</v>
      </c>
      <c r="C85" s="5" t="s">
        <v>7</v>
      </c>
      <c r="D85" s="5" t="s">
        <v>530</v>
      </c>
      <c r="E85" s="70">
        <f>charco2woodgw</f>
        <v>0</v>
      </c>
      <c r="F85">
        <v>3</v>
      </c>
      <c r="G85">
        <f t="shared" si="4"/>
        <v>-66.400000000000006</v>
      </c>
      <c r="H85">
        <v>2</v>
      </c>
      <c r="I85" s="70">
        <f t="shared" si="3"/>
        <v>0</v>
      </c>
      <c r="J85" s="1"/>
      <c r="K85" s="70">
        <f>I85*woodvalue</f>
        <v>0</v>
      </c>
    </row>
    <row r="86" spans="1:12">
      <c r="A86" s="45" t="s">
        <v>1400</v>
      </c>
      <c r="B86" t="s">
        <v>508</v>
      </c>
      <c r="C86" s="5" t="s">
        <v>7</v>
      </c>
      <c r="D86" s="5" t="s">
        <v>530</v>
      </c>
      <c r="E86" s="70">
        <f>CO2_drinkingwater_charfact</f>
        <v>6.2789189189189187E-2</v>
      </c>
      <c r="F86">
        <v>3</v>
      </c>
      <c r="G86">
        <f t="shared" si="4"/>
        <v>-66.400000000000006</v>
      </c>
      <c r="H86">
        <v>2</v>
      </c>
      <c r="I86" s="70">
        <f t="shared" si="3"/>
        <v>-4.1692021621621622</v>
      </c>
      <c r="J86" s="1"/>
      <c r="K86" s="70">
        <f>I86*drinkingwatervalue</f>
        <v>-8.338404324324325E-3</v>
      </c>
    </row>
    <row r="87" spans="1:12">
      <c r="A87" s="45" t="s">
        <v>1400</v>
      </c>
      <c r="B87" t="s">
        <v>510</v>
      </c>
      <c r="C87" s="5" t="s">
        <v>7</v>
      </c>
      <c r="D87" s="5" t="s">
        <v>530</v>
      </c>
      <c r="E87" s="70">
        <f>CO2_irrigationwater_charfact</f>
        <v>0.12557837837837837</v>
      </c>
      <c r="F87">
        <v>3</v>
      </c>
      <c r="G87">
        <f t="shared" si="4"/>
        <v>-66.400000000000006</v>
      </c>
      <c r="H87">
        <v>2</v>
      </c>
      <c r="I87" s="70">
        <f t="shared" si="3"/>
        <v>-8.3384043243243244</v>
      </c>
      <c r="J87" s="1"/>
      <c r="K87" s="70">
        <f>I87*irrigationwatervalue</f>
        <v>-8.338404324324325E-3</v>
      </c>
    </row>
    <row r="88" spans="1:12">
      <c r="A88" s="45" t="s">
        <v>1400</v>
      </c>
      <c r="B88" t="s">
        <v>511</v>
      </c>
      <c r="C88" s="5" t="s">
        <v>487</v>
      </c>
      <c r="D88" s="5" t="s">
        <v>530</v>
      </c>
      <c r="E88" s="70">
        <f>CO2_energyaccess_charfact</f>
        <v>3.1711711711711707E-7</v>
      </c>
      <c r="F88">
        <v>3</v>
      </c>
      <c r="G88">
        <f t="shared" si="4"/>
        <v>-66.400000000000006</v>
      </c>
      <c r="H88">
        <v>2</v>
      </c>
      <c r="I88" s="70">
        <f t="shared" si="3"/>
        <v>-2.1056576576576576E-5</v>
      </c>
      <c r="J88" s="1"/>
      <c r="K88" s="70">
        <f>I88*energy_access</f>
        <v>-5.8958414414414413E-2</v>
      </c>
    </row>
    <row r="89" spans="1:12">
      <c r="A89" s="45" t="s">
        <v>1400</v>
      </c>
      <c r="B89" s="5" t="s">
        <v>513</v>
      </c>
      <c r="C89" s="5" t="s">
        <v>5</v>
      </c>
      <c r="D89" s="5" t="s">
        <v>530</v>
      </c>
      <c r="E89" s="70">
        <f>CO2_housing_charfact</f>
        <v>1.9933075933075932E-8</v>
      </c>
      <c r="F89">
        <v>3</v>
      </c>
      <c r="G89">
        <f t="shared" si="4"/>
        <v>-66.400000000000006</v>
      </c>
      <c r="H89">
        <v>2</v>
      </c>
      <c r="I89" s="70">
        <f t="shared" si="3"/>
        <v>-1.3235562419562421E-6</v>
      </c>
      <c r="J89" s="1"/>
      <c r="K89" s="70">
        <f>I89*housingvalue</f>
        <v>-2.6471124839124839E-3</v>
      </c>
    </row>
    <row r="90" spans="1:12">
      <c r="A90" s="45" t="s">
        <v>1400</v>
      </c>
      <c r="B90" s="5" t="s">
        <v>516</v>
      </c>
      <c r="C90" s="5" t="s">
        <v>523</v>
      </c>
      <c r="D90" s="5" t="s">
        <v>530</v>
      </c>
      <c r="E90" s="70">
        <f>CO2_separations_charfact</f>
        <v>2.2651222651222648E-7</v>
      </c>
      <c r="F90">
        <v>3</v>
      </c>
      <c r="G90">
        <f t="shared" si="4"/>
        <v>-66.400000000000006</v>
      </c>
      <c r="H90">
        <v>2</v>
      </c>
      <c r="I90" s="70">
        <f t="shared" si="3"/>
        <v>-1.5040411840411839E-5</v>
      </c>
      <c r="J90" s="1"/>
      <c r="K90" s="70">
        <f>I90*migrationvalue</f>
        <v>-0.37601029601029595</v>
      </c>
    </row>
    <row r="91" spans="1:12">
      <c r="A91" s="45" t="s">
        <v>1400</v>
      </c>
      <c r="B91" t="s">
        <v>174</v>
      </c>
      <c r="C91" s="5" t="s">
        <v>505</v>
      </c>
      <c r="D91" s="5" t="s">
        <v>530</v>
      </c>
      <c r="E91" s="70">
        <f>charco2nex</f>
        <v>2.2651222651222649E-16</v>
      </c>
      <c r="F91">
        <v>3</v>
      </c>
      <c r="G91">
        <f t="shared" si="4"/>
        <v>-66.400000000000006</v>
      </c>
      <c r="H91">
        <v>2</v>
      </c>
      <c r="I91" s="70">
        <f t="shared" si="3"/>
        <v>-1.5040411840411839E-14</v>
      </c>
      <c r="J91" s="1"/>
      <c r="K91" s="70">
        <f>I91*speciesvalue</f>
        <v>-8.4226306306306301E-4</v>
      </c>
    </row>
    <row r="92" spans="1:12">
      <c r="B92" s="5" t="s">
        <v>159</v>
      </c>
      <c r="K92" s="70">
        <f>SUM(K73:K91)</f>
        <v>139.36539716683629</v>
      </c>
      <c r="L92" s="70">
        <f>K92</f>
        <v>139.36539716683629</v>
      </c>
    </row>
    <row r="94" spans="1:12">
      <c r="A94" t="s">
        <v>1401</v>
      </c>
      <c r="B94" t="s">
        <v>4</v>
      </c>
      <c r="D94" t="s">
        <v>1395</v>
      </c>
      <c r="E94" s="1">
        <f>0.0043*0.83*5.8*0.000000001*0.4/70*7200000000</f>
        <v>8.5166537142857153E-4</v>
      </c>
      <c r="F94">
        <v>3</v>
      </c>
      <c r="G94">
        <v>1</v>
      </c>
      <c r="H94">
        <v>2</v>
      </c>
      <c r="I94" s="70">
        <f>E94*G94</f>
        <v>8.5166537142857153E-4</v>
      </c>
      <c r="J94" s="1"/>
      <c r="K94" s="70">
        <f>YOLLvalue*I94</f>
        <v>42.583268571428576</v>
      </c>
    </row>
    <row r="95" spans="1:12">
      <c r="A95" t="s">
        <v>1401</v>
      </c>
      <c r="B95" t="s">
        <v>4</v>
      </c>
      <c r="C95" t="s">
        <v>5</v>
      </c>
      <c r="D95" t="s">
        <v>1556</v>
      </c>
      <c r="E95" s="1">
        <f>0.01*5*0.4*0.000000001/70*7200000000</f>
        <v>2.0571428571428576E-3</v>
      </c>
      <c r="F95">
        <v>3</v>
      </c>
      <c r="G95">
        <v>1</v>
      </c>
      <c r="H95">
        <v>1</v>
      </c>
      <c r="I95" s="70">
        <f>E95*G95</f>
        <v>2.0571428571428576E-3</v>
      </c>
      <c r="J95" s="1"/>
      <c r="K95" s="70">
        <f>YOLLvalue*I95</f>
        <v>102.85714285714288</v>
      </c>
    </row>
    <row r="96" spans="1:12">
      <c r="A96" t="s">
        <v>1401</v>
      </c>
      <c r="B96" t="s">
        <v>1395</v>
      </c>
      <c r="D96" t="s">
        <v>1395</v>
      </c>
      <c r="E96" s="1">
        <f>0.0043*1*0.000000001/70*72000000000</f>
        <v>4.4228571428571433E-3</v>
      </c>
      <c r="F96">
        <v>3</v>
      </c>
      <c r="G96" s="45">
        <v>1</v>
      </c>
      <c r="H96">
        <v>2</v>
      </c>
      <c r="I96" s="70">
        <f>E96*G96</f>
        <v>4.4228571428571433E-3</v>
      </c>
      <c r="J96" s="1"/>
      <c r="K96" s="70">
        <f>I96*cancervalue</f>
        <v>44.228571428571435</v>
      </c>
    </row>
    <row r="97" spans="1:12">
      <c r="A97" t="s">
        <v>1401</v>
      </c>
      <c r="B97" t="s">
        <v>161</v>
      </c>
      <c r="D97" t="s">
        <v>1406</v>
      </c>
      <c r="E97">
        <v>0</v>
      </c>
      <c r="F97">
        <v>1</v>
      </c>
      <c r="G97">
        <v>1</v>
      </c>
      <c r="H97">
        <v>1</v>
      </c>
      <c r="I97" s="70">
        <v>0</v>
      </c>
      <c r="J97" s="70">
        <v>0</v>
      </c>
      <c r="K97" s="70">
        <v>0</v>
      </c>
    </row>
    <row r="98" spans="1:12">
      <c r="A98" t="s">
        <v>1401</v>
      </c>
      <c r="B98" t="s">
        <v>159</v>
      </c>
      <c r="D98" t="s">
        <v>159</v>
      </c>
      <c r="L98" s="70">
        <f>SUM(K94:K97)</f>
        <v>189.66898285714288</v>
      </c>
    </row>
    <row r="100" spans="1:12">
      <c r="A100" t="s">
        <v>1402</v>
      </c>
      <c r="B100" t="s">
        <v>4</v>
      </c>
      <c r="D100" t="s">
        <v>1395</v>
      </c>
      <c r="E100" s="1">
        <f>0.0018*0.34*24*0.000000001/70*7200000000</f>
        <v>1.5107657142857144E-3</v>
      </c>
      <c r="F100">
        <v>3</v>
      </c>
      <c r="G100">
        <v>1</v>
      </c>
      <c r="H100">
        <v>2</v>
      </c>
      <c r="I100" s="70">
        <f>E100*G100</f>
        <v>1.5107657142857144E-3</v>
      </c>
      <c r="J100" s="1"/>
      <c r="K100" s="70">
        <f>I100*YOLLvalue</f>
        <v>75.53828571428572</v>
      </c>
    </row>
    <row r="101" spans="1:12">
      <c r="A101" t="s">
        <v>1402</v>
      </c>
      <c r="B101" s="45" t="s">
        <v>1395</v>
      </c>
      <c r="D101" t="s">
        <v>1395</v>
      </c>
      <c r="E101" s="1">
        <f>0.0018*0.66*3*0.000000001/70*72000000000</f>
        <v>3.6658285714285723E-3</v>
      </c>
      <c r="F101">
        <v>3</v>
      </c>
      <c r="G101">
        <v>1</v>
      </c>
      <c r="H101">
        <v>2</v>
      </c>
      <c r="I101" s="70">
        <f>E101*G101</f>
        <v>3.6658285714285723E-3</v>
      </c>
      <c r="J101" s="1"/>
      <c r="K101" s="70">
        <f>I101*cancervalue</f>
        <v>36.658285714285725</v>
      </c>
    </row>
    <row r="102" spans="1:12">
      <c r="A102" t="s">
        <v>1402</v>
      </c>
      <c r="B102" t="s">
        <v>161</v>
      </c>
      <c r="D102" t="s">
        <v>295</v>
      </c>
      <c r="E102">
        <v>0</v>
      </c>
      <c r="G102">
        <v>1</v>
      </c>
      <c r="H102">
        <v>1</v>
      </c>
      <c r="I102" s="69">
        <v>0</v>
      </c>
      <c r="J102" s="1"/>
      <c r="K102" s="70">
        <f>I102*woodvalue</f>
        <v>0</v>
      </c>
    </row>
    <row r="103" spans="1:12">
      <c r="A103" t="s">
        <v>1402</v>
      </c>
      <c r="B103" t="s">
        <v>159</v>
      </c>
      <c r="D103" t="s">
        <v>159</v>
      </c>
      <c r="L103" s="70">
        <f>SUM(K100:K102)</f>
        <v>112.19657142857145</v>
      </c>
    </row>
    <row r="105" spans="1:12">
      <c r="A105" t="s">
        <v>1403</v>
      </c>
      <c r="B105" t="s">
        <v>4</v>
      </c>
      <c r="D105" t="s">
        <v>1395</v>
      </c>
      <c r="E105" s="1">
        <f>0.26*0.04*0.83*5.8*0.000000001*0.4/70*7200000000</f>
        <v>2.0598418285714291E-3</v>
      </c>
      <c r="F105">
        <v>3</v>
      </c>
      <c r="G105">
        <v>1</v>
      </c>
      <c r="H105">
        <v>2</v>
      </c>
      <c r="I105" s="70">
        <f>E105*G105</f>
        <v>2.0598418285714291E-3</v>
      </c>
      <c r="J105" s="1"/>
      <c r="K105" s="70">
        <f>YOLLvalue*I105</f>
        <v>102.99209142857146</v>
      </c>
    </row>
    <row r="106" spans="1:12">
      <c r="A106" t="s">
        <v>1403</v>
      </c>
      <c r="B106" s="45" t="s">
        <v>1395</v>
      </c>
      <c r="D106" t="s">
        <v>1395</v>
      </c>
      <c r="E106" s="1">
        <f>0.26*0.04*0.17*3*0.000000001*0.4/70*7200000000</f>
        <v>2.1822171428571434E-4</v>
      </c>
      <c r="F106">
        <v>3</v>
      </c>
      <c r="G106">
        <v>1</v>
      </c>
      <c r="H106">
        <v>2</v>
      </c>
      <c r="I106" s="70">
        <f>E106*G106</f>
        <v>2.1822171428571434E-4</v>
      </c>
      <c r="J106" s="1"/>
      <c r="K106" s="70">
        <f>I106*cancervalue</f>
        <v>2.1822171428571435</v>
      </c>
    </row>
    <row r="107" spans="1:12">
      <c r="A107" t="s">
        <v>1403</v>
      </c>
      <c r="B107" t="s">
        <v>159</v>
      </c>
      <c r="D107" t="s">
        <v>159</v>
      </c>
      <c r="E107" s="1"/>
      <c r="L107" s="70">
        <f>SUM(K105:K106)</f>
        <v>105.1743085714286</v>
      </c>
    </row>
    <row r="109" spans="1:12">
      <c r="A109" t="s">
        <v>1404</v>
      </c>
      <c r="B109" t="s">
        <v>161</v>
      </c>
      <c r="D109" t="s">
        <v>295</v>
      </c>
      <c r="E109">
        <v>0</v>
      </c>
      <c r="F109">
        <v>1</v>
      </c>
      <c r="G109">
        <v>1</v>
      </c>
      <c r="H109">
        <v>1</v>
      </c>
      <c r="I109" s="70">
        <f>E109*G109</f>
        <v>0</v>
      </c>
      <c r="K109" s="70">
        <f>I109</f>
        <v>0</v>
      </c>
      <c r="L109" s="70">
        <f>K109*woodvalue</f>
        <v>0</v>
      </c>
    </row>
    <row r="110" spans="1:12">
      <c r="I110" s="4"/>
      <c r="K110" s="4"/>
      <c r="L110" s="4"/>
    </row>
    <row r="111" spans="1:12">
      <c r="A111" t="s">
        <v>1405</v>
      </c>
      <c r="B111" t="s">
        <v>4</v>
      </c>
      <c r="D111" t="s">
        <v>1395</v>
      </c>
      <c r="E111" s="1">
        <f>0.00038*0.83*5.8*0.000000001*0.4/70*7200000000</f>
        <v>7.5263451428571446E-5</v>
      </c>
      <c r="F111">
        <v>3</v>
      </c>
      <c r="G111">
        <v>1</v>
      </c>
      <c r="H111">
        <v>1</v>
      </c>
      <c r="I111" s="70">
        <f>E111*G111</f>
        <v>7.5263451428571446E-5</v>
      </c>
      <c r="K111" s="70">
        <f>YOLLvalue*I111</f>
        <v>3.7631725714285724</v>
      </c>
      <c r="L111" s="4"/>
    </row>
    <row r="112" spans="1:12">
      <c r="A112" t="s">
        <v>1405</v>
      </c>
      <c r="B112" t="s">
        <v>253</v>
      </c>
      <c r="D112" t="s">
        <v>1395</v>
      </c>
      <c r="E112" s="1">
        <f>0.00038*0.17*3*0.000000001*0.4/70*7200000000</f>
        <v>7.9734857142857182E-6</v>
      </c>
      <c r="F112">
        <v>3</v>
      </c>
      <c r="G112">
        <v>1</v>
      </c>
      <c r="H112">
        <v>1</v>
      </c>
      <c r="I112" s="70">
        <f>E112*G112</f>
        <v>7.9734857142857182E-6</v>
      </c>
      <c r="K112" s="70">
        <f>cancervalue*I112</f>
        <v>7.9734857142857177E-2</v>
      </c>
      <c r="L112" s="4"/>
    </row>
    <row r="113" spans="1:12">
      <c r="A113" t="s">
        <v>1405</v>
      </c>
      <c r="B113" t="s">
        <v>161</v>
      </c>
      <c r="D113" t="s">
        <v>295</v>
      </c>
      <c r="E113">
        <v>0</v>
      </c>
      <c r="F113">
        <v>1</v>
      </c>
      <c r="G113">
        <v>1</v>
      </c>
      <c r="H113">
        <v>1</v>
      </c>
      <c r="I113" s="70">
        <f>E113*G113</f>
        <v>0</v>
      </c>
      <c r="K113" s="70">
        <f>I113*woodvalue</f>
        <v>0</v>
      </c>
      <c r="L113" s="4"/>
    </row>
    <row r="114" spans="1:12">
      <c r="L114" s="70">
        <f>SUM(K111:K113)</f>
        <v>3.8429074285714298</v>
      </c>
    </row>
    <row r="115" spans="1:12">
      <c r="L115" s="70"/>
    </row>
    <row r="116" spans="1:12">
      <c r="A116" t="s">
        <v>261</v>
      </c>
      <c r="B116" t="s">
        <v>1407</v>
      </c>
      <c r="D116" t="s">
        <v>258</v>
      </c>
      <c r="E116" s="8">
        <v>100000</v>
      </c>
      <c r="F116">
        <v>5</v>
      </c>
      <c r="G116" s="1">
        <f>1/31000000</f>
        <v>3.2258064516129035E-8</v>
      </c>
      <c r="H116">
        <v>5</v>
      </c>
      <c r="I116" s="70">
        <f>E116*G116</f>
        <v>3.2258064516129037E-3</v>
      </c>
      <c r="J116" s="1"/>
      <c r="K116" s="70">
        <f>I116*Intellectualdisabilityvalue</f>
        <v>5.0000000000000009</v>
      </c>
      <c r="L116" s="4"/>
    </row>
    <row r="117" spans="1:12">
      <c r="A117" t="s">
        <v>261</v>
      </c>
      <c r="B117" t="s">
        <v>161</v>
      </c>
      <c r="D117" t="s">
        <v>295</v>
      </c>
      <c r="E117">
        <v>0</v>
      </c>
      <c r="G117">
        <v>1</v>
      </c>
      <c r="I117" s="69">
        <v>0</v>
      </c>
      <c r="J117" s="70">
        <v>0</v>
      </c>
      <c r="K117" s="70">
        <v>0</v>
      </c>
    </row>
    <row r="118" spans="1:12">
      <c r="A118" t="s">
        <v>261</v>
      </c>
      <c r="B118" t="s">
        <v>159</v>
      </c>
      <c r="D118" t="s">
        <v>159</v>
      </c>
      <c r="L118" s="70">
        <f>SUM(K116:K117)</f>
        <v>5.0000000000000009</v>
      </c>
    </row>
    <row r="120" spans="1:12">
      <c r="A120" t="s">
        <v>262</v>
      </c>
      <c r="B120" t="s">
        <v>159</v>
      </c>
      <c r="D120" t="s">
        <v>159</v>
      </c>
      <c r="L120">
        <v>0</v>
      </c>
    </row>
    <row r="122" spans="1:12">
      <c r="A122" t="s">
        <v>1531</v>
      </c>
      <c r="B122" t="s">
        <v>4</v>
      </c>
      <c r="D122" t="s">
        <v>253</v>
      </c>
      <c r="E122" s="1">
        <f>0.000031/70*7200000000*24</f>
        <v>76525.71428571429</v>
      </c>
      <c r="G122" s="1">
        <f>1/520000000</f>
        <v>1.9230769230769231E-9</v>
      </c>
      <c r="I122" s="70">
        <f>E122*G122</f>
        <v>1.4716483516483519E-4</v>
      </c>
      <c r="J122" s="1"/>
      <c r="K122" s="70">
        <f>I122*YOLLvalue</f>
        <v>7.3582417582417596</v>
      </c>
      <c r="L122" s="4"/>
    </row>
    <row r="123" spans="1:12">
      <c r="A123" t="s">
        <v>1531</v>
      </c>
      <c r="B123" t="s">
        <v>1395</v>
      </c>
      <c r="D123" t="s">
        <v>253</v>
      </c>
      <c r="E123" s="1">
        <f>0.000031/70*7200000000*3</f>
        <v>9565.7142857142862</v>
      </c>
      <c r="G123" s="1">
        <f>1/520000000</f>
        <v>1.9230769230769231E-9</v>
      </c>
      <c r="I123" s="70">
        <f>E123*G123</f>
        <v>1.8395604395604398E-5</v>
      </c>
      <c r="J123" s="1"/>
      <c r="K123" s="70">
        <f>I123*cancervalue</f>
        <v>0.18395604395604398</v>
      </c>
    </row>
    <row r="124" spans="1:12">
      <c r="A124" t="s">
        <v>1531</v>
      </c>
      <c r="L124" s="70">
        <f>SUM(K122:K123)</f>
        <v>7.542197802197804</v>
      </c>
    </row>
    <row r="125" spans="1:12">
      <c r="L125" s="8"/>
    </row>
    <row r="126" spans="1:12">
      <c r="A126" s="45" t="s">
        <v>1557</v>
      </c>
      <c r="B126" t="s">
        <v>4</v>
      </c>
      <c r="D126" t="s">
        <v>253</v>
      </c>
      <c r="E126">
        <v>0</v>
      </c>
      <c r="F126">
        <v>1</v>
      </c>
      <c r="G126">
        <v>0</v>
      </c>
      <c r="H126">
        <v>1</v>
      </c>
      <c r="I126" s="70">
        <f>E126*G126</f>
        <v>0</v>
      </c>
      <c r="K126" s="70">
        <f>I126*YOLLvalue</f>
        <v>0</v>
      </c>
      <c r="L126" s="8"/>
    </row>
    <row r="127" spans="1:12">
      <c r="B127" t="s">
        <v>1395</v>
      </c>
      <c r="D127" t="s">
        <v>253</v>
      </c>
      <c r="E127">
        <v>0</v>
      </c>
      <c r="F127">
        <v>1</v>
      </c>
      <c r="G127">
        <v>0</v>
      </c>
      <c r="H127">
        <v>1</v>
      </c>
      <c r="I127" s="70">
        <f>E127*G127</f>
        <v>0</v>
      </c>
      <c r="K127" s="70">
        <f>I127*cancervalue</f>
        <v>0</v>
      </c>
      <c r="L127" s="8"/>
    </row>
    <row r="128" spans="1:12">
      <c r="L128" s="70">
        <f>SUM(K126:K127)</f>
        <v>0</v>
      </c>
    </row>
  </sheetData>
  <pageMargins left="0.7" right="0.7" top="0.75" bottom="0.75" header="0.3" footer="0.3"/>
  <pageSetup paperSize="0" orientation="portrait"/>
  <ignoredErrors>
    <ignoredError sqref="E41" 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148</vt:i4>
      </vt:variant>
    </vt:vector>
  </HeadingPairs>
  <TitlesOfParts>
    <vt:vector size="164" baseType="lpstr">
      <vt:lpstr>1. Introduction</vt:lpstr>
      <vt:lpstr>2. State indicators</vt:lpstr>
      <vt:lpstr>3. Fossil res</vt:lpstr>
      <vt:lpstr>4. Al</vt:lpstr>
      <vt:lpstr>5. Fe</vt:lpstr>
      <vt:lpstr>6. Other elements</vt:lpstr>
      <vt:lpstr>7. Em to water</vt:lpstr>
      <vt:lpstr>8. Inorganic gases</vt:lpstr>
      <vt:lpstr>9. Particles</vt:lpstr>
      <vt:lpstr>11. Halo. org.</vt:lpstr>
      <vt:lpstr>10. VOC</vt:lpstr>
      <vt:lpstr>12. Pesticides</vt:lpstr>
      <vt:lpstr>13. Noise</vt:lpstr>
      <vt:lpstr>14. Radionuclids</vt:lpstr>
      <vt:lpstr>15. Land use</vt:lpstr>
      <vt:lpstr>16. waste</vt:lpstr>
      <vt:lpstr>Ag_orevalue</vt:lpstr>
      <vt:lpstr>Al_orevalue</vt:lpstr>
      <vt:lpstr>anginavalue</vt:lpstr>
      <vt:lpstr>Ar_value</vt:lpstr>
      <vt:lpstr>As_orevalue</vt:lpstr>
      <vt:lpstr>asthmacasesvalue</vt:lpstr>
      <vt:lpstr>Au_orevalue</vt:lpstr>
      <vt:lpstr>averagepesticidepotency</vt:lpstr>
      <vt:lpstr>B_orevalue</vt:lpstr>
      <vt:lpstr>Ba_orevalue</vt:lpstr>
      <vt:lpstr>Be_orevalue</vt:lpstr>
      <vt:lpstr>Bi_orevalue</vt:lpstr>
      <vt:lpstr>Br_orevalue</vt:lpstr>
      <vt:lpstr>cancervalue</vt:lpstr>
      <vt:lpstr>Cd_orevalue</vt:lpstr>
      <vt:lpstr>Ce_orevalue</vt:lpstr>
      <vt:lpstr>charco2crop</vt:lpstr>
      <vt:lpstr>charco2nex</vt:lpstr>
      <vt:lpstr>charco2woodgw</vt:lpstr>
      <vt:lpstr>charco2yoll</vt:lpstr>
      <vt:lpstr>charnoxcrop</vt:lpstr>
      <vt:lpstr>charpm10yoll</vt:lpstr>
      <vt:lpstr>charso2yoll</vt:lpstr>
      <vt:lpstr>charso2yollsecondaryparticles</vt:lpstr>
      <vt:lpstr>Cl_orevalue</vt:lpstr>
      <vt:lpstr>Co_orevalue</vt:lpstr>
      <vt:lpstr>CO_value</vt:lpstr>
      <vt:lpstr>CO2_crop_charfact</vt:lpstr>
      <vt:lpstr>CO2_diarrhea_charfact</vt:lpstr>
      <vt:lpstr>CO2_drinkingwater_charfact</vt:lpstr>
      <vt:lpstr>CO2_energyaccess_charfact</vt:lpstr>
      <vt:lpstr>CO2_fruitandveg_charfact</vt:lpstr>
      <vt:lpstr>CO2_housing_charfact</vt:lpstr>
      <vt:lpstr>CO2_irrigationwater_charfact</vt:lpstr>
      <vt:lpstr>CO2_malnutrition_charfact</vt:lpstr>
      <vt:lpstr>CO2_meatandfish_charfact</vt:lpstr>
      <vt:lpstr>CO2_NEX_charfact</vt:lpstr>
      <vt:lpstr>CO2_separations_charfact</vt:lpstr>
      <vt:lpstr>CO2_workingcapacity_charfact</vt:lpstr>
      <vt:lpstr>CO2value</vt:lpstr>
      <vt:lpstr>coalvalue</vt:lpstr>
      <vt:lpstr>COPDvalue</vt:lpstr>
      <vt:lpstr>Cr_orevalue</vt:lpstr>
      <vt:lpstr>cropvalue</vt:lpstr>
      <vt:lpstr>Cs_orevalue</vt:lpstr>
      <vt:lpstr>Cu_orevalue</vt:lpstr>
      <vt:lpstr>diarrhea</vt:lpstr>
      <vt:lpstr>drinkingwatervalue</vt:lpstr>
      <vt:lpstr>Dy_orevalue</vt:lpstr>
      <vt:lpstr>energy_access</vt:lpstr>
      <vt:lpstr>Er_orevalue</vt:lpstr>
      <vt:lpstr>Eu_orevalue</vt:lpstr>
      <vt:lpstr>F_orevalue</vt:lpstr>
      <vt:lpstr>Fe_orevalue</vt:lpstr>
      <vt:lpstr>fishandmeatvalue</vt:lpstr>
      <vt:lpstr>Fruitandveg_value</vt:lpstr>
      <vt:lpstr>Ga_orevalue</vt:lpstr>
      <vt:lpstr>Gd_orevalue</vt:lpstr>
      <vt:lpstr>Ge_orevalue</vt:lpstr>
      <vt:lpstr>goodstransportvalue</vt:lpstr>
      <vt:lpstr>H_value</vt:lpstr>
      <vt:lpstr>He_value</vt:lpstr>
      <vt:lpstr>Hf_orevalue</vt:lpstr>
      <vt:lpstr>HFC134avalue</vt:lpstr>
      <vt:lpstr>Hg_orevalue</vt:lpstr>
      <vt:lpstr>Ho_orevalue</vt:lpstr>
      <vt:lpstr>housingvalue</vt:lpstr>
      <vt:lpstr>I_orevalue</vt:lpstr>
      <vt:lpstr>In_orevalue</vt:lpstr>
      <vt:lpstr>Industryuseofforestlandvalue</vt:lpstr>
      <vt:lpstr>Intellectualdisabilityvalue</vt:lpstr>
      <vt:lpstr>Ir_orevalue</vt:lpstr>
      <vt:lpstr>irrigationwatervalue</vt:lpstr>
      <vt:lpstr>K_orevalue</vt:lpstr>
      <vt:lpstr>La_orevalue</vt:lpstr>
      <vt:lpstr>Li_orevalue</vt:lpstr>
      <vt:lpstr>lignitevalue</vt:lpstr>
      <vt:lpstr>Lowvisionvalue</vt:lpstr>
      <vt:lpstr>Lu_orevalue</vt:lpstr>
      <vt:lpstr>malaria_episodes</vt:lpstr>
      <vt:lpstr>malnutrition</vt:lpstr>
      <vt:lpstr>methanevalue</vt:lpstr>
      <vt:lpstr>Mg_orevalue</vt:lpstr>
      <vt:lpstr>migrationvalue</vt:lpstr>
      <vt:lpstr>Mn_orevalue</vt:lpstr>
      <vt:lpstr>Mo_orevalue</vt:lpstr>
      <vt:lpstr>N_value</vt:lpstr>
      <vt:lpstr>Na_orevalue</vt:lpstr>
      <vt:lpstr>naturalgasvalue</vt:lpstr>
      <vt:lpstr>Nb_orevalue</vt:lpstr>
      <vt:lpstr>Nd_orevalue</vt:lpstr>
      <vt:lpstr>Ne_value</vt:lpstr>
      <vt:lpstr>Ni_orevalue</vt:lpstr>
      <vt:lpstr>NMVOCvalue</vt:lpstr>
      <vt:lpstr>NOx_crop_oxidantcharfact</vt:lpstr>
      <vt:lpstr>NOx_wood_oxidantcharfact</vt:lpstr>
      <vt:lpstr>NOx_YOLL_Oxidant_charfact</vt:lpstr>
      <vt:lpstr>NOxvalue</vt:lpstr>
      <vt:lpstr>O_value</vt:lpstr>
      <vt:lpstr>oilvalue</vt:lpstr>
      <vt:lpstr>Os_orevalue</vt:lpstr>
      <vt:lpstr>osteoporosisvalue</vt:lpstr>
      <vt:lpstr>P_orevalue</vt:lpstr>
      <vt:lpstr>Pb_orevalue</vt:lpstr>
      <vt:lpstr>Pd_orevalue</vt:lpstr>
      <vt:lpstr>persontransportvalue</vt:lpstr>
      <vt:lpstr>PM2.5_asthmacases_charfact</vt:lpstr>
      <vt:lpstr>PM2.5_COPD_charfact</vt:lpstr>
      <vt:lpstr>PM2.5_malnutrition_charfact</vt:lpstr>
      <vt:lpstr>PM2.5_workingcapacity_charfact</vt:lpstr>
      <vt:lpstr>PM2.5_YOLL_charfact</vt:lpstr>
      <vt:lpstr>poisoningvalue</vt:lpstr>
      <vt:lpstr>Pr_orevalue</vt:lpstr>
      <vt:lpstr>Pt_orevalue</vt:lpstr>
      <vt:lpstr>qualitytimevalue</vt:lpstr>
      <vt:lpstr>Rb_orevalue</vt:lpstr>
      <vt:lpstr>Re_orevalue</vt:lpstr>
      <vt:lpstr>renaldysfunctionvalue</vt:lpstr>
      <vt:lpstr>Rh_orevalue</vt:lpstr>
      <vt:lpstr>Ru_orevalue</vt:lpstr>
      <vt:lpstr>S_orevalue</vt:lpstr>
      <vt:lpstr>Sb_orevalue</vt:lpstr>
      <vt:lpstr>Sc_orevalue</vt:lpstr>
      <vt:lpstr>Se_orevalue</vt:lpstr>
      <vt:lpstr>skincancervalue</vt:lpstr>
      <vt:lpstr>Sm_orevalue</vt:lpstr>
      <vt:lpstr>Sn_orevalue</vt:lpstr>
      <vt:lpstr>SO2value</vt:lpstr>
      <vt:lpstr>speciesvalue</vt:lpstr>
      <vt:lpstr>Sr_orevalue</vt:lpstr>
      <vt:lpstr>Ta_orevalue</vt:lpstr>
      <vt:lpstr>Tb_orevalue</vt:lpstr>
      <vt:lpstr>Te_orevalue</vt:lpstr>
      <vt:lpstr>Th_orevalue</vt:lpstr>
      <vt:lpstr>Ti_orevalue</vt:lpstr>
      <vt:lpstr>Tl_orevalue</vt:lpstr>
      <vt:lpstr>Tm_orevalue</vt:lpstr>
      <vt:lpstr>U_orevalue</vt:lpstr>
      <vt:lpstr>V_orevalue</vt:lpstr>
      <vt:lpstr>W_orevalue</vt:lpstr>
      <vt:lpstr>waterdeliveryvalue</vt:lpstr>
      <vt:lpstr>woodvalue</vt:lpstr>
      <vt:lpstr>working_capacity</vt:lpstr>
      <vt:lpstr>Y_orevalue</vt:lpstr>
      <vt:lpstr>Yb_orevalue</vt:lpstr>
      <vt:lpstr>YOLLvalue</vt:lpstr>
      <vt:lpstr>Zn_orevalue</vt:lpstr>
      <vt:lpstr>Zr_orevalue</vt:lpstr>
    </vt:vector>
  </TitlesOfParts>
  <Company>Technical Environmental Planning CTH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Bengt Steen</dc:creator>
  <cp:lastModifiedBy>Anna Wikström</cp:lastModifiedBy>
  <cp:lastPrinted>2015-09-16T09:24:52Z</cp:lastPrinted>
  <dcterms:created xsi:type="dcterms:W3CDTF">1999-10-09T07:33:45Z</dcterms:created>
  <dcterms:modified xsi:type="dcterms:W3CDTF">2019-10-22T13:27:41Z</dcterms:modified>
</cp:coreProperties>
</file>